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Gnestler\Castellan Dropbox\Gregory Nestler\HamAdv-CRP shared folder\2025 4% R2 CDLAC &amp; Conduit Apps\334 San Antonio - CMFA\Excel\"/>
    </mc:Choice>
  </mc:AlternateContent>
  <xr:revisionPtr revIDLastSave="0" documentId="13_ncr:1_{51B0DE30-AF44-43E5-84AF-A6F8B7831BE9}" xr6:coauthVersionLast="47" xr6:coauthVersionMax="47" xr10:uidLastSave="{00000000-0000-0000-0000-000000000000}"/>
  <bookViews>
    <workbookView xWindow="28680" yWindow="-120" windowWidth="29040" windowHeight="1584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Post-award Instructions" sheetId="12" r:id="rId11"/>
    <sheet name="Subsidy Contract Calculation" sheetId="8" r:id="rId12"/>
    <sheet name="15 Year Pro Forma" sheetId="7"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2">'15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2"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4" l="1"/>
  <c r="AF1027" i="3"/>
  <c r="W854" i="3"/>
  <c r="W846" i="3"/>
  <c r="W842" i="3"/>
  <c r="W849" i="3" l="1"/>
  <c r="K727" i="3"/>
  <c r="K728" i="3" s="1"/>
  <c r="K723" i="3"/>
  <c r="K724" i="3" s="1"/>
  <c r="K725" i="3" s="1"/>
  <c r="K719" i="3"/>
  <c r="K720" i="3" s="1"/>
  <c r="K721" i="3" s="1"/>
  <c r="T773" i="3" l="1"/>
  <c r="K729" i="3"/>
  <c r="C30" i="4"/>
  <c r="AC253" i="3" l="1"/>
  <c r="W253" i="3"/>
  <c r="M248" i="3"/>
  <c r="M247" i="3"/>
  <c r="M246" i="3"/>
  <c r="M245" i="3"/>
  <c r="M244" i="3"/>
  <c r="AE66" i="7" l="1"/>
  <c r="H54" i="7" l="1"/>
  <c r="J54" i="7" s="1"/>
  <c r="L54" i="7" s="1"/>
  <c r="N54" i="7" s="1"/>
  <c r="P54" i="7" s="1"/>
  <c r="R54" i="7" s="1"/>
  <c r="T54" i="7" s="1"/>
  <c r="V54" i="7" s="1"/>
  <c r="X54" i="7" s="1"/>
  <c r="Z54" i="7" s="1"/>
  <c r="AB54" i="7" s="1"/>
  <c r="AD54" i="7" s="1"/>
  <c r="AF54" i="7" s="1"/>
  <c r="G54" i="7"/>
  <c r="I54" i="7" s="1"/>
  <c r="K54" i="7" s="1"/>
  <c r="M54" i="7" s="1"/>
  <c r="O54" i="7" s="1"/>
  <c r="Q54" i="7" s="1"/>
  <c r="S54" i="7" s="1"/>
  <c r="U54" i="7" s="1"/>
  <c r="W54" i="7" s="1"/>
  <c r="Y54" i="7" s="1"/>
  <c r="AA54" i="7" s="1"/>
  <c r="AC54" i="7" s="1"/>
  <c r="AE54" i="7" s="1"/>
  <c r="AG54" i="7" s="1"/>
  <c r="H53" i="7"/>
  <c r="J53" i="7" s="1"/>
  <c r="L53" i="7" s="1"/>
  <c r="N53" i="7" s="1"/>
  <c r="P53" i="7" s="1"/>
  <c r="R53" i="7" s="1"/>
  <c r="T53" i="7" s="1"/>
  <c r="V53" i="7" s="1"/>
  <c r="X53" i="7" s="1"/>
  <c r="Z53" i="7" s="1"/>
  <c r="AB53" i="7" s="1"/>
  <c r="AD53" i="7" s="1"/>
  <c r="AF53" i="7" s="1"/>
  <c r="G53" i="7"/>
  <c r="I53" i="7" s="1"/>
  <c r="K53" i="7" s="1"/>
  <c r="M53" i="7" s="1"/>
  <c r="O53" i="7" s="1"/>
  <c r="Q53" i="7" s="1"/>
  <c r="S53" i="7" s="1"/>
  <c r="U53" i="7" s="1"/>
  <c r="W53" i="7" s="1"/>
  <c r="Y53" i="7" s="1"/>
  <c r="AA53" i="7" s="1"/>
  <c r="AC53" i="7" s="1"/>
  <c r="AE53" i="7" s="1"/>
  <c r="AG53" i="7" s="1"/>
  <c r="H27" i="7"/>
  <c r="J27" i="7" s="1"/>
  <c r="L27" i="7" s="1"/>
  <c r="N27" i="7" s="1"/>
  <c r="P27" i="7" s="1"/>
  <c r="R27" i="7" s="1"/>
  <c r="T27" i="7" s="1"/>
  <c r="V27" i="7" s="1"/>
  <c r="X27" i="7" s="1"/>
  <c r="Z27" i="7" s="1"/>
  <c r="AB27" i="7" s="1"/>
  <c r="AD27" i="7" s="1"/>
  <c r="AF27" i="7" s="1"/>
  <c r="N24" i="7"/>
  <c r="P24" i="7" s="1"/>
  <c r="R24" i="7" s="1"/>
  <c r="T24" i="7" s="1"/>
  <c r="V24" i="7" s="1"/>
  <c r="X24" i="7" s="1"/>
  <c r="Z24" i="7" s="1"/>
  <c r="AB24" i="7" s="1"/>
  <c r="AD24" i="7" s="1"/>
  <c r="AF24" i="7" s="1"/>
  <c r="G24" i="7"/>
  <c r="I24" i="7" s="1"/>
  <c r="K24" i="7" s="1"/>
  <c r="M24" i="7" s="1"/>
  <c r="O24" i="7" s="1"/>
  <c r="Q24" i="7" s="1"/>
  <c r="S24" i="7" s="1"/>
  <c r="U24" i="7" s="1"/>
  <c r="W24" i="7" s="1"/>
  <c r="Y24" i="7" s="1"/>
  <c r="AA24" i="7" s="1"/>
  <c r="AC24" i="7" s="1"/>
  <c r="AE24" i="7" s="1"/>
  <c r="AG24" i="7" s="1"/>
  <c r="L4" i="7"/>
  <c r="S93" i="4"/>
  <c r="S95" i="4"/>
  <c r="H99" i="4"/>
  <c r="G30" i="4"/>
  <c r="F30" i="4"/>
  <c r="C93" i="4"/>
  <c r="AA919" i="3"/>
  <c r="AA918" i="3"/>
  <c r="W861" i="3"/>
  <c r="W844" i="3"/>
  <c r="W474" i="3" l="1"/>
  <c r="AO640" i="3"/>
  <c r="E30" i="4"/>
  <c r="E99" i="4"/>
  <c r="E84" i="4"/>
  <c r="E85" i="4"/>
  <c r="E86" i="4"/>
  <c r="E87" i="4"/>
  <c r="E88" i="4"/>
  <c r="E89" i="4"/>
  <c r="E90" i="4"/>
  <c r="E91" i="4"/>
  <c r="E92" i="4"/>
  <c r="E93" i="4"/>
  <c r="E94" i="4"/>
  <c r="E83" i="4"/>
  <c r="E80" i="4"/>
  <c r="E79" i="4"/>
  <c r="E65" i="4"/>
  <c r="E61" i="4"/>
  <c r="E58" i="4"/>
  <c r="E46" i="4"/>
  <c r="E47" i="4"/>
  <c r="E48" i="4"/>
  <c r="E49" i="4"/>
  <c r="E50" i="4"/>
  <c r="E51" i="4"/>
  <c r="E52" i="4"/>
  <c r="E53" i="4"/>
  <c r="E45" i="4"/>
  <c r="E43" i="4"/>
  <c r="E40" i="4"/>
  <c r="E31" i="4"/>
  <c r="E32" i="4"/>
  <c r="E33" i="4"/>
  <c r="E35" i="4"/>
  <c r="E29" i="4"/>
  <c r="E10" i="4"/>
  <c r="E5" i="4"/>
  <c r="C95" i="4"/>
  <c r="E95" i="4" s="1"/>
  <c r="C69" i="4"/>
  <c r="E69" i="4" s="1"/>
  <c r="G652" i="3"/>
  <c r="G581" i="3"/>
  <c r="AA573" i="3" l="1"/>
  <c r="Z572" i="3"/>
  <c r="Q627" i="3" l="1"/>
  <c r="T627" i="3"/>
  <c r="L275" i="3" l="1"/>
  <c r="H307" i="3"/>
  <c r="H306" i="3"/>
  <c r="H305" i="3"/>
  <c r="H304" i="3"/>
  <c r="H303" i="3"/>
  <c r="AA321" i="3"/>
  <c r="AA320" i="3"/>
  <c r="AA319"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6" i="21" l="1"/>
  <c r="U46" i="21"/>
  <c r="P49" i="21" a="1"/>
  <c r="P49" i="21" s="1"/>
  <c r="U48" i="21"/>
  <c r="S46" i="21"/>
  <c r="T48" i="21"/>
  <c r="S48" i="21"/>
  <c r="R48" i="21" a="1"/>
  <c r="R48" i="21" s="1"/>
  <c r="O50" i="21"/>
  <c r="P48" i="21" a="1"/>
  <c r="P48" i="21" s="1"/>
  <c r="U47" i="21"/>
  <c r="P52" i="21" a="1"/>
  <c r="P52" i="21" s="1"/>
  <c r="R47" i="21" a="1"/>
  <c r="R47" i="21" s="1"/>
  <c r="U51" i="21"/>
  <c r="R51" i="21" a="1"/>
  <c r="R51" i="21" s="1"/>
  <c r="U49" i="21"/>
  <c r="P51" i="21" a="1"/>
  <c r="P51" i="21" s="1"/>
  <c r="T49" i="21"/>
  <c r="R53" i="21" a="1"/>
  <c r="R53" i="21" s="1"/>
  <c r="O51" i="21"/>
  <c r="S49" i="21"/>
  <c r="R49" i="21" a="1"/>
  <c r="R49" i="21" s="1"/>
  <c r="U45" i="21"/>
  <c r="S52" i="21"/>
  <c r="U50" i="21"/>
  <c r="T47" i="21"/>
  <c r="S50" i="21"/>
  <c r="P50" i="21" a="1"/>
  <c r="P50" i="21" s="1"/>
  <c r="S47" i="21"/>
  <c r="T45" i="21"/>
  <c r="S45" i="21"/>
  <c r="U53" i="21"/>
  <c r="T51" i="21"/>
  <c r="T53"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8" i="7"/>
  <c r="E27" i="7"/>
  <c r="G27" i="7" s="1"/>
  <c r="I27" i="7" s="1"/>
  <c r="K27" i="7" s="1"/>
  <c r="M27" i="7" s="1"/>
  <c r="O27" i="7" s="1"/>
  <c r="Q27" i="7" s="1"/>
  <c r="S27" i="7" s="1"/>
  <c r="U27" i="7" s="1"/>
  <c r="W27" i="7" s="1"/>
  <c r="Y27" i="7" s="1"/>
  <c r="AA27" i="7" s="1"/>
  <c r="AC27" i="7" s="1"/>
  <c r="AE27" i="7" s="1"/>
  <c r="AG27" i="7" s="1"/>
  <c r="E26" i="7"/>
  <c r="E15" i="7"/>
  <c r="G15" i="7" s="1"/>
  <c r="I15" i="7" s="1"/>
  <c r="K15" i="7" s="1"/>
  <c r="M15" i="7" s="1"/>
  <c r="O15" i="7" s="1"/>
  <c r="Q15" i="7" s="1"/>
  <c r="S15" i="7" s="1"/>
  <c r="U15" i="7" s="1"/>
  <c r="W15" i="7" s="1"/>
  <c r="Y15" i="7" s="1"/>
  <c r="AA15" i="7" s="1"/>
  <c r="AC15" i="7" s="1"/>
  <c r="AE15" i="7" s="1"/>
  <c r="A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F36" i="13" s="1"/>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F91" i="13" s="1"/>
  <c r="R84" i="4"/>
  <c r="S84" i="4" s="1"/>
  <c r="E84" i="13" s="1"/>
  <c r="F84" i="13" s="1"/>
  <c r="B59" i="4"/>
  <c r="C80" i="11"/>
  <c r="C81" i="11"/>
  <c r="B80" i="11"/>
  <c r="B81" i="11"/>
  <c r="I96" i="13"/>
  <c r="J96" i="13"/>
  <c r="J81" i="13"/>
  <c r="I81" i="13"/>
  <c r="G81" i="13"/>
  <c r="D81" i="13"/>
  <c r="H80" i="13"/>
  <c r="B80" i="13"/>
  <c r="C80" i="13" s="1"/>
  <c r="R80" i="4"/>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F95" i="13" s="1"/>
  <c r="E87" i="13"/>
  <c r="E65" i="13"/>
  <c r="F65" i="13" s="1"/>
  <c r="E51" i="13"/>
  <c r="F51" i="13" s="1"/>
  <c r="E50" i="13"/>
  <c r="F50" i="13" s="1"/>
  <c r="E48" i="13"/>
  <c r="F48" i="13" s="1"/>
  <c r="E47" i="13"/>
  <c r="F47" i="13" s="1"/>
  <c r="E46" i="13"/>
  <c r="F46" i="13" s="1"/>
  <c r="E45" i="13"/>
  <c r="F45" i="13" s="1"/>
  <c r="E41" i="13"/>
  <c r="E37" i="13"/>
  <c r="F37" i="13" s="1"/>
  <c r="E27" i="13"/>
  <c r="E25" i="13"/>
  <c r="E23" i="13"/>
  <c r="E22" i="13"/>
  <c r="E21" i="13"/>
  <c r="E20" i="13"/>
  <c r="E19" i="13"/>
  <c r="E18" i="13"/>
  <c r="E17" i="13"/>
  <c r="E15" i="13"/>
  <c r="E14" i="13"/>
  <c r="E13" i="13"/>
  <c r="E10" i="13"/>
  <c r="F10" i="13" s="1"/>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B74" i="13"/>
  <c r="B73" i="13"/>
  <c r="B72" i="13"/>
  <c r="C72" i="13" s="1"/>
  <c r="B65" i="13"/>
  <c r="C65" i="13" s="1"/>
  <c r="B61" i="13"/>
  <c r="C61" i="13" s="1"/>
  <c r="B60" i="13"/>
  <c r="B59" i="13"/>
  <c r="B58" i="13"/>
  <c r="C58" i="13" s="1"/>
  <c r="C62" i="13" s="1"/>
  <c r="B57" i="13"/>
  <c r="B56" i="13"/>
  <c r="B53" i="13"/>
  <c r="C53" i="13" s="1"/>
  <c r="B52" i="13"/>
  <c r="C52" i="13" s="1"/>
  <c r="B51" i="13"/>
  <c r="C51" i="13" s="1"/>
  <c r="B50" i="13"/>
  <c r="C50" i="13" s="1"/>
  <c r="B49" i="13"/>
  <c r="C49" i="13" s="1"/>
  <c r="B48" i="13"/>
  <c r="C48" i="13" s="1"/>
  <c r="B47" i="13"/>
  <c r="C47" i="13" s="1"/>
  <c r="B46" i="13"/>
  <c r="C46" i="13" s="1"/>
  <c r="B45" i="13"/>
  <c r="B43" i="13"/>
  <c r="C43" i="13" s="1"/>
  <c r="C42" i="4"/>
  <c r="B42" i="13" s="1"/>
  <c r="B41" i="13"/>
  <c r="B40" i="13"/>
  <c r="C40" i="13" s="1"/>
  <c r="C42" i="13" s="1"/>
  <c r="B37" i="13"/>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C8" i="13" s="1"/>
  <c r="B6" i="13"/>
  <c r="B7" i="13"/>
  <c r="C8" i="4"/>
  <c r="B8" i="13" s="1"/>
  <c r="B9" i="13"/>
  <c r="B10" i="13"/>
  <c r="C10" i="13" s="1"/>
  <c r="C11" i="13" s="1"/>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S99" i="4" s="1"/>
  <c r="E99" i="13" s="1"/>
  <c r="F99" i="13" s="1"/>
  <c r="F104" i="13" s="1"/>
  <c r="R95" i="4"/>
  <c r="R94" i="4"/>
  <c r="S94" i="4" s="1"/>
  <c r="E94" i="13" s="1"/>
  <c r="F94" i="13" s="1"/>
  <c r="R93" i="4"/>
  <c r="E93" i="13" s="1"/>
  <c r="F93" i="13" s="1"/>
  <c r="R92" i="4"/>
  <c r="S92" i="4" s="1"/>
  <c r="R90" i="4"/>
  <c r="S90" i="4" s="1"/>
  <c r="E90" i="13" s="1"/>
  <c r="F90" i="13" s="1"/>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52" i="4"/>
  <c r="S52" i="4" s="1"/>
  <c r="R51" i="4"/>
  <c r="R50" i="4"/>
  <c r="R49" i="4"/>
  <c r="S49" i="4" s="1"/>
  <c r="E49" i="13" s="1"/>
  <c r="F49" i="13" s="1"/>
  <c r="R48" i="4"/>
  <c r="R47" i="4"/>
  <c r="R46" i="4"/>
  <c r="R45" i="4"/>
  <c r="R43" i="4"/>
  <c r="S43" i="4" s="1"/>
  <c r="E43" i="13" s="1"/>
  <c r="F43" i="13" s="1"/>
  <c r="R41" i="4"/>
  <c r="R40" i="4"/>
  <c r="S40" i="4" s="1"/>
  <c r="S42" i="4" s="1"/>
  <c r="E42" i="13" s="1"/>
  <c r="R37" i="4"/>
  <c r="R35" i="4"/>
  <c r="S35" i="4" s="1"/>
  <c r="E35" i="13" s="1"/>
  <c r="F35" i="13" s="1"/>
  <c r="R34" i="4"/>
  <c r="E34" i="13" s="1"/>
  <c r="F34" i="13" s="1"/>
  <c r="R33" i="4"/>
  <c r="S33" i="4" s="1"/>
  <c r="E33" i="13" s="1"/>
  <c r="F33" i="13" s="1"/>
  <c r="R32" i="4"/>
  <c r="S32" i="4" s="1"/>
  <c r="E32" i="13" s="1"/>
  <c r="F32" i="13" s="1"/>
  <c r="R31" i="4"/>
  <c r="S31" i="4" s="1"/>
  <c r="E31" i="13" s="1"/>
  <c r="F31" i="13" s="1"/>
  <c r="R30" i="4"/>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F70" i="13" l="1"/>
  <c r="C81" i="13"/>
  <c r="C38" i="13"/>
  <c r="E40" i="13"/>
  <c r="F40" i="13" s="1"/>
  <c r="F42" i="13" s="1"/>
  <c r="S104" i="4"/>
  <c r="E104" i="13" s="1"/>
  <c r="S80" i="4"/>
  <c r="E80" i="13" s="1"/>
  <c r="F80" i="13" s="1"/>
  <c r="F81" i="13" s="1"/>
  <c r="S54" i="4"/>
  <c r="E54" i="13" s="1"/>
  <c r="S96" i="4"/>
  <c r="E96" i="13" s="1"/>
  <c r="C70" i="13"/>
  <c r="E52" i="13"/>
  <c r="F52" i="13" s="1"/>
  <c r="C77" i="13"/>
  <c r="D94" i="11"/>
  <c r="C54" i="13"/>
  <c r="B26" i="4"/>
  <c r="S30" i="4"/>
  <c r="E30" i="13" s="1"/>
  <c r="F30" i="13" s="1"/>
  <c r="F38" i="13" s="1"/>
  <c r="F54" i="13"/>
  <c r="C96" i="13"/>
  <c r="E92" i="13"/>
  <c r="F92" i="13" s="1"/>
  <c r="F96" i="13" s="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E28" i="21"/>
  <c r="E25" i="21"/>
  <c r="F25" i="21" s="1"/>
  <c r="G25" i="21" s="1"/>
  <c r="BA1058" i="3" l="1"/>
  <c r="C63" i="13"/>
  <c r="C97" i="13" s="1"/>
  <c r="C105" i="13" s="1"/>
  <c r="S81" i="4"/>
  <c r="E81" i="13" s="1"/>
  <c r="F63" i="13"/>
  <c r="F97" i="13" s="1"/>
  <c r="F105" i="13" s="1"/>
  <c r="F107" i="13" s="1"/>
  <c r="AM560" i="3"/>
  <c r="AM566" i="3" s="1"/>
  <c r="D105" i="11"/>
  <c r="S38" i="4"/>
  <c r="E38" i="13" s="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G4" i="7" s="1"/>
  <c r="I4" i="7" s="1"/>
  <c r="K4" i="7" s="1"/>
  <c r="M4" i="7" s="1"/>
  <c r="O4" i="7" s="1"/>
  <c r="Q4" i="7" s="1"/>
  <c r="S4" i="7" s="1"/>
  <c r="U4" i="7" s="1"/>
  <c r="W4" i="7" s="1"/>
  <c r="Y4" i="7" s="1"/>
  <c r="AA4" i="7" s="1"/>
  <c r="AC4" i="7" s="1"/>
  <c r="AE4" i="7" s="1"/>
  <c r="AG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E7" i="7" s="1"/>
  <c r="I22" i="7"/>
  <c r="I35" i="7" s="1"/>
  <c r="E29" i="21"/>
  <c r="G24" i="21"/>
  <c r="S63" i="4" l="1"/>
  <c r="S97" i="4" s="1"/>
  <c r="O31" i="21"/>
  <c r="P31" i="21" s="1" a="1"/>
  <c r="P31" i="21" s="1"/>
  <c r="S31" i="21" s="1"/>
  <c r="O30" i="2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T805" i="20" s="1"/>
  <c r="AF805" i="20" s="1"/>
  <c r="BE72" i="3" s="1"/>
  <c r="D13" i="11"/>
  <c r="B97" i="13"/>
  <c r="B97" i="4"/>
  <c r="AZ1046" i="3"/>
  <c r="S105" i="4"/>
  <c r="E97" i="13"/>
  <c r="B105" i="13"/>
  <c r="AG269" i="20"/>
  <c r="O58" i="7"/>
  <c r="T105" i="4"/>
  <c r="H97" i="13"/>
  <c r="P30" i="21" a="1"/>
  <c r="P30" i="21" s="1"/>
  <c r="S30"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5" i="7"/>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K22" i="7"/>
  <c r="K35" i="7" s="1"/>
  <c r="F27" i="21"/>
  <c r="G61" i="21"/>
  <c r="G63" i="21" s="1"/>
  <c r="G65" i="21" s="1"/>
  <c r="E13" i="21" s="1"/>
  <c r="F28" i="21"/>
  <c r="G28" i="21" s="1"/>
  <c r="G52" i="21"/>
  <c r="G54" i="21" s="1"/>
  <c r="G56" i="21" s="1"/>
  <c r="E12" i="21" s="1"/>
  <c r="E63" i="13" l="1"/>
  <c r="AK191" i="20"/>
  <c r="T811" i="20" s="1"/>
  <c r="AF811" i="20" s="1"/>
  <c r="BE76"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G45" i="21"/>
  <c r="G47" i="21" s="1"/>
  <c r="E10" i="21" s="1"/>
  <c r="E11" i="21"/>
  <c r="AP705" i="20"/>
  <c r="AP706" i="20"/>
  <c r="AJ711" i="20" s="1"/>
  <c r="AK794" i="20" s="1"/>
  <c r="T819" i="20" s="1"/>
  <c r="AF819" i="20" s="1"/>
  <c r="BE82" i="3" s="1"/>
  <c r="I5" i="7"/>
  <c r="K9" i="7"/>
  <c r="E11" i="7"/>
  <c r="E37" i="7" s="1"/>
  <c r="E49" i="7" s="1"/>
  <c r="AJ992" i="3"/>
  <c r="E138" i="20"/>
  <c r="E139" i="20" s="1"/>
  <c r="AK143" i="20" s="1"/>
  <c r="T807" i="20" s="1"/>
  <c r="AF807" i="20" s="1"/>
  <c r="BE74" i="3" s="1"/>
  <c r="AB991" i="3"/>
  <c r="DU802" i="3"/>
  <c r="U373" i="20" s="1"/>
  <c r="P421" i="3"/>
  <c r="I6" i="7"/>
  <c r="G7" i="7"/>
  <c r="G11" i="7" s="1"/>
  <c r="G37" i="7" s="1"/>
  <c r="M22" i="7"/>
  <c r="M35" i="7" s="1"/>
  <c r="M9" i="7"/>
  <c r="O8" i="7"/>
  <c r="G27" i="21"/>
  <c r="F26" i="21"/>
  <c r="AJ994" i="3" l="1"/>
  <c r="AJ1036" i="3"/>
  <c r="I15" i="21" s="1"/>
  <c r="AC456" i="3"/>
  <c r="AD11" i="15"/>
  <c r="AD23" i="15" s="1"/>
  <c r="AD26" i="15" s="1"/>
  <c r="AD28" i="15" s="1"/>
  <c r="AI11" i="15"/>
  <c r="AI23" i="15" s="1"/>
  <c r="AI26" i="15" s="1"/>
  <c r="AI28" i="15" s="1"/>
  <c r="BE44" i="3"/>
  <c r="F457" i="3"/>
  <c r="BA1055" i="3"/>
  <c r="BA1059" i="3" s="1"/>
  <c r="N196" i="23"/>
  <c r="N186" i="23"/>
  <c r="S58" i="7"/>
  <c r="AA1056" i="3"/>
  <c r="AF551" i="20"/>
  <c r="E107" i="13"/>
  <c r="AJ1045" i="3"/>
  <c r="AJ1049" i="3"/>
  <c r="AP553" i="20" s="1"/>
  <c r="AP550" i="20"/>
  <c r="E45" i="7"/>
  <c r="E48" i="7" s="1"/>
  <c r="G45" i="7"/>
  <c r="G49" i="7"/>
  <c r="K6" i="7"/>
  <c r="I7" i="7"/>
  <c r="I11" i="7" s="1"/>
  <c r="I37" i="7" s="1"/>
  <c r="G26" i="21"/>
  <c r="F29" i="21"/>
  <c r="G29" i="21"/>
  <c r="O22" i="7"/>
  <c r="O35" i="7" s="1"/>
  <c r="O9" i="7"/>
  <c r="Q8" i="7"/>
  <c r="T11" i="15" l="1"/>
  <c r="T23" i="15" s="1"/>
  <c r="T26" i="15" s="1"/>
  <c r="T28" i="15" s="1"/>
  <c r="Y11" i="15"/>
  <c r="Y23" i="15" s="1"/>
  <c r="Y26" i="15" s="1"/>
  <c r="Y28" i="15" s="1"/>
  <c r="Y64" i="15" s="1"/>
  <c r="Y68" i="15" s="1"/>
  <c r="Y69" i="15" s="1"/>
  <c r="U58" i="7"/>
  <c r="AJ1053" i="3"/>
  <c r="AA1057" i="3" s="1"/>
  <c r="G1058" i="3" s="1"/>
  <c r="AP552" i="20"/>
  <c r="AP554" i="20" s="1"/>
  <c r="K5" i="7"/>
  <c r="E47" i="7"/>
  <c r="E60" i="7"/>
  <c r="M5" i="7"/>
  <c r="I45" i="7"/>
  <c r="I49" i="7"/>
  <c r="M6" i="7"/>
  <c r="K7" i="7"/>
  <c r="G60" i="7"/>
  <c r="G66" i="7" s="1"/>
  <c r="G47" i="7"/>
  <c r="G48" i="7"/>
  <c r="Q22" i="7"/>
  <c r="Q35" i="7" s="1"/>
  <c r="G79" i="21"/>
  <c r="G31" i="21"/>
  <c r="G33" i="21" s="1"/>
  <c r="E9" i="21" s="1"/>
  <c r="G88" i="21"/>
  <c r="G90" i="21" s="1"/>
  <c r="E16" i="21" s="1"/>
  <c r="G111" i="21"/>
  <c r="G96" i="21"/>
  <c r="Q9" i="7"/>
  <c r="S8" i="7"/>
  <c r="E62" i="7" l="1"/>
  <c r="E66" i="7"/>
  <c r="E67" i="7"/>
  <c r="T29" i="15"/>
  <c r="G80" i="21"/>
  <c r="E15" i="21" s="1"/>
  <c r="W58" i="7"/>
  <c r="T24" i="15"/>
  <c r="Y38" i="15" s="1"/>
  <c r="Y40" i="15" s="1"/>
  <c r="AP557" i="20"/>
  <c r="AP556" i="20" s="1"/>
  <c r="AP559" i="20" s="1"/>
  <c r="AF552" i="20" s="1"/>
  <c r="AF553" i="20" s="1"/>
  <c r="AK559" i="20" s="1"/>
  <c r="T818" i="20" s="1"/>
  <c r="AF818" i="20" s="1"/>
  <c r="BE81" i="3" s="1"/>
  <c r="K11" i="7"/>
  <c r="K37" i="7" s="1"/>
  <c r="K45" i="7" s="1"/>
  <c r="O5" i="7"/>
  <c r="M7" i="7"/>
  <c r="M11" i="7" s="1"/>
  <c r="M37" i="7" s="1"/>
  <c r="O6" i="7"/>
  <c r="G67" i="7"/>
  <c r="G62" i="7"/>
  <c r="I48" i="7"/>
  <c r="I60" i="7"/>
  <c r="I47" i="7"/>
  <c r="G101" i="21"/>
  <c r="G113" i="21"/>
  <c r="G97" i="21"/>
  <c r="S22" i="7"/>
  <c r="S35" i="7" s="1"/>
  <c r="U8" i="7"/>
  <c r="S9" i="7"/>
  <c r="Y58" i="7" l="1"/>
  <c r="AD38" i="15"/>
  <c r="AD40" i="15" s="1"/>
  <c r="Y41" i="15" s="1"/>
  <c r="AB56" i="15" s="1"/>
  <c r="G115" i="21"/>
  <c r="E17" i="21" s="1"/>
  <c r="E14" i="21" s="1"/>
  <c r="E18" i="21" s="1"/>
  <c r="K49" i="7"/>
  <c r="E70" i="7"/>
  <c r="E72" i="7" s="1"/>
  <c r="Q5" i="7"/>
  <c r="G70" i="7"/>
  <c r="G72" i="7" s="1"/>
  <c r="O7" i="7"/>
  <c r="O11" i="7" s="1"/>
  <c r="O37" i="7" s="1"/>
  <c r="Q6" i="7"/>
  <c r="M45" i="7"/>
  <c r="M49" i="7"/>
  <c r="I66" i="7"/>
  <c r="I67" i="7"/>
  <c r="I62" i="7"/>
  <c r="K47" i="7"/>
  <c r="K60" i="7"/>
  <c r="K48" i="7"/>
  <c r="U22" i="7"/>
  <c r="U35" i="7" s="1"/>
  <c r="U9" i="7"/>
  <c r="W8" i="7"/>
  <c r="AA58" i="7" l="1"/>
  <c r="M26" i="3"/>
  <c r="BE19" i="3" s="1"/>
  <c r="S5" i="7"/>
  <c r="M48" i="7"/>
  <c r="M47" i="7"/>
  <c r="M60" i="7"/>
  <c r="O45" i="7"/>
  <c r="O49" i="7"/>
  <c r="K66" i="7"/>
  <c r="K67" i="7"/>
  <c r="K62" i="7"/>
  <c r="Q7" i="7"/>
  <c r="Q11" i="7" s="1"/>
  <c r="Q37" i="7" s="1"/>
  <c r="S6" i="7"/>
  <c r="I70" i="7"/>
  <c r="I72" i="7" s="1"/>
  <c r="W22" i="7"/>
  <c r="W35" i="7" s="1"/>
  <c r="W9" i="7"/>
  <c r="Y8" i="7"/>
  <c r="AC58" i="7" l="1"/>
  <c r="AB57" i="15"/>
  <c r="P204" i="3"/>
  <c r="U5" i="7"/>
  <c r="Q49" i="7"/>
  <c r="Q45" i="7"/>
  <c r="M62" i="7"/>
  <c r="M67" i="7"/>
  <c r="M66" i="7"/>
  <c r="O47" i="7"/>
  <c r="O48" i="7"/>
  <c r="O60" i="7"/>
  <c r="K70" i="7"/>
  <c r="K72" i="7" s="1"/>
  <c r="S7" i="7"/>
  <c r="S11" i="7" s="1"/>
  <c r="S37" i="7" s="1"/>
  <c r="U6" i="7"/>
  <c r="Y22" i="7"/>
  <c r="Y35" i="7" s="1"/>
  <c r="Y9" i="7"/>
  <c r="AA8" i="7"/>
  <c r="AG58" i="7" l="1"/>
  <c r="AE58" i="7"/>
  <c r="AB59" i="15"/>
  <c r="AB77" i="15" s="1"/>
  <c r="M70" i="7"/>
  <c r="M72" i="7" s="1"/>
  <c r="W5" i="7"/>
  <c r="U7" i="7"/>
  <c r="U11" i="7" s="1"/>
  <c r="U37" i="7" s="1"/>
  <c r="W6" i="7"/>
  <c r="O67" i="7"/>
  <c r="O66" i="7"/>
  <c r="O62" i="7"/>
  <c r="Q60" i="7"/>
  <c r="Q48" i="7"/>
  <c r="Q47" i="7"/>
  <c r="S49" i="7"/>
  <c r="S45" i="7"/>
  <c r="AA22" i="7"/>
  <c r="AA35" i="7" s="1"/>
  <c r="AC8" i="7"/>
  <c r="AA9" i="7"/>
  <c r="AB78" i="15" l="1"/>
  <c r="AB79" i="15" s="1"/>
  <c r="AB81" i="15" s="1"/>
  <c r="J82" i="15" s="1"/>
  <c r="Y5" i="7"/>
  <c r="Y6" i="7"/>
  <c r="W7" i="7"/>
  <c r="W11" i="7" s="1"/>
  <c r="W37" i="7" s="1"/>
  <c r="U45" i="7"/>
  <c r="U49" i="7"/>
  <c r="Q66" i="7"/>
  <c r="Q67" i="7"/>
  <c r="Q62" i="7"/>
  <c r="S48" i="7"/>
  <c r="S47" i="7"/>
  <c r="S60" i="7"/>
  <c r="O70" i="7"/>
  <c r="O72" i="7" s="1"/>
  <c r="AC22" i="7"/>
  <c r="AC35" i="7" s="1"/>
  <c r="AC9" i="7"/>
  <c r="AE8" i="7"/>
  <c r="M27" i="3" l="1"/>
  <c r="BE20" i="3" s="1"/>
  <c r="I10" i="21"/>
  <c r="I11" i="21" s="1"/>
  <c r="AA5" i="7"/>
  <c r="S67" i="7"/>
  <c r="S66" i="7"/>
  <c r="S62" i="7"/>
  <c r="U48" i="7"/>
  <c r="U60" i="7"/>
  <c r="U47" i="7"/>
  <c r="Q70" i="7"/>
  <c r="Q72" i="7" s="1"/>
  <c r="W49" i="7"/>
  <c r="W45" i="7"/>
  <c r="Y7" i="7"/>
  <c r="Y11" i="7" s="1"/>
  <c r="Y37" i="7" s="1"/>
  <c r="AA6" i="7"/>
  <c r="AE22" i="7"/>
  <c r="AE35" i="7" s="1"/>
  <c r="AG22" i="7"/>
  <c r="AG35" i="7" s="1"/>
  <c r="AE9" i="7"/>
  <c r="AG8" i="7"/>
  <c r="AG9" i="7" s="1"/>
  <c r="I18" i="21" l="1"/>
  <c r="H4" i="21" s="1"/>
  <c r="P205" i="3"/>
  <c r="S70" i="7"/>
  <c r="S72" i="7" s="1"/>
  <c r="AC5" i="7"/>
  <c r="AC6" i="7"/>
  <c r="AA7" i="7"/>
  <c r="AA11" i="7" s="1"/>
  <c r="AA37" i="7" s="1"/>
  <c r="U66" i="7"/>
  <c r="U67" i="7"/>
  <c r="U62" i="7"/>
  <c r="Y49" i="7"/>
  <c r="Y45" i="7"/>
  <c r="W60" i="7"/>
  <c r="W47" i="7"/>
  <c r="W48" i="7"/>
  <c r="AE5" i="7" l="1"/>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67" i="7" s="1"/>
  <c r="AE48" i="7"/>
  <c r="AG49" i="7"/>
  <c r="AG45" i="7"/>
  <c r="AG48" i="7" l="1"/>
  <c r="AG60" i="7"/>
  <c r="AG47" i="7"/>
  <c r="AC70" i="7"/>
  <c r="AC72" i="7" s="1"/>
  <c r="AG66" i="7" l="1"/>
  <c r="AG67" i="7" s="1"/>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EB60EDD2-D52E-4342-B48E-4C1170E71339}">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<sst xmlns="http://schemas.openxmlformats.org/spreadsheetml/2006/main" count="4999" uniqueCount="2749">
  <si>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</si>
  <si>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</si>
  <si>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</si>
  <si>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</si>
  <si>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</si>
  <si>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</si>
  <si>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</si>
  <si>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</si>
  <si>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</si>
  <si>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</si>
  <si>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</si>
  <si>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</si>
  <si>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</si>
  <si>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</si>
  <si>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</si>
  <si>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</si>
  <si>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</si>
  <si>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</si>
  <si>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</si>
  <si>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</si>
  <si>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</si>
  <si>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</si>
  <si>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</si>
  <si>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</si>
  <si>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</si>
  <si>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</si>
  <si>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</si>
  <si>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</si>
  <si>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</si>
  <si>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</si>
  <si>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</si>
  <si>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</si>
  <si>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</si>
  <si>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</si>
  <si>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</si>
  <si>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</si>
  <si>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</si>
  <si>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</si>
  <si>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</si>
  <si>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</si>
  <si>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</si>
  <si>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</si>
  <si>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</si>
  <si>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</si>
  <si>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</si>
  <si>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</si>
  <si>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</si>
  <si>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</si>
  <si>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</si>
  <si>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</si>
  <si>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</si>
  <si>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</si>
  <si>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</si>
  <si>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</si>
  <si>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</si>
  <si>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</si>
  <si>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</si>
  <si>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</si>
  <si>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</si>
  <si>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</si>
  <si>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</si>
  <si>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</si>
  <si>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</si>
  <si>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</si>
  <si>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</si>
  <si>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</si>
  <si>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</si>
  <si>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</si>
  <si>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</si>
  <si>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</si>
  <si>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</si>
  <si>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</si>
  <si>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</si>
  <si>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</si>
  <si>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</si>
  <si>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</si>
  <si>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</si>
  <si>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</si>
  <si>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</si>
  <si>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</si>
  <si>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</si>
  <si>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</si>
  <si>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</si>
  <si>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</si>
  <si>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</si>
  <si>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</si>
  <si>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</si>
  <si>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</si>
  <si>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</si>
  <si>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</si>
  <si>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</si>
  <si>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</si>
  <si>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</si>
  <si>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</si>
  <si>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</si>
  <si>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</si>
  <si>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</si>
  <si>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</si>
  <si>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</si>
  <si>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</si>
  <si>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</si>
  <si>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</si>
  <si>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</si>
  <si>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</si>
  <si>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</si>
  <si>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</si>
  <si>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</si>
  <si>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</si>
  <si>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</si>
  <si>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</si>
  <si>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</si>
  <si>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</si>
  <si>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</si>
  <si>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</si>
  <si>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</si>
  <si>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</si>
  <si>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</si>
  <si>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</si>
  <si>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</si>
  <si>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</si>
  <si>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</si>
  <si>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</si>
  <si>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</si>
  <si>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</si>
  <si>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</si>
  <si>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</si>
  <si>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</si>
  <si>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</si>
  <si>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</si>
  <si>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</si>
  <si>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</si>
  <si>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</si>
  <si>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</si>
  <si>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</si>
  <si>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</si>
  <si>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</si>
  <si>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</si>
  <si>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</si>
  <si>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</si>
  <si>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</si>
  <si>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</si>
  <si>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</si>
  <si>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</si>
  <si>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</si>
  <si>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</si>
  <si>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</si>
  <si>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</si>
  <si>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</si>
  <si>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</si>
  <si>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</si>
  <si>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</si>
  <si>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</si>
  <si>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</si>
  <si>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</si>
  <si>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</si>
  <si>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</si>
  <si>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</si>
  <si>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</si>
  <si>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</si>
  <si>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</si>
  <si>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</si>
  <si>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</si>
  <si>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</si>
  <si>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</si>
  <si>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</si>
  <si>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</si>
  <si>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</si>
  <si>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</si>
  <si>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</si>
  <si>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</si>
  <si>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</si>
  <si>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</si>
  <si>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</si>
  <si>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</si>
  <si>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</si>
  <si>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</si>
  <si>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</si>
  <si>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</si>
  <si>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</si>
  <si>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</si>
  <si>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</si>
  <si>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</si>
  <si>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</si>
  <si>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</si>
  <si>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</si>
  <si>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</si>
  <si>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</si>
  <si>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</si>
  <si>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</si>
  <si>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</si>
  <si>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</si>
  <si>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</si>
  <si>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</si>
  <si>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</si>
  <si>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</si>
  <si>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</si>
  <si>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</si>
  <si>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</si>
  <si>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</si>
  <si>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</si>
  <si>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</si>
  <si>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</si>
  <si>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</si>
  <si>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</si>
  <si>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</si>
  <si>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</si>
  <si>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</si>
  <si>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</si>
  <si>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</si>
  <si>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</si>
  <si>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</si>
  <si>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</si>
  <si>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</si>
  <si>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</si>
  <si>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</si>
  <si>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</si>
  <si>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</si>
  <si>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</si>
  <si>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</si>
  <si>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</si>
  <si>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</si>
  <si>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</si>
  <si>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</si>
  <si>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</si>
  <si>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</si>
  <si>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</si>
  <si>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</si>
  <si>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</si>
  <si>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</si>
  <si>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</si>
  <si>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</si>
  <si>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</si>
  <si>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</si>
  <si>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</si>
  <si>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</si>
  <si>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</si>
  <si>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</si>
  <si>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</si>
  <si>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</si>
  <si>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</si>
  <si>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</si>
  <si>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</si>
  <si>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</si>
  <si>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</si>
  <si>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</si>
  <si>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</si>
  <si>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</si>
  <si>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</si>
  <si>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</si>
  <si>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</si>
  <si>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</si>
  <si>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</si>
  <si>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</si>
  <si>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</si>
  <si>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</si>
  <si>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</si>
  <si>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</si>
  <si>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</si>
  <si>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</si>
  <si>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</si>
  <si>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</si>
  <si>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</si>
  <si>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</si>
  <si>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</si>
  <si>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</si>
  <si>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</si>
  <si>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</si>
  <si>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</si>
  <si>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</si>
  <si>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</si>
  <si>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</si>
  <si>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</si>
  <si>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</si>
  <si>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</si>
  <si>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</si>
  <si>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</si>
  <si>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</si>
  <si>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</si>
  <si>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</si>
  <si>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</si>
  <si>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</si>
  <si>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</si>
  <si>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</si>
  <si>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</si>
  <si>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</si>
  <si>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</si>
  <si>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</si>
  <si>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</si>
  <si>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</si>
  <si>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</si>
  <si>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</si>
  <si>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</si>
  <si>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</si>
  <si>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</si>
  <si>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</si>
  <si>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</si>
  <si>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</si>
  <si>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</si>
  <si>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</si>
  <si>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</si>
  <si>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</si>
  <si>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</si>
  <si>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</si>
  <si>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</si>
  <si>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</si>
  <si>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</si>
  <si>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</si>
  <si>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</si>
  <si>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</si>
  <si>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</si>
  <si>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</si>
  <si>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</si>
  <si>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</si>
  <si>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</si>
  <si>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</si>
  <si>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</si>
  <si>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</si>
  <si>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</si>
  <si>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</si>
  <si>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</si>
  <si>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</si>
  <si>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</si>
  <si>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</si>
  <si>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</si>
  <si>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</si>
  <si>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</si>
  <si>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</si>
  <si>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</si>
  <si>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</si>
  <si>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</si>
  <si>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</si>
  <si>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</si>
  <si>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</si>
  <si>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</si>
  <si>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</si>
  <si>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</si>
  <si>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</si>
  <si>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</si>
  <si>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</si>
  <si>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</si>
  <si>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</si>
  <si>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</si>
  <si>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</si>
  <si>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</si>
  <si>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</si>
  <si>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</si>
  <si>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</si>
  <si>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</si>
  <si>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</si>
  <si>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</si>
  <si>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</si>
  <si>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</si>
  <si>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</si>
  <si>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</si>
  <si>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</si>
  <si>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</si>
  <si>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</si>
  <si>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</si>
  <si>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</si>
  <si>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</si>
  <si>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</si>
  <si>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</si>
  <si>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</si>
  <si>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</si>
  <si>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</si>
  <si>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</si>
  <si>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</si>
  <si>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</si>
  <si>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</si>
  <si>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</si>
  <si>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</si>
  <si>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</si>
  <si>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</si>
  <si>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</si>
  <si>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</si>
  <si>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</si>
  <si>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</si>
  <si>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</si>
  <si>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</si>
  <si>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</si>
  <si>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</si>
  <si>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</si>
  <si>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</si>
  <si>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</si>
  <si>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</si>
  <si>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</si>
  <si>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</si>
  <si>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</si>
  <si>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</si>
  <si>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</si>
  <si>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</si>
  <si>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</si>
  <si>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</si>
  <si>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</si>
  <si>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</si>
  <si>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</si>
  <si>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</si>
  <si>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</si>
  <si>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</si>
  <si>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</si>
  <si>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</si>
  <si>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</si>
  <si>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</si>
  <si>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</si>
  <si>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</si>
  <si>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</si>
  <si>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</si>
  <si>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</si>
  <si>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</si>
  <si>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</si>
  <si>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</si>
  <si>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</si>
  <si>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</si>
  <si>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</si>
  <si>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</si>
  <si>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</si>
  <si>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</si>
  <si>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</si>
  <si>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</si>
  <si>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</si>
  <si>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</si>
  <si>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</si>
  <si>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</si>
  <si>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</si>
  <si>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</si>
  <si>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</si>
  <si>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</si>
  <si>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</si>
  <si>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</si>
  <si>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</si>
  <si>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</si>
  <si>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</si>
  <si>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</si>
  <si>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</si>
  <si>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</si>
  <si>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</si>
  <si>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</si>
  <si>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</si>
  <si>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</si>
  <si>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</si>
  <si>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</si>
  <si>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</si>
  <si>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</si>
  <si>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</si>
  <si>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</si>
  <si>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</si>
  <si>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</si>
  <si>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</si>
  <si>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</si>
  <si>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</si>
  <si>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</si>
  <si>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</si>
  <si>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</si>
  <si>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</si>
  <si>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</si>
  <si>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</si>
  <si>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</si>
  <si>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</si>
  <si>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</si>
  <si>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</si>
  <si>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</si>
  <si>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</si>
  <si>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</si>
  <si>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</si>
  <si>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</si>
  <si>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</si>
  <si>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</si>
  <si>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</si>
  <si>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</si>
  <si>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</si>
  <si>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</si>
  <si>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</si>
  <si>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</si>
  <si>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</si>
  <si>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</si>
  <si>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</si>
  <si>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</si>
  <si>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</si>
  <si>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</si>
  <si>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</si>
  <si>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</si>
  <si>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</si>
  <si>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</si>
  <si>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</si>
  <si>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</si>
  <si>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</si>
  <si>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</si>
  <si>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</si>
  <si>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</si>
  <si>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</si>
  <si>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</si>
  <si>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</si>
  <si>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</si>
  <si>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</si>
  <si>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</si>
  <si>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</si>
  <si>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</si>
  <si>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</si>
  <si>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</si>
  <si>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</si>
  <si>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</si>
  <si>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</si>
  <si>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</si>
  <si>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</si>
  <si>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</si>
  <si>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</si>
  <si>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</si>
  <si>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</si>
  <si>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</si>
  <si>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</si>
  <si>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</si>
  <si>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</si>
  <si>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</si>
  <si>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</si>
  <si>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</si>
  <si>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</si>
  <si>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</si>
  <si>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</si>
  <si>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</si>
  <si>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</si>
  <si>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</si>
  <si>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</si>
  <si>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</si>
  <si>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</si>
  <si>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</si>
  <si>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</si>
  <si>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</si>
  <si>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</si>
  <si>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</si>
  <si>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</si>
  <si>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</si>
  <si>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</si>
  <si>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</si>
  <si>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</si>
  <si>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</si>
  <si>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</si>
  <si>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</si>
  <si>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</si>
  <si>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</si>
  <si>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</si>
  <si>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</si>
  <si>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</si>
  <si>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</si>
  <si>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</si>
  <si>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</si>
  <si>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</si>
  <si>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</si>
  <si>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</si>
  <si>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</si>
  <si>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</si>
  <si>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</si>
  <si>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</si>
  <si>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</si>
  <si>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</si>
  <si>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</si>
  <si>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</si>
  <si>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</si>
  <si>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</si>
  <si>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</si>
  <si>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</si>
  <si>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</si>
  <si>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</si>
  <si>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</si>
  <si>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</si>
  <si>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</si>
  <si>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</si>
  <si>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</si>
  <si>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</si>
  <si>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</si>
  <si>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</si>
  <si>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</si>
  <si>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</si>
  <si>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</si>
  <si>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</si>
  <si>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</si>
  <si>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</si>
  <si>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</si>
  <si>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</si>
  <si>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</si>
  <si>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</si>
  <si>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</si>
  <si>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</si>
  <si>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</si>
  <si>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</si>
  <si>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</si>
  <si>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</si>
  <si>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</si>
  <si>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</si>
  <si>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</si>
  <si>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</si>
  <si>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</si>
  <si>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</si>
  <si>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</si>
  <si>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</si>
  <si>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</si>
  <si>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</si>
  <si>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</si>
  <si>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</si>
  <si>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</si>
  <si>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</si>
  <si>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</si>
  <si>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</si>
  <si>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</si>
  <si>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</si>
  <si>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</si>
  <si>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</si>
  <si>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</si>
  <si>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</si>
  <si>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</si>
  <si>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</si>
  <si>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</si>
  <si>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</si>
  <si>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</si>
  <si>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</si>
  <si>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</si>
  <si>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</si>
  <si>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</si>
  <si>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</si>
  <si>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</si>
  <si>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</si>
  <si>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</si>
  <si>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</si>
  <si>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</si>
  <si>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</si>
  <si>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</si>
  <si>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</si>
  <si>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</si>
  <si>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</si>
  <si>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</si>
  <si>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</si>
  <si>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</si>
  <si>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</si>
  <si>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</si>
  <si>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</si>
  <si>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</si>
  <si>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</si>
  <si>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</si>
  <si>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</si>
  <si>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</si>
  <si>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</si>
  <si>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</si>
  <si>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</si>
  <si>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</si>
  <si>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</si>
  <si>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</si>
  <si>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</si>
  <si>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</si>
  <si>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</si>
  <si>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</si>
  <si>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</si>
  <si>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</si>
  <si>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</si>
  <si>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</si>
  <si>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</si>
  <si>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</si>
  <si>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</si>
  <si>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</si>
  <si>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</si>
  <si>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</si>
  <si>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</si>
  <si>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</si>
  <si>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</si>
  <si>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</si>
  <si>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</si>
  <si>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</si>
  <si>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</si>
  <si>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</si>
  <si>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334 San Antonio LP</t>
  </si>
  <si>
    <t>MIP Amount</t>
  </si>
  <si>
    <t>PROJECT NAME:</t>
  </si>
  <si>
    <t xml:space="preserve">334 San Antonio Apartments </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</si>
  <si>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</si>
  <si>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</si>
  <si>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</si>
  <si>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</si>
  <si>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</si>
  <si>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</si>
  <si>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</si>
  <si>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</si>
  <si>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</si>
  <si>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</si>
  <si>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</si>
  <si>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</si>
  <si>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</si>
  <si>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</si>
  <si>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</si>
  <si>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</si>
  <si>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</si>
  <si>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</si>
  <si>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</si>
  <si>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</si>
  <si>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</si>
  <si>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</si>
  <si>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</si>
  <si>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</si>
  <si>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</si>
  <si>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</si>
  <si>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</si>
  <si>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</si>
  <si>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</si>
  <si>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</si>
  <si>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</si>
  <si>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</si>
  <si>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</si>
  <si>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</si>
  <si>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</si>
  <si>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</si>
  <si>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</si>
  <si>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</si>
  <si>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</si>
  <si>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</si>
  <si>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</si>
  <si>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</si>
  <si>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</si>
  <si>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</si>
  <si>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</si>
  <si>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</si>
  <si>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</si>
  <si>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</si>
  <si>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</si>
  <si>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</si>
  <si>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</si>
  <si>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</si>
  <si>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</si>
  <si>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</si>
  <si>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</si>
  <si>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</si>
  <si>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</si>
  <si>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</si>
  <si>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</si>
  <si>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</si>
  <si>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</si>
  <si>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</si>
  <si>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</si>
  <si>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</si>
  <si>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</si>
  <si>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</si>
  <si>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</si>
  <si>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</si>
  <si>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</si>
  <si>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</si>
  <si>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</si>
  <si>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</si>
  <si>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</si>
  <si>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</si>
  <si>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</si>
  <si>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</si>
  <si>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</si>
  <si>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</si>
  <si>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</si>
  <si>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</si>
  <si>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</si>
  <si>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</si>
  <si>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</si>
  <si>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</si>
  <si>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</si>
  <si>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</si>
  <si>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</si>
  <si>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</si>
  <si>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</si>
  <si>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</si>
  <si>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</si>
  <si>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</si>
  <si>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</si>
  <si>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</si>
  <si>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</si>
  <si>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</si>
  <si>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</si>
  <si>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</si>
  <si>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</si>
  <si>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</si>
  <si>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</si>
  <si>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</si>
  <si>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</si>
  <si>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</si>
  <si>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</si>
  <si>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</si>
  <si>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</si>
  <si>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</si>
  <si>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</si>
  <si>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</si>
  <si>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</si>
  <si>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</si>
  <si>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</si>
  <si>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</si>
  <si>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</si>
  <si>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</si>
  <si>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</si>
  <si>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</si>
  <si>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</si>
  <si>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Michael Miller</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</si>
  <si>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</si>
  <si>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</si>
  <si>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</si>
  <si>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</si>
  <si>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</si>
  <si>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</si>
  <si>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</si>
  <si>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</si>
  <si>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</si>
  <si>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</si>
  <si>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Mountain View</t>
  </si>
  <si>
    <t>Inland (Fresno, Imperial, Kern, Kings, Madera, Merced, Riverside, San Bernardino, Stanislaus, and Tulare Counties)</t>
  </si>
  <si>
    <t>4% 2025 TBLs</t>
  </si>
  <si>
    <t>9% 2025 TBLs</t>
  </si>
  <si>
    <t>City Manager:</t>
  </si>
  <si>
    <t>Ms. Vera Gill</t>
  </si>
  <si>
    <t>Northern (Butte, El Dorado, Placer, Sacramento, San Joaquin, Shasta, Solano, Sutter, Yuba, and Yolo Counties)</t>
  </si>
  <si>
    <t>Title:</t>
  </si>
  <si>
    <t xml:space="preserve">Project Manager </t>
  </si>
  <si>
    <t>N/A</t>
  </si>
  <si>
    <t xml:space="preserve">Mailing Address: </t>
  </si>
  <si>
    <t>500 Castro St</t>
  </si>
  <si>
    <t>2024 100% RENTS</t>
  </si>
  <si>
    <t>2025 FAIR MARKET RENTS</t>
  </si>
  <si>
    <t xml:space="preserve">City: </t>
  </si>
  <si>
    <t>Mountain View</t>
  </si>
  <si>
    <t>ALAMEDA</t>
  </si>
  <si>
    <t>Alameda</t>
  </si>
  <si>
    <t>California Tax Credit Allocation Committee</t>
  </si>
  <si>
    <t>Housing and Urban Development</t>
  </si>
  <si>
    <t xml:space="preserve">Zip Code: </t>
  </si>
  <si>
    <t>ALPINE</t>
  </si>
  <si>
    <t>Alpine</t>
  </si>
  <si>
    <t>Phone Number:</t>
  </si>
  <si>
    <t>(650)903-6459</t>
  </si>
  <si>
    <t>Ext.</t>
  </si>
  <si>
    <t>AMADOR</t>
  </si>
  <si>
    <t>Amador</t>
  </si>
  <si>
    <t>County</t>
  </si>
  <si>
    <t>SRO/Studio</t>
  </si>
  <si>
    <t>1 Bedroom</t>
  </si>
  <si>
    <t>2 Bedrooms</t>
  </si>
  <si>
    <t>3 Bedrooms</t>
  </si>
  <si>
    <t>4 Bedrooms</t>
  </si>
  <si>
    <t>5 Bedrooms</t>
  </si>
  <si>
    <t>SRO/STUDIO</t>
  </si>
  <si>
    <t>4+ Bedrooms</t>
  </si>
  <si>
    <t xml:space="preserve">FAX Number: </t>
  </si>
  <si>
    <t>(650) 962-0339</t>
  </si>
  <si>
    <t>BUTTE</t>
  </si>
  <si>
    <t>Butte</t>
  </si>
  <si>
    <t xml:space="preserve">E-mail: </t>
  </si>
  <si>
    <t>vera.gil@mountainview.gov</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</si>
  <si>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</si>
  <si>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</si>
  <si>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</si>
  <si>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</si>
  <si>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</si>
  <si>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</si>
  <si>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</si>
  <si>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</si>
  <si>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</si>
  <si>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</si>
  <si>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</si>
  <si>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</si>
  <si>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</si>
  <si>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</si>
  <si>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</si>
  <si>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</si>
  <si>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</si>
  <si>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</si>
  <si>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</si>
  <si>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</si>
  <si>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</si>
  <si>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</si>
  <si>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</si>
  <si>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</si>
  <si>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</si>
  <si>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</si>
  <si>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</si>
  <si>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</si>
  <si>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</si>
  <si>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</si>
  <si>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</si>
  <si>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</si>
  <si>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</si>
  <si>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</si>
  <si>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</si>
  <si>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</si>
  <si>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</si>
  <si>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</si>
  <si>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</si>
  <si>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</si>
  <si>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</si>
  <si>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</si>
  <si>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</si>
  <si>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</si>
  <si>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</si>
  <si>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</si>
  <si>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</si>
  <si>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</si>
  <si>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</si>
  <si>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</si>
  <si>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</si>
  <si>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</si>
  <si>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</si>
  <si>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</si>
  <si>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</si>
  <si>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</si>
  <si>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</si>
  <si>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</si>
  <si>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</si>
  <si>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</si>
  <si>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</si>
  <si>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</si>
  <si>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</si>
  <si>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</si>
  <si>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</si>
  <si>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</si>
  <si>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</si>
  <si>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</si>
  <si>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</si>
  <si>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</si>
  <si>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</si>
  <si>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</si>
  <si>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</si>
  <si>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</si>
  <si>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</si>
  <si>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</si>
  <si>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334 San Antonio Road, Mountain View</t>
  </si>
  <si>
    <t>Federal and State:</t>
  </si>
  <si>
    <t>NEVADA</t>
  </si>
  <si>
    <t>Nevada</t>
  </si>
  <si>
    <t>If address is not established, enter detailed description (i.e. NW corner of 26th and Elm)</t>
  </si>
  <si>
    <t>ORANGE</t>
  </si>
  <si>
    <t>Orange</t>
  </si>
  <si>
    <t>PLACER</t>
  </si>
  <si>
    <t>Placer</t>
  </si>
  <si>
    <t>PLUMAS</t>
  </si>
  <si>
    <t>Plumas</t>
  </si>
  <si>
    <t>City:</t>
  </si>
  <si>
    <t>Santa Clara</t>
  </si>
  <si>
    <t>County:</t>
  </si>
  <si>
    <t>RIVERSIDE</t>
  </si>
  <si>
    <t>Riverside</t>
  </si>
  <si>
    <t>Zip Code:</t>
  </si>
  <si>
    <t>Census Tract:</t>
  </si>
  <si>
    <t>Large Family</t>
  </si>
  <si>
    <t>SACRAMENTO</t>
  </si>
  <si>
    <t>Sacramento</t>
  </si>
  <si>
    <t>Assessor's Parcel Number(s):</t>
  </si>
  <si>
    <t>148-15-020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</si>
  <si>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</si>
  <si>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</si>
  <si>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</si>
  <si>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</si>
  <si>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</si>
  <si>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</si>
  <si>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</si>
  <si>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</si>
  <si>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</si>
  <si>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</si>
  <si>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</si>
  <si>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</si>
  <si>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</si>
  <si>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</si>
  <si>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</si>
  <si>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</si>
  <si>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</si>
  <si>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</si>
  <si>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</si>
  <si>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</si>
  <si>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</si>
  <si>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</si>
  <si>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</si>
  <si>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</si>
  <si>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</si>
  <si>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</si>
  <si>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</si>
  <si>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</si>
  <si>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</si>
  <si>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</si>
  <si>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</si>
  <si>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</si>
  <si>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</si>
  <si>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</si>
  <si>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</si>
  <si>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</si>
  <si>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</si>
  <si>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</si>
  <si>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</si>
  <si>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</si>
  <si>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</si>
  <si>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</si>
  <si>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</si>
  <si>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</si>
  <si>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</si>
  <si>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</si>
  <si>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</si>
  <si>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</si>
  <si>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</si>
  <si>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</si>
  <si>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</si>
  <si>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</si>
  <si>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</si>
  <si>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</si>
  <si>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</si>
  <si>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</si>
  <si>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</si>
  <si>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</si>
  <si>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</si>
  <si>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</si>
  <si>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</si>
  <si>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</si>
  <si>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</si>
  <si>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</si>
  <si>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</si>
  <si>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</si>
  <si>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</si>
  <si>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</si>
  <si>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</si>
  <si>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</si>
  <si>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</si>
  <si>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</si>
  <si>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</si>
  <si>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</si>
  <si>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</si>
  <si>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</si>
  <si>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</si>
  <si>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</si>
  <si>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</si>
  <si>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</si>
  <si>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</si>
  <si>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</si>
  <si>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</si>
  <si>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</si>
  <si>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</si>
  <si>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</si>
  <si>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</si>
  <si>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</si>
  <si>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</si>
  <si>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</si>
  <si>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</si>
  <si>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</si>
  <si>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</si>
  <si>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</si>
  <si>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</si>
  <si>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</si>
  <si>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</si>
  <si>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</si>
  <si>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</si>
  <si>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</si>
  <si>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</si>
  <si>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</si>
  <si>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</si>
  <si>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</si>
  <si>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</si>
  <si>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</si>
  <si>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</si>
  <si>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</si>
  <si>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</si>
  <si>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</si>
  <si>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</si>
  <si>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</si>
  <si>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</si>
  <si>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</si>
  <si>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</si>
  <si>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</si>
  <si>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</si>
  <si>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</si>
  <si>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</si>
  <si>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</si>
  <si>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</si>
  <si>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4915 Gambier St</t>
  </si>
  <si>
    <t>State:</t>
  </si>
  <si>
    <t>CA</t>
  </si>
  <si>
    <t>Contact Person:</t>
  </si>
  <si>
    <t>Phone:</t>
  </si>
  <si>
    <t>650-464-1319</t>
  </si>
  <si>
    <t>Ext.:</t>
  </si>
  <si>
    <t>Fax:</t>
  </si>
  <si>
    <t>both nonprofits</t>
  </si>
  <si>
    <t xml:space="preserve">Email: </t>
  </si>
  <si>
    <t>mike@boldcommunities.org</t>
  </si>
  <si>
    <t>Legal Status of Applicant:</t>
  </si>
  <si>
    <t>Parent Company:</t>
  </si>
  <si>
    <t>If Other, Specify:</t>
  </si>
  <si>
    <t>both for-profit</t>
  </si>
  <si>
    <t>General Partner(s) Information (post-closing GPs):</t>
  </si>
  <si>
    <t>D(1)</t>
  </si>
  <si>
    <t>General Partner Name:</t>
  </si>
  <si>
    <t>Bold Communities</t>
  </si>
  <si>
    <t>Managing GP</t>
  </si>
  <si>
    <t>OWNERSHIP</t>
  </si>
  <si>
    <t>Nonprofit</t>
  </si>
  <si>
    <t>INTEREST (%):</t>
  </si>
  <si>
    <t>currently exists</t>
  </si>
  <si>
    <t>to be formed</t>
  </si>
  <si>
    <t>For Profit</t>
  </si>
  <si>
    <t>Nonprofit/For Profit:</t>
  </si>
  <si>
    <t>D(2)</t>
  </si>
  <si>
    <t>General Partner Name:*</t>
  </si>
  <si>
    <t>334 San Antonio AGP LLC</t>
  </si>
  <si>
    <t>Administrative GP</t>
  </si>
  <si>
    <t>122 E 42nd Street, suite 1903</t>
  </si>
  <si>
    <t>New York</t>
  </si>
  <si>
    <t>Paul Salib</t>
  </si>
  <si>
    <t>212-776-1914</t>
  </si>
  <si>
    <t>psalib@crpaffordable.com</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</si>
  <si>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</si>
  <si>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</si>
  <si>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</si>
  <si>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</si>
  <si>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</si>
  <si>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</si>
  <si>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</si>
  <si>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</si>
  <si>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</si>
  <si>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CRP Affordable Housing and Community Development LLC</t>
  </si>
  <si>
    <t>NY</t>
  </si>
  <si>
    <t>Seth Sterneck</t>
  </si>
  <si>
    <t>646-518-7280</t>
  </si>
  <si>
    <t>ssterneck@crpaffordable.com</t>
  </si>
  <si>
    <t>Participatory Role:</t>
  </si>
  <si>
    <t>(e.g., General Partner, Consultant, etc.)</t>
  </si>
  <si>
    <t>II. APPLICATION - SECTION 4: DEVELOPMENT TEAM INFORMATION</t>
  </si>
  <si>
    <t>Indicate and List All Development Team Members</t>
  </si>
  <si>
    <t>Developer:</t>
  </si>
  <si>
    <t>Architect:</t>
  </si>
  <si>
    <t>Shelter Architects</t>
  </si>
  <si>
    <t>Address:</t>
  </si>
  <si>
    <t>Gladys M. Bowen, AIA</t>
  </si>
  <si>
    <t>City, State, Zip</t>
  </si>
  <si>
    <t>New York, NY 10168</t>
  </si>
  <si>
    <t>City, State, Zip:</t>
  </si>
  <si>
    <t>87 N Raymond Ave, Pasadena CA 91103</t>
  </si>
  <si>
    <t>Email:</t>
  </si>
  <si>
    <t>Attorney:</t>
  </si>
  <si>
    <t>Hobson Bernardino + Davis LLP</t>
  </si>
  <si>
    <t>General Contractor:</t>
  </si>
  <si>
    <t>Ironcore Construction LLC</t>
  </si>
  <si>
    <t>6060 Center Drive, Floor 10</t>
  </si>
  <si>
    <t>4429 Morena Boulevard, Suite A</t>
  </si>
  <si>
    <t>Los Angeles, CA 90045</t>
  </si>
  <si>
    <t>San Diego, CA 92127</t>
  </si>
  <si>
    <t>Jason Hobson</t>
  </si>
  <si>
    <t>Tom Hodgins</t>
  </si>
  <si>
    <t>213-235-9191</t>
  </si>
  <si>
    <t>(619) 378-7878</t>
  </si>
  <si>
    <t>jhobson@hbdlegal.com</t>
  </si>
  <si>
    <t>thodgin@ironcorecc.com</t>
  </si>
  <si>
    <t>Tax Professional:</t>
  </si>
  <si>
    <t>Energy Consultant:</t>
  </si>
  <si>
    <t>Partner Energy</t>
  </si>
  <si>
    <t>980 Knox St. Suite 150</t>
  </si>
  <si>
    <t>Los Angeles, Ca 90502</t>
  </si>
  <si>
    <t>Kelsey Shaw</t>
  </si>
  <si>
    <t>310-356-2199</t>
  </si>
  <si>
    <t>kshaw@ptrenergy.com</t>
  </si>
  <si>
    <t>CPA:</t>
  </si>
  <si>
    <t>Novogradac Consulting LLP</t>
  </si>
  <si>
    <t>Investor:</t>
  </si>
  <si>
    <t>Red Stone Equity Partner</t>
  </si>
  <si>
    <t>6700 Antioch Rd #450</t>
  </si>
  <si>
    <t xml:space="preserve">90 Park Ave 28th floor, </t>
  </si>
  <si>
    <t>Merriam, Kansas 66204</t>
  </si>
  <si>
    <t>New York, NY 10016</t>
  </si>
  <si>
    <t>Thomas Stagg</t>
  </si>
  <si>
    <t>Matt Grosz</t>
  </si>
  <si>
    <t>515-519-1234</t>
  </si>
  <si>
    <t>(858) 752-2066</t>
  </si>
  <si>
    <t>thomas.stagg@novoco.com</t>
  </si>
  <si>
    <t>Matt.Grosz@rsequity.com</t>
  </si>
  <si>
    <t>Consultant:</t>
  </si>
  <si>
    <t>Market Analyst:</t>
  </si>
  <si>
    <t>Rachel Denton</t>
  </si>
  <si>
    <t>913-312-4612</t>
  </si>
  <si>
    <t>rachel.denton@novoco.com</t>
  </si>
  <si>
    <t>Appraiser:</t>
  </si>
  <si>
    <t>CNA Consultant:</t>
  </si>
  <si>
    <t>Bond Issuer:</t>
  </si>
  <si>
    <t>California Municipal Finance Authority</t>
  </si>
  <si>
    <t>Prop. Mgmt. Co.:</t>
  </si>
  <si>
    <t>Cambridge Real Estate Services, Inc.</t>
  </si>
  <si>
    <t>2111 Palomar Airport Road, Suite 320</t>
  </si>
  <si>
    <t>PO Box 2968</t>
  </si>
  <si>
    <t>Carlsbad, CA 92011</t>
  </si>
  <si>
    <t>Portland,OR, 97208</t>
  </si>
  <si>
    <t>John P. Stoecker</t>
  </si>
  <si>
    <t>Jeffrey Passadore</t>
  </si>
  <si>
    <t>(760) 930-1221</t>
  </si>
  <si>
    <t>503-450-0233</t>
  </si>
  <si>
    <t>(760) 683-3390</t>
  </si>
  <si>
    <t>jstoecker@cmfa-ca.com</t>
  </si>
  <si>
    <t>jpassadore@cambridgeres.com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</si>
  <si>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</si>
  <si>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</si>
  <si>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</si>
  <si>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</si>
  <si>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</si>
  <si>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</si>
  <si>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</si>
  <si>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</si>
  <si>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</si>
  <si>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</si>
  <si>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</si>
  <si>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</si>
  <si>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</si>
  <si>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</si>
  <si>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</si>
  <si>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</si>
  <si>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</si>
  <si>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</si>
  <si>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</si>
  <si>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</si>
  <si>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</si>
  <si>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</si>
  <si>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</si>
  <si>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</si>
  <si>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</si>
  <si>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</si>
  <si>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</si>
  <si>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</si>
  <si>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</si>
  <si>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</si>
  <si>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</si>
  <si>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</si>
  <si>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</si>
  <si>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334 San Antonio LLC</t>
  </si>
  <si>
    <t>Signatory of Seller:</t>
  </si>
  <si>
    <t>Seller Principal:</t>
  </si>
  <si>
    <t>CEO</t>
  </si>
  <si>
    <t>Seller Address:</t>
  </si>
  <si>
    <t>122 East 42nd Street, Suite 1903, New York , NY 10168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</si>
  <si>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</si>
  <si>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</si>
  <si>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</si>
  <si>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</si>
  <si>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</si>
  <si>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</si>
  <si>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</si>
  <si>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</si>
  <si>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</si>
  <si>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</si>
  <si>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</si>
  <si>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</si>
  <si>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</si>
  <si>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</si>
  <si>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</si>
  <si>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</si>
  <si>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</si>
  <si>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</si>
  <si>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</si>
  <si>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</si>
  <si>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</si>
  <si>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SafeHold Inc.</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</si>
  <si>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</si>
  <si>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</si>
  <si>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</si>
  <si>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</si>
  <si>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</si>
  <si>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</si>
  <si>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</si>
  <si>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</si>
  <si>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</si>
  <si>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 xml:space="preserve">8- Story Building, The building will comprise five stories of Type IIIA construction above three stories of Type IA construction. </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</si>
  <si>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</si>
  <si>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</si>
  <si>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</si>
  <si>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</si>
  <si>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</si>
  <si>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</si>
  <si>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</si>
  <si>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</si>
  <si>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</si>
  <si>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</si>
  <si>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</si>
  <si>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</si>
  <si>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</si>
  <si>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</si>
  <si>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</si>
  <si>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</si>
  <si>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</si>
  <si>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</si>
  <si>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</si>
  <si>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</si>
  <si>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</si>
  <si>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</si>
  <si>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</si>
  <si>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</si>
  <si>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</si>
  <si>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</si>
  <si>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</si>
  <si>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</si>
  <si>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</si>
  <si>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</si>
  <si>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</si>
  <si>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</si>
  <si>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</si>
  <si>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</si>
  <si>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</si>
  <si>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</si>
  <si>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</si>
  <si>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</si>
  <si>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</si>
  <si>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</si>
  <si>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</si>
  <si>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</si>
  <si>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</si>
  <si>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</si>
  <si>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</si>
  <si>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</si>
  <si>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</si>
  <si>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</si>
  <si>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</si>
  <si>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</si>
  <si>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Large Fmily</t>
  </si>
  <si>
    <t>Units with tenants qualifying as two or more of the above (explain):</t>
  </si>
  <si>
    <t>II. APPLICATION - SECTION 6:  REQUIRED APPROVALS &amp; DEVELOPMENT TIMETABLE</t>
  </si>
  <si>
    <t>Project and Site Information</t>
  </si>
  <si>
    <t>Current Land Use Designation</t>
  </si>
  <si>
    <t>P(40) - Planned Community / San Antonio Precise Plan</t>
  </si>
  <si>
    <t>Current Zoning and Maximum Density</t>
  </si>
  <si>
    <t>Proposed Zoning and Maximum Density</t>
  </si>
  <si>
    <t>P(40) - Planned Community / San Antonio Precise Plan- 161DU/AC</t>
  </si>
  <si>
    <t>Occupancy restrictions that run with the land due to CUP’s or density bonuses?</t>
  </si>
  <si>
    <t>(if yes, explain here)</t>
  </si>
  <si>
    <t>Subject to Inclusionary Zoning?</t>
  </si>
  <si>
    <t>Building Height Requirements</t>
  </si>
  <si>
    <t>85'-0" (CODE BUILDING PARAMETERS (2022 CBC) Occupancy R2 / S2 without area increase / Type IA &amp; IIIA)</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</si>
  <si>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</si>
  <si>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</si>
  <si>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</si>
  <si>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</si>
  <si>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</si>
  <si>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</si>
  <si>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</si>
  <si>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</si>
  <si>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</si>
  <si>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</si>
  <si>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</si>
  <si>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</si>
  <si>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</si>
  <si>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</si>
  <si>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</si>
  <si>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</si>
  <si>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</si>
  <si>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</si>
  <si>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</si>
  <si>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</si>
  <si>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</si>
  <si>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</si>
  <si>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</si>
  <si>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</si>
  <si>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</si>
  <si>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</si>
  <si>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</si>
  <si>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</si>
  <si>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</si>
  <si>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</si>
  <si>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</si>
  <si>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</si>
  <si>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</si>
  <si>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</si>
  <si>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</si>
  <si>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</si>
  <si>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</si>
  <si>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</si>
  <si>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</si>
  <si>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</si>
  <si>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</si>
  <si>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</si>
  <si>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</si>
  <si>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</si>
  <si>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</si>
  <si>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</si>
  <si>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</si>
  <si>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</si>
  <si>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</si>
  <si>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</si>
  <si>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</si>
  <si>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</si>
  <si>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</si>
  <si>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</si>
  <si>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</si>
  <si>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</si>
  <si>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</si>
  <si>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</si>
  <si>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</si>
  <si>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</si>
  <si>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</si>
  <si>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</si>
  <si>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</si>
  <si>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</si>
  <si>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</si>
  <si>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</si>
  <si>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</si>
  <si>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</si>
  <si>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</si>
  <si>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</si>
  <si>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</si>
  <si>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</si>
  <si>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Construction Loan (Tax- Exempt)</t>
  </si>
  <si>
    <t>Variable</t>
  </si>
  <si>
    <t>CitiBank Construction Loan (Taxable)</t>
  </si>
  <si>
    <t>Recycled Bond Amount</t>
  </si>
  <si>
    <t>Federal LIHTC Equity</t>
  </si>
  <si>
    <t>State LIHTC Equity</t>
  </si>
  <si>
    <t>6)</t>
  </si>
  <si>
    <t>7)</t>
  </si>
  <si>
    <t>Deferred Costs</t>
  </si>
  <si>
    <t>8)</t>
  </si>
  <si>
    <t>9)</t>
  </si>
  <si>
    <t>10)</t>
  </si>
  <si>
    <t>11)</t>
  </si>
  <si>
    <t>12)</t>
  </si>
  <si>
    <t>Total Funds For Construction:</t>
  </si>
  <si>
    <t>Lender/Source:</t>
  </si>
  <si>
    <t>300 South Grand Avenue</t>
  </si>
  <si>
    <t>Los Angeles, CA 90071</t>
  </si>
  <si>
    <t>Contact Name:</t>
  </si>
  <si>
    <t>Hao Li</t>
  </si>
  <si>
    <t>(212) 239-1914</t>
  </si>
  <si>
    <t>Type of Financing:</t>
  </si>
  <si>
    <t>Tax Exempt Bond/private</t>
  </si>
  <si>
    <t>Variable Rate Index (if applicable):</t>
  </si>
  <si>
    <t>Is the Lender/Source Committed?</t>
  </si>
  <si>
    <t>1114 Avenue of Americas</t>
  </si>
  <si>
    <t>New York NY 10036</t>
  </si>
  <si>
    <t>Steve Wydler</t>
  </si>
  <si>
    <t>310-315-5566</t>
  </si>
  <si>
    <t>Loan</t>
  </si>
  <si>
    <t>122 East 42nd St, STE 1903</t>
  </si>
  <si>
    <t>New York NY 10168</t>
  </si>
  <si>
    <t>Private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</si>
  <si>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</si>
  <si>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</si>
  <si>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</si>
  <si>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</si>
  <si>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</si>
  <si>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</si>
  <si>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Loan- Citibank</t>
  </si>
  <si>
    <t>Required</t>
  </si>
  <si>
    <t>Residual</t>
  </si>
  <si>
    <t>Deferred Developer Fee</t>
  </si>
  <si>
    <t>Deferred</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</si>
  <si>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</si>
  <si>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</si>
  <si>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</si>
  <si>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</si>
  <si>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</si>
  <si>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</si>
  <si>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</si>
  <si>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5/20/205</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</si>
  <si>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</si>
  <si>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</si>
  <si>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</si>
  <si>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</si>
  <si>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</si>
  <si>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</si>
  <si>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</si>
  <si>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</si>
  <si>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</si>
  <si>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</si>
  <si>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</si>
  <si>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</si>
  <si>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</si>
  <si>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</si>
  <si>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</si>
  <si>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</si>
  <si>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</si>
  <si>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</si>
  <si>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</si>
  <si>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</si>
  <si>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</si>
  <si>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</si>
  <si>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</si>
  <si>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</si>
  <si>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</si>
  <si>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</si>
  <si>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</si>
  <si>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</si>
  <si>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</si>
  <si>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</si>
  <si>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</si>
  <si>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</si>
  <si>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</si>
  <si>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</si>
  <si>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</si>
  <si>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</si>
  <si>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</si>
  <si>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</si>
  <si>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</si>
  <si>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</si>
  <si>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</si>
  <si>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</si>
  <si>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</si>
  <si>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</si>
  <si>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</si>
  <si>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</si>
  <si>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</si>
  <si>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</si>
  <si>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</si>
  <si>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</si>
  <si>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</si>
  <si>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</si>
  <si>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</si>
  <si>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</si>
  <si>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</si>
  <si>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</si>
  <si>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</si>
  <si>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</si>
  <si>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</si>
  <si>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</si>
  <si>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</si>
  <si>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</si>
  <si>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</si>
  <si>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</si>
  <si>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</si>
  <si>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</si>
  <si>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</si>
  <si>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</si>
  <si>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</si>
  <si>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</si>
  <si>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</si>
  <si>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</si>
  <si>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</si>
  <si>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</si>
  <si>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</si>
  <si>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</si>
  <si>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</si>
  <si>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</si>
  <si>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</si>
  <si>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</si>
  <si>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</si>
  <si>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</si>
  <si>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</si>
  <si>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</si>
  <si>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</si>
  <si>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Electric/Lighting</t>
  </si>
  <si>
    <t>*PROJECTS PROPOSING UNITS WITH INDIVIDUAL WATER METERS MUST INCLUDE A WATER</t>
  </si>
  <si>
    <t>ALLOWANCE.</t>
  </si>
  <si>
    <t>Name of PHA or California Energy Commission Providing Utility Allowances:</t>
  </si>
  <si>
    <t>Housing Authority Santa Clara County</t>
  </si>
  <si>
    <t>See Regulation Section 10322(h)(21) for type of projects that are allowed to use CUAC.</t>
  </si>
  <si>
    <t>Annual Residential Operating Expenses</t>
  </si>
  <si>
    <t xml:space="preserve"> Administrative</t>
  </si>
  <si>
    <t>Advertising:</t>
  </si>
  <si>
    <t>Legal:</t>
  </si>
  <si>
    <t>Accounting/Audit:</t>
  </si>
  <si>
    <t>Security:</t>
  </si>
  <si>
    <t>Office Expenses+convemtions &amp; meetings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</si>
  <si>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</si>
  <si>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</si>
  <si>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</si>
  <si>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</si>
  <si>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</si>
  <si>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</si>
  <si>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</si>
  <si>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</si>
  <si>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</si>
  <si>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</si>
  <si>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</si>
  <si>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</si>
  <si>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</si>
  <si>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Tax+Payroll</t>
  </si>
  <si>
    <t>Total Payroll / Payroll Taxes:</t>
  </si>
  <si>
    <t>Total Insurance:</t>
  </si>
  <si>
    <t>Painting:</t>
  </si>
  <si>
    <t>Repairs:</t>
  </si>
  <si>
    <t>Trash Removal:</t>
  </si>
  <si>
    <t>Exterminating:</t>
  </si>
  <si>
    <t>Grounds:</t>
  </si>
  <si>
    <t>Elevator:</t>
  </si>
  <si>
    <t>Supplies+Security contract+contracts</t>
  </si>
  <si>
    <t>Total Maintenance:</t>
  </si>
  <si>
    <t>Other Operating</t>
  </si>
  <si>
    <t>Property &amp; liability insurance (hazard)</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</si>
  <si>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</si>
  <si>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</si>
  <si>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</si>
  <si>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</si>
  <si>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</si>
  <si>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</si>
  <si>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</si>
  <si>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</si>
  <si>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</si>
  <si>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</si>
  <si>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</si>
  <si>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</si>
  <si>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</si>
  <si>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</si>
  <si>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</si>
  <si>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</si>
  <si>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</si>
  <si>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</si>
  <si>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</si>
  <si>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</si>
  <si>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</si>
  <si>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</si>
  <si>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</si>
  <si>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</si>
  <si>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</si>
  <si>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</si>
  <si>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</si>
  <si>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</si>
  <si>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</si>
  <si>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</si>
  <si>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</si>
  <si>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</si>
  <si>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</si>
  <si>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</si>
  <si>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</si>
  <si>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</si>
  <si>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</si>
  <si>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</si>
  <si>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</si>
  <si>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</si>
  <si>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</si>
  <si>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</si>
  <si>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</si>
  <si>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</si>
  <si>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</si>
  <si>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</si>
  <si>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</si>
  <si>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</si>
  <si>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</si>
  <si>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</si>
  <si>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</si>
  <si>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</si>
  <si>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</si>
  <si>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</si>
  <si>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</si>
  <si>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</si>
  <si>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</si>
  <si>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</si>
  <si>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LIHTC Equity</t>
  </si>
  <si>
    <t>Local:</t>
  </si>
  <si>
    <t>Safehold TILoan</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</si>
  <si>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</si>
  <si>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</si>
  <si>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</si>
  <si>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</si>
  <si>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</si>
  <si>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</si>
  <si>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</si>
  <si>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</si>
  <si>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</si>
  <si>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</si>
  <si>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</si>
  <si>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</si>
  <si>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</si>
  <si>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</si>
  <si>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</si>
  <si>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</si>
  <si>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</si>
  <si>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</si>
  <si>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</si>
  <si>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</si>
  <si>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</si>
  <si>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</si>
  <si>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</si>
  <si>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</si>
  <si>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</si>
  <si>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</si>
  <si>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</si>
  <si>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</si>
  <si>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</si>
  <si>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</si>
  <si>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</si>
  <si>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</si>
  <si>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</si>
  <si>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</si>
  <si>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</si>
  <si>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</si>
  <si>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</si>
  <si>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</si>
  <si>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</si>
  <si>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</si>
  <si>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</si>
  <si>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</si>
  <si>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</si>
  <si>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</si>
  <si>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</si>
  <si>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</si>
  <si>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</si>
  <si>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</si>
  <si>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</si>
  <si>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</si>
  <si>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</si>
  <si>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</si>
  <si>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</si>
  <si>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</si>
  <si>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</si>
  <si>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</si>
  <si>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</si>
  <si>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</si>
  <si>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</si>
  <si>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</si>
  <si>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</si>
  <si>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</si>
  <si>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</si>
  <si>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</si>
  <si>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</si>
  <si>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</si>
  <si>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</si>
  <si>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</si>
  <si>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</si>
  <si>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</si>
  <si>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</si>
  <si>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</si>
  <si>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</si>
  <si>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</si>
  <si>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</si>
  <si>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</si>
  <si>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</si>
  <si>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</si>
  <si>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</si>
  <si>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</si>
  <si>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</si>
  <si>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</si>
  <si>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</si>
  <si>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</si>
  <si>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</si>
  <si>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</si>
  <si>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</si>
  <si>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</si>
  <si>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</si>
  <si>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</si>
  <si>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</si>
  <si>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</si>
  <si>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</si>
  <si>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</si>
  <si>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</si>
  <si>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</si>
  <si>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</si>
  <si>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</si>
  <si>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</si>
  <si>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</si>
  <si>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</si>
  <si>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</si>
  <si>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</si>
  <si>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</si>
  <si>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</si>
  <si>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</si>
  <si>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</si>
  <si>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</si>
  <si>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</si>
  <si>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</si>
  <si>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</si>
  <si>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</si>
  <si>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</si>
  <si>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</si>
  <si>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</si>
  <si>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</si>
  <si>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</si>
  <si>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</si>
  <si>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</si>
  <si>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</si>
  <si>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</si>
  <si>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</si>
  <si>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</si>
  <si>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</si>
  <si>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</si>
  <si>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</si>
  <si>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</si>
  <si>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</si>
  <si>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</si>
  <si>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</si>
  <si>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</si>
  <si>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</si>
  <si>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</si>
  <si>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</si>
  <si>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</si>
  <si>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</si>
  <si>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</si>
  <si>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</si>
  <si>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</si>
  <si>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</si>
  <si>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</si>
  <si>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</si>
  <si>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</si>
  <si>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</si>
  <si>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</si>
  <si>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</si>
  <si>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</si>
  <si>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</si>
  <si>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</si>
  <si>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</si>
  <si>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</si>
  <si>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</si>
  <si>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</si>
  <si>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</si>
  <si>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</si>
  <si>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</si>
  <si>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</si>
  <si>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</si>
  <si>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</si>
  <si>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</si>
  <si>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</si>
  <si>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</si>
  <si>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</si>
  <si>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</si>
  <si>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</si>
  <si>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Employmrnt Reporting</t>
  </si>
  <si>
    <t>Total Construction Interest &amp; Fees</t>
  </si>
  <si>
    <t>Loan Origination Fee</t>
  </si>
  <si>
    <t>Other: Legal for Perm Loan</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</si>
  <si>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</si>
  <si>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</si>
  <si>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</si>
  <si>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</si>
  <si>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</si>
  <si>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</si>
  <si>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</si>
  <si>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Lender Legal+Investor Legal+Bond Issuer Legal+MGP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</si>
  <si>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</si>
  <si>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</si>
  <si>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</si>
  <si>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</si>
  <si>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</si>
  <si>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</si>
  <si>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</si>
  <si>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</si>
  <si>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</si>
  <si>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</si>
  <si>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</si>
  <si>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</si>
  <si>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</si>
  <si>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</si>
  <si>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</si>
  <si>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</si>
  <si>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</si>
  <si>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</si>
  <si>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</si>
  <si>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</si>
  <si>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</si>
  <si>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</si>
  <si>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Other:Relocation Cost+CDLAC Fee</t>
  </si>
  <si>
    <t>Other:Prevailing Wage Monitoring</t>
  </si>
  <si>
    <t>Other: Misc. Third Party Costs+Predev Loan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</si>
  <si>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</si>
  <si>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</si>
  <si>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</si>
  <si>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</si>
  <si>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</si>
  <si>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</si>
  <si>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</si>
  <si>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</si>
  <si>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</si>
  <si>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</si>
  <si>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</si>
  <si>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</si>
  <si>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</si>
  <si>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</si>
  <si>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</si>
  <si>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</si>
  <si>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</si>
  <si>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</si>
  <si>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</si>
  <si>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</si>
  <si>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</si>
  <si>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</si>
  <si>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</si>
  <si>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</si>
  <si>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</si>
  <si>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</si>
  <si>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</si>
  <si>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</si>
  <si>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</si>
  <si>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</si>
  <si>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</si>
  <si>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</si>
  <si>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</si>
  <si>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</si>
  <si>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</si>
  <si>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</si>
  <si>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</si>
  <si>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</si>
  <si>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</si>
  <si>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</si>
  <si>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</si>
  <si>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</si>
  <si>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</si>
  <si>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</si>
  <si>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</si>
  <si>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</si>
  <si>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</si>
  <si>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</si>
  <si>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</si>
  <si>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</si>
  <si>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</si>
  <si>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</si>
  <si>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</si>
  <si>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</si>
  <si>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</si>
  <si>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</si>
  <si>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</si>
  <si>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</si>
  <si>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</si>
  <si>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</si>
  <si>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</si>
  <si>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</si>
  <si>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</si>
  <si>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</si>
  <si>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</si>
  <si>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</si>
  <si>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</si>
  <si>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</si>
  <si>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</si>
  <si>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</si>
  <si>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</si>
  <si>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</si>
  <si>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</si>
  <si>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</si>
  <si>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</si>
  <si>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</si>
  <si>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</si>
  <si>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</si>
  <si>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</si>
  <si>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</si>
  <si>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</si>
  <si>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</si>
  <si>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</si>
  <si>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</si>
  <si>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</si>
  <si>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</si>
  <si>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</si>
  <si>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</si>
  <si>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</si>
  <si>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</si>
  <si>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</si>
  <si>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</si>
  <si>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</si>
  <si>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</si>
  <si>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</si>
  <si>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</si>
  <si>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</si>
  <si>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</si>
  <si>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</si>
  <si>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</si>
  <si>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</si>
  <si>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</si>
  <si>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</si>
  <si>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</si>
  <si>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</si>
  <si>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</si>
  <si>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</si>
  <si>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</si>
  <si>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</si>
  <si>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</si>
  <si>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</si>
  <si>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</si>
  <si>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</si>
  <si>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</si>
  <si>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</si>
  <si>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</si>
  <si>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</si>
  <si>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</si>
  <si>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</si>
  <si>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</si>
  <si>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</si>
  <si>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</si>
  <si>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</si>
  <si>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</si>
  <si>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</si>
  <si>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</si>
  <si>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</si>
  <si>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</si>
  <si>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</si>
  <si>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</si>
  <si>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</si>
  <si>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</si>
  <si>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</si>
  <si>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</si>
  <si>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</si>
  <si>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</si>
  <si>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</si>
  <si>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</si>
  <si>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</si>
  <si>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</si>
  <si>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</si>
  <si>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</si>
  <si>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</si>
  <si>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</si>
  <si>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</si>
  <si>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</si>
  <si>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</si>
  <si>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</si>
  <si>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</si>
  <si>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</si>
  <si>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</si>
  <si>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</si>
  <si>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</si>
  <si>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</si>
  <si>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</si>
  <si>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</si>
  <si>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</si>
  <si>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</si>
  <si>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</si>
  <si>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</si>
  <si>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</si>
  <si>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</si>
  <si>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</si>
  <si>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</si>
  <si>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</si>
  <si>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</si>
  <si>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</si>
  <si>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</si>
  <si>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</si>
  <si>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</si>
  <si>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</si>
  <si>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</si>
  <si>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</si>
  <si>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</si>
  <si>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</si>
  <si>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</si>
  <si>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</si>
  <si>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</si>
  <si>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</si>
  <si>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</si>
  <si>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</si>
  <si>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</si>
  <si>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</si>
  <si>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</si>
  <si>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</si>
  <si>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</si>
  <si>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</si>
  <si>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</si>
  <si>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</si>
  <si>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</si>
  <si>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</si>
  <si>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</si>
  <si>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</si>
  <si>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</si>
  <si>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</si>
  <si>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</si>
  <si>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</si>
  <si>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</si>
  <si>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</si>
  <si>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</si>
  <si>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</si>
  <si>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</si>
  <si>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</si>
  <si>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</si>
  <si>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</si>
  <si>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</si>
  <si>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</si>
  <si>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</si>
  <si>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</si>
  <si>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</si>
  <si>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</si>
  <si>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</si>
  <si>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</si>
  <si>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</si>
  <si>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</si>
  <si>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</si>
  <si>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</si>
  <si>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</si>
  <si>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</si>
  <si>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</si>
  <si>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</si>
  <si>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</si>
  <si>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</si>
  <si>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</si>
  <si>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</si>
  <si>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</si>
  <si>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</si>
  <si>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</si>
  <si>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</si>
  <si>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</si>
  <si>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</si>
  <si>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</si>
  <si>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</si>
  <si>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</si>
  <si>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</si>
  <si>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</si>
  <si>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</si>
  <si>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</si>
  <si>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</si>
  <si>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</si>
  <si>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</si>
  <si>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</si>
  <si>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</si>
  <si>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</si>
  <si>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</si>
  <si>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</si>
  <si>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</si>
  <si>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</si>
  <si>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</si>
  <si>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</si>
  <si>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</si>
  <si>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</si>
  <si>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</si>
  <si>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</si>
  <si>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</si>
  <si>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</si>
  <si>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</si>
  <si>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</si>
  <si>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</si>
  <si>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</si>
  <si>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</si>
  <si>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</si>
  <si>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</si>
  <si>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</si>
  <si>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</si>
  <si>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</si>
  <si>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</si>
  <si>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</si>
  <si>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</si>
  <si>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</si>
  <si>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</si>
  <si>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</si>
  <si>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</si>
  <si>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</si>
  <si>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</si>
  <si>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</si>
  <si>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</si>
  <si>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</si>
  <si>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</si>
  <si>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</si>
  <si>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</si>
  <si>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</si>
  <si>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</si>
  <si>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</si>
  <si>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</si>
  <si>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</si>
  <si>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</si>
  <si>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</si>
  <si>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</si>
  <si>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</si>
  <si>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</si>
  <si>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</si>
  <si>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</si>
  <si>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</si>
  <si>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</si>
  <si>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</si>
  <si>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</si>
  <si>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</si>
  <si>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</si>
  <si>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</si>
  <si>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</si>
  <si>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</si>
  <si>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</si>
  <si>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</si>
  <si>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</si>
  <si>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</si>
  <si>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</si>
  <si>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</si>
  <si>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</si>
  <si>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</si>
  <si>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</si>
  <si>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</si>
  <si>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</si>
  <si>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</si>
  <si>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</si>
  <si>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</si>
  <si>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</si>
  <si>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</si>
  <si>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</si>
  <si>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</si>
  <si>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</si>
  <si>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</si>
  <si>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</si>
  <si>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</si>
  <si>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</si>
  <si>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</si>
  <si>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</si>
  <si>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</si>
  <si>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</si>
  <si>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</si>
  <si>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</si>
  <si>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</si>
  <si>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</si>
  <si>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</si>
  <si>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</si>
  <si>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</si>
  <si>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</si>
  <si>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</si>
  <si>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</si>
  <si>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</si>
  <si>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</si>
  <si>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</si>
  <si>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</si>
  <si>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</si>
  <si>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</si>
  <si>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</si>
  <si>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</si>
  <si>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</si>
  <si>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</si>
  <si>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</si>
  <si>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</si>
  <si>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</si>
  <si>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</si>
  <si>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</si>
  <si>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</si>
  <si>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</si>
  <si>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</si>
  <si>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</si>
  <si>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</si>
  <si>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</si>
  <si>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</si>
  <si>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</si>
  <si>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</si>
  <si>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</si>
  <si>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</si>
  <si>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</si>
  <si>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</si>
  <si>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</si>
  <si>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</si>
  <si>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</si>
  <si>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</si>
  <si>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</si>
  <si>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</si>
  <si>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</si>
  <si>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</si>
  <si>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</si>
  <si>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</si>
  <si>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</si>
  <si>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</si>
  <si>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</si>
  <si>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</si>
  <si>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</si>
  <si>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</si>
  <si>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</si>
  <si>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</si>
  <si>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</si>
  <si>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</si>
  <si>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</si>
  <si>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</si>
  <si>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</si>
  <si>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</si>
  <si>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</si>
  <si>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</si>
  <si>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</si>
  <si>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</si>
  <si>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</si>
  <si>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</si>
  <si>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</si>
  <si>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</si>
  <si>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</si>
  <si>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</si>
  <si>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</si>
  <si>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Recycled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</si>
  <si>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</si>
  <si>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</si>
  <si>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</si>
  <si>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</si>
  <si>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</si>
  <si>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</si>
  <si>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</si>
  <si>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</si>
  <si>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</si>
  <si>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</si>
  <si>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</si>
  <si>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</si>
  <si>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</si>
  <si>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</si>
  <si>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</si>
  <si>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</si>
  <si>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</si>
  <si>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</si>
  <si>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</si>
  <si>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</si>
  <si>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</si>
  <si>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</si>
  <si>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</si>
  <si>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</si>
  <si>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</si>
  <si>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</si>
  <si>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</si>
  <si>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</si>
  <si>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</si>
  <si>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</si>
  <si>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</si>
  <si>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</si>
  <si>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</si>
  <si>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</si>
  <si>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</si>
  <si>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</si>
  <si>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</si>
  <si>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</si>
  <si>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</si>
  <si>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</si>
  <si>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</si>
  <si>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</si>
  <si>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</si>
  <si>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</si>
  <si>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</si>
  <si>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</si>
  <si>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</si>
  <si>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</si>
  <si>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</si>
  <si>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</si>
  <si>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</si>
  <si>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</si>
  <si>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</si>
  <si>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</si>
  <si>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</si>
  <si>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</si>
  <si>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</si>
  <si>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</si>
  <si>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</si>
  <si>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</si>
  <si>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</si>
  <si>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</si>
  <si>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</si>
  <si>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</si>
  <si>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</si>
  <si>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</si>
  <si>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</si>
  <si>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</si>
  <si>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</si>
  <si>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</si>
  <si>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</si>
  <si>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</si>
  <si>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</si>
  <si>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</si>
  <si>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</si>
  <si>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</si>
  <si>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</si>
  <si>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</si>
  <si>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</si>
  <si>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</si>
  <si>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</si>
  <si>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</si>
  <si>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</si>
  <si>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</si>
  <si>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</si>
  <si>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</si>
  <si>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</si>
  <si>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</si>
  <si>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</si>
  <si>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</si>
  <si>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</si>
  <si>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</si>
  <si>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</si>
  <si>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</si>
  <si>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</si>
  <si>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</si>
  <si>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</si>
  <si>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</si>
  <si>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</si>
  <si>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</si>
  <si>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</si>
  <si>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</si>
  <si>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</si>
  <si>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</si>
  <si>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</si>
  <si>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</si>
  <si>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</si>
  <si>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</si>
  <si>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</si>
  <si>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</si>
  <si>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</si>
  <si>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</si>
  <si>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</si>
  <si>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</si>
  <si>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</si>
  <si>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</si>
  <si>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</si>
  <si>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</si>
  <si>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</si>
  <si>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</si>
  <si>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</si>
  <si>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</si>
  <si>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</si>
  <si>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</si>
  <si>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</si>
  <si>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</si>
  <si>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</si>
  <si>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</si>
  <si>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</si>
  <si>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</si>
  <si>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</si>
  <si>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</si>
  <si>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</si>
  <si>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</si>
  <si>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</si>
  <si>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</si>
  <si>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</si>
  <si>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</si>
  <si>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</si>
  <si>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</si>
  <si>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</si>
  <si>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</si>
  <si>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</si>
  <si>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</si>
  <si>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</si>
  <si>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</si>
  <si>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</si>
  <si>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</si>
  <si>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</si>
  <si>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</si>
  <si>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</si>
  <si>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</si>
  <si>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</si>
  <si>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</si>
  <si>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</si>
  <si>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</si>
  <si>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</si>
  <si>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</si>
  <si>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</si>
  <si>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</si>
  <si>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</si>
  <si>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</si>
  <si>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</si>
  <si>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</si>
  <si>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</si>
  <si>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</si>
  <si>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</si>
  <si>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</si>
  <si>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</si>
  <si>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</si>
  <si>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</si>
  <si>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</si>
  <si>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</si>
  <si>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</si>
  <si>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</si>
  <si>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</si>
  <si>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</si>
  <si>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</si>
  <si>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</si>
  <si>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</si>
  <si>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</si>
  <si>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</si>
  <si>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</si>
  <si>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</si>
  <si>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</si>
  <si>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</si>
  <si>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</si>
  <si>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</si>
  <si>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</si>
  <si>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</si>
  <si>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</si>
  <si>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</si>
  <si>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</si>
  <si>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</si>
  <si>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</si>
  <si>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</si>
  <si>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</si>
  <si>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</si>
  <si>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</si>
  <si>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</si>
  <si>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</si>
  <si>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</si>
  <si>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</si>
  <si>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</si>
  <si>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</si>
  <si>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</si>
  <si>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</si>
  <si>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</si>
  <si>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</si>
  <si>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</si>
  <si>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</si>
  <si>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</si>
  <si>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</si>
  <si>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</si>
  <si>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</si>
  <si>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</si>
  <si>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</si>
  <si>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</si>
  <si>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</si>
  <si>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</si>
  <si>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</si>
  <si>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</si>
  <si>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</si>
  <si>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</si>
  <si>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</si>
  <si>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</si>
  <si>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</si>
  <si>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</si>
  <si>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</si>
  <si>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</si>
  <si>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</si>
  <si>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</si>
  <si>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</si>
  <si>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</si>
  <si>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</si>
  <si>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</si>
  <si>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</si>
  <si>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</si>
  <si>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</si>
  <si>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</si>
  <si>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</si>
  <si>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</si>
  <si>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</si>
  <si>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</si>
  <si>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</si>
  <si>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</si>
  <si>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</si>
  <si>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</si>
  <si>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</si>
  <si>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</si>
  <si>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</si>
  <si>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</si>
  <si>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</si>
  <si>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</si>
  <si>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</si>
  <si>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</si>
  <si>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</si>
  <si>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</si>
  <si>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</si>
  <si>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</si>
  <si>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</si>
  <si>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</si>
  <si>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</si>
  <si>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</si>
  <si>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</si>
  <si>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</si>
  <si>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</si>
  <si>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</si>
  <si>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</si>
  <si>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</si>
  <si>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</si>
  <si>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</si>
  <si>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</si>
  <si>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</si>
  <si>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</si>
  <si>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</si>
  <si>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</si>
  <si>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</si>
  <si>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</si>
  <si>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</si>
  <si>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</si>
  <si>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</si>
  <si>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</si>
  <si>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</si>
  <si>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</si>
  <si>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</si>
  <si>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</si>
  <si>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</si>
  <si>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</si>
  <si>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</si>
  <si>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</si>
  <si>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</si>
  <si>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</si>
  <si>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</si>
  <si>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</si>
  <si>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</si>
  <si>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</si>
  <si>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</si>
  <si>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</si>
  <si>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</si>
  <si>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</si>
  <si>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</si>
  <si>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</si>
  <si>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</si>
  <si>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</si>
  <si>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</si>
  <si>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</si>
  <si>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</si>
  <si>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</si>
  <si>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</si>
  <si>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</si>
  <si>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</si>
  <si>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</si>
  <si>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</si>
  <si>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</si>
  <si>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</si>
  <si>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</si>
  <si>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</si>
  <si>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</si>
  <si>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</si>
  <si>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</si>
  <si>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</si>
  <si>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</si>
  <si>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</si>
  <si>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</si>
  <si>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</si>
  <si>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</si>
  <si>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</si>
  <si>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</si>
  <si>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</si>
  <si>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</si>
  <si>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</si>
  <si>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</si>
  <si>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</si>
  <si>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</si>
  <si>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</si>
  <si>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</si>
  <si>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</si>
  <si>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</si>
  <si>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</si>
  <si>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</si>
  <si>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</si>
  <si>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</si>
  <si>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</si>
  <si>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</si>
  <si>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</si>
  <si>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</si>
  <si>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</si>
  <si>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</si>
  <si>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</si>
  <si>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</si>
  <si>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</si>
  <si>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</si>
  <si>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</si>
  <si>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</si>
  <si>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</si>
  <si>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</si>
  <si>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</si>
  <si>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</si>
  <si>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</si>
  <si>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</si>
  <si>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</si>
  <si>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</si>
  <si>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</si>
  <si>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</si>
  <si>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</si>
  <si>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</si>
  <si>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</si>
  <si>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</si>
  <si>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</si>
  <si>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</si>
  <si>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</si>
  <si>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</si>
  <si>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</si>
  <si>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</si>
  <si>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</si>
  <si>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</si>
  <si>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</si>
  <si>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</si>
  <si>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</si>
  <si>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</si>
  <si>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</si>
  <si>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</si>
  <si>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</si>
  <si>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</si>
  <si>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</si>
  <si>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</si>
  <si>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</si>
  <si>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</si>
  <si>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</si>
  <si>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</si>
  <si>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</si>
  <si>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</si>
  <si>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</si>
  <si>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</si>
  <si>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</si>
  <si>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</si>
  <si>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</si>
  <si>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</si>
  <si>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</si>
  <si>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</si>
  <si>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</si>
  <si>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</si>
  <si>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</si>
  <si>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</si>
  <si>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</si>
  <si>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</si>
  <si>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</si>
  <si>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</si>
  <si>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</si>
  <si>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</si>
  <si>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</si>
  <si>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</si>
  <si>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</si>
  <si>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</si>
  <si>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</si>
  <si>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</si>
  <si>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</si>
  <si>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</si>
  <si>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</si>
  <si>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</si>
  <si>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</si>
  <si>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</si>
  <si>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</si>
  <si>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</si>
  <si>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</si>
  <si>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</si>
  <si>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</si>
  <si>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</si>
  <si>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</si>
  <si>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</si>
  <si>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</si>
  <si>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</si>
  <si>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</si>
  <si>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</si>
  <si>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</si>
  <si>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</si>
  <si>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</si>
  <si>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</si>
  <si>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</si>
  <si>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</si>
  <si>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</si>
  <si>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</si>
  <si>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</si>
  <si>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</si>
  <si>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</si>
  <si>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</si>
  <si>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</si>
  <si>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</si>
  <si>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</si>
  <si>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</si>
  <si>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</si>
  <si>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</si>
  <si>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</si>
  <si>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</si>
  <si>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</si>
  <si>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</si>
  <si>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</si>
  <si>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</si>
  <si>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</si>
  <si>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</si>
  <si>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</si>
  <si>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</si>
  <si>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</si>
  <si>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</si>
  <si>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</si>
  <si>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</si>
  <si>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</si>
  <si>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</si>
  <si>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</si>
  <si>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</si>
  <si>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</si>
  <si>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</si>
  <si>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</si>
  <si>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</si>
  <si>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</si>
  <si>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</si>
  <si>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</si>
  <si>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</si>
  <si>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</si>
  <si>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</si>
  <si>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</si>
  <si>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</si>
  <si>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</si>
  <si>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</si>
  <si>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</si>
  <si>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</si>
  <si>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</si>
  <si>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Issuer and Monitoring Fee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</si>
  <si>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</si>
  <si>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</si>
  <si>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</si>
  <si>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</si>
  <si>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</si>
  <si>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</si>
  <si>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</si>
  <si>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</si>
  <si>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</si>
  <si>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</si>
  <si>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</si>
  <si>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 xml:space="preserve">LP Distribtion </t>
  </si>
  <si>
    <t xml:space="preserve">GP Distribution </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</si>
  <si>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</si>
  <si>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</si>
  <si>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</si>
  <si>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</si>
  <si>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</si>
  <si>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</si>
  <si>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</si>
  <si>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</si>
  <si>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</si>
  <si>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</si>
  <si>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</si>
  <si>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Safehold TI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</si>
</sst>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34066">
    <xf numFmtId="0" fontId="0" fillId="0" borderId="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8" fillId="36" borderId="18" applyNumberFormat="0" applyAlignment="0" applyProtection="0"/>
    <xf numFmtId="0" fontId="78" fillId="36" borderId="18" applyNumberFormat="0" applyAlignment="0" applyProtection="0"/>
    <xf numFmtId="0" fontId="79" fillId="37" borderId="19" applyNumberFormat="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2"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44" fontId="6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68" fillId="0" borderId="0" applyFont="0" applyFill="0" applyBorder="0" applyAlignment="0" applyProtection="0"/>
    <xf numFmtId="44" fontId="26"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alignment vertical="top"/>
    </xf>
    <xf numFmtId="44" fontId="52" fillId="0" borderId="0" applyFont="0" applyFill="0" applyBorder="0" applyAlignment="0" applyProtection="0">
      <alignment vertical="top"/>
    </xf>
    <xf numFmtId="44" fontId="26" fillId="0" borderId="0" applyFont="0" applyFill="0" applyBorder="0" applyAlignment="0" applyProtection="0"/>
    <xf numFmtId="44" fontId="52" fillId="0" borderId="0" applyFont="0" applyFill="0" applyBorder="0" applyAlignment="0" applyProtection="0">
      <alignment vertical="top"/>
    </xf>
    <xf numFmtId="44" fontId="52"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2" fillId="0" borderId="0" applyFont="0" applyFill="0" applyBorder="0" applyAlignment="0" applyProtection="0"/>
    <xf numFmtId="44" fontId="6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6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6" fillId="0" borderId="0" applyFont="0" applyFill="0" applyBorder="0" applyAlignment="0" applyProtection="0"/>
    <xf numFmtId="44" fontId="26" fillId="0" borderId="0" applyFont="0" applyFill="0" applyBorder="0" applyAlignment="0" applyProtection="0"/>
    <xf numFmtId="0" fontId="80" fillId="0" borderId="0" applyNumberFormat="0" applyFill="0" applyBorder="0" applyAlignment="0" applyProtection="0"/>
    <xf numFmtId="0" fontId="81" fillId="38" borderId="0" applyNumberFormat="0" applyBorder="0" applyAlignment="0" applyProtection="0"/>
    <xf numFmtId="0" fontId="82" fillId="0" borderId="20" applyNumberFormat="0" applyFill="0" applyAlignment="0" applyProtection="0"/>
    <xf numFmtId="0" fontId="82" fillId="0" borderId="20"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2" fillId="0" borderId="0" applyNumberFormat="0" applyFill="0" applyBorder="0" applyAlignment="0" applyProtection="0">
      <alignment vertical="top"/>
      <protection locked="0"/>
    </xf>
    <xf numFmtId="0" fontId="8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86" fillId="0" borderId="23" applyNumberFormat="0" applyFill="0" applyAlignment="0" applyProtection="0"/>
    <xf numFmtId="0" fontId="87" fillId="40" borderId="0" applyNumberFormat="0" applyBorder="0" applyAlignment="0" applyProtection="0"/>
    <xf numFmtId="0" fontId="88" fillId="0" borderId="0"/>
    <xf numFmtId="0" fontId="52" fillId="0" borderId="0"/>
    <xf numFmtId="0" fontId="88" fillId="0" borderId="0"/>
    <xf numFmtId="0" fontId="52" fillId="0" borderId="0"/>
    <xf numFmtId="0" fontId="52"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2" fillId="0" borderId="0"/>
    <xf numFmtId="169" fontId="53" fillId="0" borderId="0"/>
    <xf numFmtId="0" fontId="75" fillId="0" borderId="0"/>
    <xf numFmtId="0" fontId="26" fillId="0" borderId="0"/>
    <xf numFmtId="0" fontId="26" fillId="0" borderId="0"/>
    <xf numFmtId="0" fontId="58" fillId="0" borderId="0"/>
    <xf numFmtId="0" fontId="52" fillId="0" borderId="0"/>
    <xf numFmtId="0" fontId="58" fillId="0" borderId="0"/>
    <xf numFmtId="0" fontId="52" fillId="0" borderId="0"/>
    <xf numFmtId="0" fontId="63" fillId="0" borderId="0"/>
    <xf numFmtId="0" fontId="52"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xf numFmtId="0" fontId="75" fillId="0" borderId="0"/>
    <xf numFmtId="0" fontId="75" fillId="0" borderId="0"/>
    <xf numFmtId="0" fontId="75" fillId="0" borderId="0"/>
    <xf numFmtId="0" fontId="75" fillId="0" borderId="0"/>
    <xf numFmtId="0" fontId="63" fillId="0" borderId="0"/>
    <xf numFmtId="0" fontId="52" fillId="0" borderId="0">
      <alignment vertical="top"/>
    </xf>
    <xf numFmtId="0" fontId="75" fillId="0" borderId="0"/>
    <xf numFmtId="0" fontId="75" fillId="0" borderId="0"/>
    <xf numFmtId="0" fontId="75" fillId="0" borderId="0"/>
    <xf numFmtId="0" fontId="75" fillId="0" borderId="0"/>
    <xf numFmtId="0" fontId="63" fillId="0" borderId="0"/>
    <xf numFmtId="0" fontId="26" fillId="0" borderId="0"/>
    <xf numFmtId="0" fontId="75" fillId="0" borderId="0"/>
    <xf numFmtId="0" fontId="26" fillId="0" borderId="0"/>
    <xf numFmtId="0" fontId="75" fillId="0" borderId="0"/>
    <xf numFmtId="0" fontId="75" fillId="0" borderId="0"/>
    <xf numFmtId="0" fontId="75" fillId="0" borderId="0"/>
    <xf numFmtId="0" fontId="75" fillId="0" borderId="0"/>
    <xf numFmtId="0" fontId="58" fillId="0" borderId="0"/>
    <xf numFmtId="0" fontId="52" fillId="0" borderId="0">
      <alignment vertical="top"/>
    </xf>
    <xf numFmtId="0" fontId="58" fillId="0" borderId="0"/>
    <xf numFmtId="0" fontId="52" fillId="0" borderId="0">
      <alignment vertical="top"/>
    </xf>
    <xf numFmtId="0" fontId="52" fillId="0" borderId="0">
      <alignment vertical="top"/>
    </xf>
    <xf numFmtId="0" fontId="75" fillId="0" borderId="0"/>
    <xf numFmtId="0" fontId="58"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52" fillId="0" borderId="0">
      <alignment vertical="top"/>
    </xf>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xf numFmtId="0" fontId="52" fillId="0" borderId="0">
      <alignment vertical="top"/>
    </xf>
    <xf numFmtId="0" fontId="52" fillId="0" borderId="0">
      <alignment vertical="top"/>
    </xf>
    <xf numFmtId="0" fontId="52" fillId="0" borderId="0"/>
    <xf numFmtId="0" fontId="52" fillId="0" borderId="0">
      <alignment vertical="top"/>
    </xf>
    <xf numFmtId="0" fontId="52" fillId="0" borderId="0"/>
    <xf numFmtId="0" fontId="5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17" fillId="0" borderId="0" applyProtection="0">
      <protection locked="0"/>
    </xf>
    <xf numFmtId="0" fontId="26" fillId="0" borderId="0" applyProtection="0">
      <protection locked="0"/>
    </xf>
    <xf numFmtId="0" fontId="26" fillId="0" borderId="0" applyProtection="0">
      <protection locked="0"/>
    </xf>
    <xf numFmtId="0" fontId="53" fillId="0" borderId="0"/>
    <xf numFmtId="0" fontId="17" fillId="0" borderId="0"/>
    <xf numFmtId="0" fontId="67"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67"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90" fillId="36" borderId="25" applyNumberFormat="0" applyAlignment="0" applyProtection="0"/>
    <xf numFmtId="0" fontId="90" fillId="36" borderId="25" applyNumberFormat="0" applyAlignment="0" applyProtection="0"/>
    <xf numFmtId="0" fontId="22" fillId="0" borderId="0" applyNumberFormat="0" applyFill="0" applyBorder="0">
      <alignment horizontal="left"/>
    </xf>
    <xf numFmtId="0" fontId="91" fillId="0" borderId="0" applyNumberFormat="0" applyFill="0" applyBorder="0" applyAlignment="0" applyProtection="0"/>
    <xf numFmtId="0" fontId="92" fillId="0" borderId="26" applyNumberFormat="0" applyFill="0" applyAlignment="0" applyProtection="0"/>
    <xf numFmtId="0" fontId="92" fillId="0" borderId="26" applyNumberFormat="0" applyFill="0" applyAlignment="0" applyProtection="0"/>
    <xf numFmtId="0" fontId="9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4" fontId="100"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10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9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10" fillId="0" borderId="0" applyFont="0" applyFill="0" applyBorder="0" applyAlignment="0" applyProtection="0"/>
    <xf numFmtId="0" fontId="11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3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4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1">
    <xf numFmtId="0" fontId="0" fillId="0" borderId="0" xfId="0"/>
    <xf numFmtId="0" fontId="24" fillId="0" borderId="0" xfId="0" applyFont="1"/>
    <xf numFmtId="0" fontId="17" fillId="0" borderId="0" xfId="0" applyFont="1"/>
    <xf numFmtId="0" fontId="26" fillId="0" borderId="0" xfId="0" applyFont="1"/>
    <xf numFmtId="0" fontId="0" fillId="0" borderId="4" xfId="0" applyBorder="1"/>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17" fillId="0" borderId="0" xfId="543"/>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8" fillId="0" borderId="0" xfId="0" applyFont="1"/>
    <xf numFmtId="0" fontId="30"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3" fillId="0" borderId="3" xfId="0" applyFont="1" applyBorder="1" applyAlignment="1">
      <alignment horizontal="left"/>
    </xf>
    <xf numFmtId="0" fontId="33" fillId="0" borderId="9" xfId="0" applyFont="1" applyBorder="1" applyAlignment="1">
      <alignment horizontal="lef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24" fillId="0" borderId="9" xfId="0" applyFont="1" applyBorder="1"/>
    <xf numFmtId="164" fontId="0" fillId="0" borderId="0" xfId="0" applyNumberFormat="1" applyAlignment="1">
      <alignment horizontal="center"/>
    </xf>
    <xf numFmtId="0" fontId="0" fillId="0" borderId="12" xfId="0" applyBorder="1"/>
    <xf numFmtId="49" fontId="17" fillId="0" borderId="0" xfId="543" applyNumberFormat="1"/>
    <xf numFmtId="0" fontId="17" fillId="0" borderId="8" xfId="543" applyBorder="1"/>
    <xf numFmtId="0" fontId="17" fillId="0" borderId="9" xfId="543" applyBorder="1"/>
    <xf numFmtId="0" fontId="17" fillId="0" borderId="10" xfId="543" applyBorder="1"/>
    <xf numFmtId="0" fontId="17" fillId="0" borderId="1" xfId="543" applyBorder="1"/>
    <xf numFmtId="0" fontId="17" fillId="0" borderId="12" xfId="543" applyBorder="1"/>
    <xf numFmtId="0" fontId="17" fillId="0" borderId="2" xfId="543" applyBorder="1"/>
    <xf numFmtId="0" fontId="17" fillId="0" borderId="7" xfId="543" applyBorder="1"/>
    <xf numFmtId="0" fontId="25" fillId="0" borderId="6" xfId="543" applyFont="1" applyBorder="1" applyAlignment="1">
      <alignment vertical="top" wrapText="1"/>
    </xf>
    <xf numFmtId="0" fontId="0" fillId="2" borderId="2" xfId="0" applyFill="1" applyBorder="1"/>
    <xf numFmtId="0" fontId="0" fillId="2" borderId="7" xfId="0" applyFill="1" applyBorder="1"/>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1"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17" fillId="0" borderId="0" xfId="0" applyFont="1" applyAlignment="1">
      <alignment horizontal="left"/>
    </xf>
    <xf numFmtId="0" fontId="17" fillId="0" borderId="0" xfId="0" applyFont="1" applyAlignment="1">
      <alignment vertical="top"/>
    </xf>
    <xf numFmtId="0" fontId="40" fillId="0" borderId="0" xfId="0" applyFont="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2" fillId="0" borderId="0" xfId="0" applyFont="1"/>
    <xf numFmtId="0" fontId="25" fillId="0" borderId="9" xfId="543" applyFont="1" applyBorder="1"/>
    <xf numFmtId="0" fontId="25" fillId="0" borderId="6" xfId="543" applyFont="1" applyBorder="1" applyAlignment="1">
      <alignment horizontal="right"/>
    </xf>
    <xf numFmtId="0" fontId="47" fillId="0" borderId="3" xfId="0" applyFont="1" applyBorder="1" applyAlignment="1">
      <alignment horizontal="left" vertical="top"/>
    </xf>
    <xf numFmtId="0" fontId="47" fillId="0" borderId="13" xfId="0" applyFont="1" applyBorder="1" applyAlignment="1">
      <alignment horizontal="center" wrapText="1"/>
    </xf>
    <xf numFmtId="0" fontId="47" fillId="0" borderId="13" xfId="0" applyFont="1" applyBorder="1" applyAlignment="1">
      <alignment horizontal="center" vertical="top" wrapText="1"/>
    </xf>
    <xf numFmtId="0" fontId="47" fillId="2" borderId="13" xfId="0" applyFont="1" applyFill="1" applyBorder="1" applyAlignment="1">
      <alignment horizontal="center" wrapText="1"/>
    </xf>
    <xf numFmtId="0" fontId="48" fillId="2" borderId="11" xfId="0" applyFont="1" applyFill="1" applyBorder="1" applyAlignment="1">
      <alignment horizontal="left" vertical="top" wrapText="1"/>
    </xf>
    <xf numFmtId="0" fontId="49" fillId="0" borderId="11" xfId="0" applyFont="1" applyBorder="1" applyAlignment="1">
      <alignment vertical="top" wrapText="1"/>
    </xf>
    <xf numFmtId="0" fontId="47" fillId="0" borderId="11" xfId="0" applyFont="1" applyBorder="1" applyAlignment="1">
      <alignment horizontal="right" vertical="top" wrapText="1"/>
    </xf>
    <xf numFmtId="168" fontId="47" fillId="0" borderId="11" xfId="0" applyNumberFormat="1" applyFont="1" applyBorder="1" applyAlignment="1">
      <alignment vertical="top" wrapText="1"/>
    </xf>
    <xf numFmtId="0" fontId="47" fillId="2" borderId="11" xfId="0" applyFont="1" applyFill="1" applyBorder="1" applyAlignment="1">
      <alignment vertical="top" wrapText="1"/>
    </xf>
    <xf numFmtId="0" fontId="47" fillId="0" borderId="11" xfId="0" applyFont="1" applyBorder="1" applyAlignment="1">
      <alignment vertical="top" wrapText="1"/>
    </xf>
    <xf numFmtId="0" fontId="20" fillId="0" borderId="11" xfId="0" applyFont="1" applyBorder="1" applyAlignment="1">
      <alignment horizontal="right" vertical="top" wrapText="1"/>
    </xf>
    <xf numFmtId="0" fontId="47" fillId="0" borderId="0" xfId="0" applyFont="1" applyAlignment="1">
      <alignment horizontal="left" vertical="top"/>
    </xf>
    <xf numFmtId="0" fontId="49" fillId="0" borderId="0" xfId="0" applyFont="1" applyAlignment="1">
      <alignment vertical="top" wrapText="1"/>
    </xf>
    <xf numFmtId="0" fontId="47" fillId="0" borderId="0" xfId="0" applyFont="1" applyAlignment="1">
      <alignment horizontal="right" vertical="top"/>
    </xf>
    <xf numFmtId="0" fontId="49" fillId="2" borderId="0" xfId="0" applyFont="1" applyFill="1" applyAlignment="1">
      <alignment vertical="top" wrapText="1"/>
    </xf>
    <xf numFmtId="0" fontId="47" fillId="0" borderId="0" xfId="0" applyFont="1" applyAlignment="1">
      <alignment vertical="top"/>
    </xf>
    <xf numFmtId="0" fontId="17"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5" fillId="0" borderId="0" xfId="0" applyFont="1" applyAlignment="1">
      <alignment horizontal="center"/>
    </xf>
    <xf numFmtId="49" fontId="24" fillId="0" borderId="0" xfId="0" applyNumberFormat="1" applyFont="1" applyAlignment="1">
      <alignment horizontal="center"/>
    </xf>
    <xf numFmtId="0" fontId="44" fillId="0" borderId="0" xfId="0" applyFont="1" applyAlignment="1">
      <alignment horizontal="center"/>
    </xf>
    <xf numFmtId="0" fontId="46" fillId="0" borderId="3" xfId="0" applyFont="1" applyBorder="1"/>
    <xf numFmtId="168" fontId="0" fillId="0" borderId="0" xfId="0" applyNumberFormat="1" applyAlignment="1">
      <alignment horizontal="center"/>
    </xf>
    <xf numFmtId="0" fontId="47" fillId="0" borderId="4" xfId="0" applyFont="1" applyBorder="1" applyAlignment="1">
      <alignment horizontal="right"/>
    </xf>
    <xf numFmtId="0" fontId="52" fillId="0" borderId="0" xfId="0" applyFont="1"/>
    <xf numFmtId="168" fontId="17" fillId="0" borderId="0" xfId="0" applyNumberFormat="1" applyFont="1" applyAlignment="1">
      <alignment horizontal="left" vertical="top"/>
    </xf>
    <xf numFmtId="0" fontId="49" fillId="0" borderId="0" xfId="0" applyFont="1" applyAlignment="1">
      <alignment horizontal="right" vertical="top" wrapText="1"/>
    </xf>
    <xf numFmtId="0" fontId="49" fillId="0" borderId="14" xfId="0" applyFont="1" applyBorder="1" applyAlignment="1">
      <alignment vertical="top" wrapText="1"/>
    </xf>
    <xf numFmtId="0" fontId="49" fillId="0" borderId="11" xfId="0" applyFont="1" applyBorder="1" applyAlignment="1" applyProtection="1">
      <alignment vertical="top"/>
      <protection locked="0"/>
    </xf>
    <xf numFmtId="0" fontId="24" fillId="0" borderId="0" xfId="542" applyFont="1" applyProtection="1">
      <protection locked="0"/>
    </xf>
    <xf numFmtId="0" fontId="17" fillId="0" borderId="0" xfId="539" applyProtection="1"/>
    <xf numFmtId="0" fontId="24" fillId="0" borderId="0" xfId="543" applyFont="1"/>
    <xf numFmtId="0" fontId="17" fillId="0" borderId="0" xfId="0" applyFont="1" applyProtection="1">
      <protection locked="0"/>
    </xf>
    <xf numFmtId="0" fontId="55"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22" fillId="0" borderId="0" xfId="0" applyFont="1"/>
    <xf numFmtId="0" fontId="57" fillId="0" borderId="0" xfId="0" applyFont="1"/>
    <xf numFmtId="0" fontId="55" fillId="0" borderId="0" xfId="0" applyFont="1"/>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56" fillId="0" borderId="0" xfId="0" applyFont="1"/>
    <xf numFmtId="168" fontId="22" fillId="0" borderId="0" xfId="0" applyNumberFormat="1" applyFont="1"/>
    <xf numFmtId="10" fontId="22" fillId="0" borderId="0" xfId="0" applyNumberFormat="1" applyFont="1" applyAlignment="1">
      <alignment horizontal="center"/>
    </xf>
    <xf numFmtId="3" fontId="59" fillId="0" borderId="0" xfId="0" applyNumberFormat="1" applyFont="1"/>
    <xf numFmtId="3" fontId="22" fillId="0" borderId="0" xfId="0" applyNumberFormat="1" applyFont="1"/>
    <xf numFmtId="168" fontId="56" fillId="0" borderId="0" xfId="0" applyNumberFormat="1" applyFont="1"/>
    <xf numFmtId="168" fontId="56"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3" fontId="26" fillId="0" borderId="0" xfId="0" applyNumberFormat="1" applyFont="1" applyAlignment="1">
      <alignment vertical="top"/>
    </xf>
    <xf numFmtId="10" fontId="24" fillId="0" borderId="0" xfId="0" applyNumberFormat="1" applyFont="1" applyAlignment="1">
      <alignment horizontal="center"/>
    </xf>
    <xf numFmtId="0" fontId="55" fillId="0" borderId="6" xfId="0" applyFont="1" applyBorder="1" applyAlignment="1">
      <alignment horizontal="center"/>
    </xf>
    <xf numFmtId="0" fontId="26" fillId="0" borderId="4" xfId="271" applyBorder="1"/>
    <xf numFmtId="0" fontId="26" fillId="0" borderId="6" xfId="271" applyBorder="1"/>
    <xf numFmtId="4" fontId="44" fillId="0" borderId="0" xfId="0" applyNumberFormat="1" applyFont="1" applyAlignment="1">
      <alignment horizontal="center"/>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2"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2" fillId="2" borderId="11" xfId="271" applyFont="1" applyFill="1" applyBorder="1" applyAlignment="1" applyProtection="1">
      <alignment horizontal="left" vertical="top" wrapText="1"/>
      <protection locked="0"/>
    </xf>
    <xf numFmtId="0" fontId="46" fillId="0" borderId="11" xfId="0" applyFont="1" applyBorder="1" applyAlignment="1">
      <alignment horizontal="right" vertical="top" wrapText="1"/>
    </xf>
    <xf numFmtId="0" fontId="34" fillId="8" borderId="0" xfId="542" applyFont="1" applyFill="1"/>
    <xf numFmtId="0" fontId="46" fillId="0" borderId="11" xfId="271" applyFont="1" applyBorder="1" applyAlignment="1">
      <alignment horizontal="right" vertical="top"/>
    </xf>
    <xf numFmtId="0" fontId="46"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64" fillId="0" borderId="0" xfId="0" applyFont="1" applyAlignment="1">
      <alignment vertical="center" wrapText="1"/>
    </xf>
    <xf numFmtId="0" fontId="64" fillId="0" borderId="0" xfId="0" applyFont="1" applyAlignment="1">
      <alignment vertical="center"/>
    </xf>
    <xf numFmtId="0" fontId="64" fillId="0" borderId="0" xfId="0" applyFont="1" applyAlignment="1">
      <alignment horizontal="left" vertical="center" indent="1"/>
    </xf>
    <xf numFmtId="0" fontId="65" fillId="0" borderId="0" xfId="0" applyFont="1" applyAlignment="1">
      <alignment horizontal="left" vertical="center"/>
    </xf>
    <xf numFmtId="49" fontId="41" fillId="0" borderId="0" xfId="0" applyNumberFormat="1" applyFont="1" applyAlignment="1">
      <alignment horizontal="center"/>
    </xf>
    <xf numFmtId="0" fontId="46" fillId="0" borderId="0" xfId="0" applyFont="1"/>
    <xf numFmtId="5" fontId="69" fillId="0" borderId="11" xfId="541" applyNumberFormat="1" applyFont="1" applyBorder="1" applyAlignment="1" applyProtection="1">
      <alignment horizontal="center"/>
    </xf>
    <xf numFmtId="5" fontId="69" fillId="42" borderId="11" xfId="541" applyNumberFormat="1" applyFont="1" applyFill="1" applyBorder="1" applyAlignment="1" applyProtection="1">
      <alignment horizontal="center"/>
    </xf>
    <xf numFmtId="5" fontId="69" fillId="2" borderId="11" xfId="541" applyNumberFormat="1" applyFont="1" applyFill="1" applyBorder="1" applyAlignment="1" applyProtection="1">
      <alignment horizontal="center"/>
    </xf>
    <xf numFmtId="0" fontId="46" fillId="0" borderId="0" xfId="0" applyFont="1" applyAlignment="1">
      <alignment vertical="top"/>
    </xf>
    <xf numFmtId="0" fontId="46" fillId="2" borderId="0" xfId="0" applyFont="1" applyFill="1" applyAlignment="1">
      <alignment vertical="top" wrapText="1"/>
    </xf>
    <xf numFmtId="0" fontId="71" fillId="0" borderId="13" xfId="0" applyFont="1" applyBorder="1" applyAlignment="1">
      <alignment vertical="top" wrapText="1"/>
    </xf>
    <xf numFmtId="0" fontId="31" fillId="0" borderId="0" xfId="0" applyFont="1" applyAlignment="1">
      <alignment vertical="top" wrapText="1"/>
    </xf>
    <xf numFmtId="0" fontId="71" fillId="2" borderId="13" xfId="0" applyFont="1" applyFill="1" applyBorder="1" applyAlignment="1">
      <alignment vertical="top" wrapText="1"/>
    </xf>
    <xf numFmtId="0" fontId="71" fillId="0" borderId="0" xfId="0" applyFont="1" applyAlignment="1">
      <alignment vertical="top" wrapText="1"/>
    </xf>
    <xf numFmtId="0" fontId="71" fillId="2" borderId="0" xfId="0" applyFont="1" applyFill="1" applyAlignment="1">
      <alignment vertical="top" wrapText="1"/>
    </xf>
    <xf numFmtId="0" fontId="46" fillId="0" borderId="0" xfId="0" applyFont="1" applyAlignment="1">
      <alignment horizontal="right" vertical="top" wrapText="1"/>
    </xf>
    <xf numFmtId="168" fontId="46" fillId="5" borderId="6" xfId="0" applyNumberFormat="1" applyFont="1" applyFill="1" applyBorder="1" applyAlignment="1" applyProtection="1">
      <alignment horizontal="right" vertical="top" wrapText="1"/>
      <protection locked="0"/>
    </xf>
    <xf numFmtId="168" fontId="46" fillId="0" borderId="6" xfId="0" applyNumberFormat="1" applyFont="1" applyBorder="1" applyAlignment="1">
      <alignment horizontal="right" vertical="top" wrapText="1"/>
    </xf>
    <xf numFmtId="0" fontId="55"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168" fontId="46" fillId="0" borderId="11" xfId="0" applyNumberFormat="1" applyFont="1" applyBorder="1" applyAlignment="1">
      <alignment vertical="top" wrapText="1"/>
    </xf>
    <xf numFmtId="168" fontId="46" fillId="4" borderId="11" xfId="0" applyNumberFormat="1" applyFont="1" applyFill="1" applyBorder="1" applyAlignment="1">
      <alignment vertical="top" wrapText="1"/>
    </xf>
    <xf numFmtId="0" fontId="95" fillId="0" borderId="0" xfId="0" applyFont="1" applyAlignment="1">
      <alignment horizontal="left" vertical="top"/>
    </xf>
    <xf numFmtId="0" fontId="96" fillId="0" borderId="0" xfId="0" applyFont="1" applyAlignment="1">
      <alignment horizontal="left" vertical="top"/>
    </xf>
    <xf numFmtId="0" fontId="6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54" fillId="8" borderId="11" xfId="542" applyFont="1" applyFill="1" applyBorder="1" applyAlignment="1">
      <alignment horizontal="left"/>
    </xf>
    <xf numFmtId="0" fontId="54"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31" fillId="0" borderId="8" xfId="569" applyFont="1" applyBorder="1" applyAlignment="1">
      <alignment vertical="top" wrapText="1"/>
    </xf>
    <xf numFmtId="0" fontId="31" fillId="0" borderId="0" xfId="569" applyFont="1" applyAlignment="1">
      <alignment vertical="top" wrapText="1"/>
    </xf>
    <xf numFmtId="0" fontId="48" fillId="2" borderId="11" xfId="569" applyFont="1" applyFill="1" applyBorder="1" applyAlignment="1">
      <alignment horizontal="left" vertical="top" wrapText="1"/>
    </xf>
    <xf numFmtId="6" fontId="46" fillId="4" borderId="11" xfId="569" applyNumberFormat="1" applyFont="1" applyFill="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6" fontId="46" fillId="0" borderId="11" xfId="569" applyNumberFormat="1" applyFont="1" applyBorder="1" applyAlignment="1">
      <alignment vertical="top" wrapText="1"/>
    </xf>
    <xf numFmtId="6" fontId="46" fillId="5" borderId="11" xfId="569" applyNumberFormat="1" applyFont="1" applyFill="1" applyBorder="1" applyAlignment="1" applyProtection="1">
      <alignment vertical="top" wrapText="1"/>
      <protection locked="0"/>
    </xf>
    <xf numFmtId="6" fontId="46" fillId="6" borderId="11" xfId="569" applyNumberFormat="1" applyFont="1" applyFill="1" applyBorder="1" applyAlignment="1">
      <alignment horizontal="center" vertical="top" wrapText="1"/>
    </xf>
    <xf numFmtId="0" fontId="46" fillId="0" borderId="11" xfId="569" applyFont="1" applyBorder="1" applyAlignment="1">
      <alignment horizontal="right" vertical="top" wrapText="1"/>
    </xf>
    <xf numFmtId="0" fontId="47" fillId="0" borderId="11" xfId="569" applyFont="1" applyBorder="1" applyAlignment="1">
      <alignment horizontal="right" vertical="top" wrapText="1"/>
    </xf>
    <xf numFmtId="0" fontId="46" fillId="0" borderId="11" xfId="569" applyFont="1" applyBorder="1" applyAlignment="1">
      <alignment horizontal="right" vertical="top"/>
    </xf>
    <xf numFmtId="6" fontId="47" fillId="0" borderId="11" xfId="569" applyNumberFormat="1" applyFont="1" applyBorder="1" applyAlignment="1">
      <alignment vertical="top" wrapText="1"/>
    </xf>
    <xf numFmtId="0" fontId="47" fillId="0" borderId="8" xfId="569" applyFont="1" applyBorder="1" applyAlignment="1">
      <alignment vertical="top" wrapText="1"/>
    </xf>
    <xf numFmtId="0" fontId="47" fillId="0" borderId="0" xfId="569" applyFont="1" applyAlignment="1">
      <alignment vertical="top" wrapText="1"/>
    </xf>
    <xf numFmtId="0" fontId="20" fillId="0" borderId="11" xfId="569" applyFont="1" applyBorder="1" applyAlignment="1">
      <alignment horizontal="right" vertical="top" wrapText="1"/>
    </xf>
    <xf numFmtId="0" fontId="47" fillId="0" borderId="0" xfId="569" applyFont="1" applyAlignment="1">
      <alignment horizontal="left" vertical="top"/>
    </xf>
    <xf numFmtId="6" fontId="46" fillId="0" borderId="0" xfId="569" applyNumberFormat="1" applyFont="1" applyAlignment="1">
      <alignment horizontal="left" vertical="top"/>
    </xf>
    <xf numFmtId="0" fontId="96" fillId="0" borderId="0" xfId="569" applyFont="1" applyAlignment="1">
      <alignment horizontal="left" vertical="top"/>
    </xf>
    <xf numFmtId="6" fontId="46" fillId="0" borderId="0" xfId="569" applyNumberFormat="1" applyFont="1" applyAlignment="1">
      <alignment vertical="top" wrapText="1"/>
    </xf>
    <xf numFmtId="0" fontId="46" fillId="0" borderId="0" xfId="569" applyFont="1" applyAlignment="1">
      <alignment horizontal="left" vertical="top"/>
    </xf>
    <xf numFmtId="0" fontId="46" fillId="0" borderId="12" xfId="569" applyFont="1" applyBorder="1" applyAlignment="1">
      <alignment vertical="top" wrapText="1"/>
    </xf>
    <xf numFmtId="0" fontId="24" fillId="0" borderId="0" xfId="569" applyFont="1" applyAlignment="1">
      <alignment horizontal="left" vertical="top"/>
    </xf>
    <xf numFmtId="0" fontId="99" fillId="0" borderId="0" xfId="569" applyFont="1" applyAlignment="1">
      <alignment horizontal="left" vertical="top"/>
    </xf>
    <xf numFmtId="0" fontId="55"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46" fillId="0" borderId="0" xfId="569" applyFont="1" applyAlignment="1">
      <alignment vertical="top"/>
    </xf>
    <xf numFmtId="168" fontId="46" fillId="0" borderId="0" xfId="569" applyNumberFormat="1" applyFont="1" applyAlignment="1" applyProtection="1">
      <alignment horizontal="right" vertical="top" wrapText="1"/>
      <protection locked="0"/>
    </xf>
    <xf numFmtId="0" fontId="17" fillId="0" borderId="0" xfId="569" applyAlignment="1">
      <alignment vertical="top"/>
    </xf>
    <xf numFmtId="0" fontId="46" fillId="0" borderId="0" xfId="569" applyFont="1" applyAlignment="1">
      <alignment horizontal="right" vertical="top" wrapText="1"/>
    </xf>
    <xf numFmtId="0" fontId="24" fillId="0" borderId="0" xfId="569" applyFont="1" applyAlignment="1">
      <alignment horizontal="left" vertical="top" wrapText="1"/>
    </xf>
    <xf numFmtId="168" fontId="46"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71" fillId="0" borderId="0" xfId="569" applyFont="1" applyAlignment="1">
      <alignment vertical="top" wrapText="1"/>
    </xf>
    <xf numFmtId="0" fontId="71" fillId="0" borderId="12" xfId="569" applyFont="1" applyBorder="1" applyAlignment="1">
      <alignment vertical="top" wrapText="1"/>
    </xf>
    <xf numFmtId="0" fontId="71" fillId="0" borderId="8" xfId="569" applyFont="1" applyBorder="1" applyAlignment="1">
      <alignment vertical="top" wrapText="1"/>
    </xf>
    <xf numFmtId="0" fontId="31" fillId="0" borderId="0" xfId="569" applyFont="1" applyAlignment="1">
      <alignment horizontal="right" vertical="top" wrapText="1"/>
    </xf>
    <xf numFmtId="0" fontId="71" fillId="0" borderId="0" xfId="569" applyFont="1" applyAlignment="1">
      <alignment horizontal="right" vertical="top" wrapText="1"/>
    </xf>
    <xf numFmtId="0" fontId="47" fillId="0" borderId="3" xfId="569" applyFont="1" applyBorder="1" applyAlignment="1">
      <alignment horizontal="left"/>
    </xf>
    <xf numFmtId="0" fontId="47" fillId="0" borderId="13" xfId="569" applyFont="1" applyBorder="1" applyAlignment="1">
      <alignment horizontal="center" wrapText="1"/>
    </xf>
    <xf numFmtId="0" fontId="47" fillId="0" borderId="8" xfId="569" applyFont="1" applyBorder="1" applyAlignment="1">
      <alignment horizontal="center" wrapText="1"/>
    </xf>
    <xf numFmtId="0" fontId="47"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vertical="center"/>
    </xf>
    <xf numFmtId="0" fontId="36"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9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56" fillId="0" borderId="0" xfId="271" applyFont="1" applyAlignment="1">
      <alignment horizontal="left"/>
    </xf>
    <xf numFmtId="0" fontId="56" fillId="0" borderId="0" xfId="271" applyFont="1" applyAlignment="1">
      <alignment horizontal="right"/>
    </xf>
    <xf numFmtId="168" fontId="22" fillId="0" borderId="11" xfId="271" applyNumberFormat="1" applyFont="1" applyBorder="1"/>
    <xf numFmtId="168" fontId="22" fillId="0" borderId="0" xfId="271" applyNumberFormat="1" applyFont="1"/>
    <xf numFmtId="0" fontId="17" fillId="0" borderId="3" xfId="569" applyBorder="1"/>
    <xf numFmtId="0" fontId="98" fillId="0" borderId="0" xfId="1834"/>
    <xf numFmtId="0" fontId="0" fillId="0" borderId="0" xfId="0" applyAlignment="1">
      <alignment horizontal="left" vertical="top"/>
    </xf>
    <xf numFmtId="0" fontId="97" fillId="0" borderId="0" xfId="0" applyFont="1" applyAlignment="1">
      <alignment vertical="top" wrapText="1"/>
    </xf>
    <xf numFmtId="0" fontId="46" fillId="0" borderId="0" xfId="271" applyFont="1" applyAlignment="1">
      <alignment vertical="top" wrapText="1"/>
    </xf>
    <xf numFmtId="0" fontId="24" fillId="0" borderId="12" xfId="543" applyFont="1" applyBorder="1" applyAlignment="1">
      <alignment horizontal="right"/>
    </xf>
    <xf numFmtId="0" fontId="40" fillId="0" borderId="0" xfId="1192" applyFont="1"/>
    <xf numFmtId="0" fontId="46" fillId="0" borderId="11" xfId="0" applyFont="1" applyBorder="1" applyAlignment="1">
      <alignment horizontal="right" vertical="center"/>
    </xf>
    <xf numFmtId="0" fontId="40" fillId="0" borderId="0" xfId="0" applyFont="1" applyAlignment="1">
      <alignment vertical="top" wrapText="1"/>
    </xf>
    <xf numFmtId="6" fontId="47" fillId="0" borderId="0" xfId="569" applyNumberFormat="1" applyFont="1" applyAlignment="1">
      <alignment horizontal="right" vertical="top"/>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40" fillId="0" borderId="0" xfId="0" applyFont="1" applyAlignment="1">
      <alignment horizontal="left" vertical="top"/>
    </xf>
    <xf numFmtId="0" fontId="40" fillId="0" borderId="0" xfId="0" applyFont="1" applyAlignment="1">
      <alignment vertical="top"/>
    </xf>
    <xf numFmtId="0" fontId="17" fillId="0" borderId="0" xfId="569" applyAlignment="1">
      <alignment horizontal="center"/>
    </xf>
    <xf numFmtId="49" fontId="24" fillId="0" borderId="0" xfId="569" applyNumberFormat="1" applyFont="1" applyAlignment="1">
      <alignment horizontal="center"/>
    </xf>
    <xf numFmtId="0" fontId="44"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44"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2" fillId="0" borderId="0" xfId="569" applyFont="1" applyAlignment="1">
      <alignment horizontal="left"/>
    </xf>
    <xf numFmtId="4" fontId="44"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1" fillId="0" borderId="0" xfId="569" applyFont="1" applyAlignment="1">
      <alignment horizontal="left"/>
    </xf>
    <xf numFmtId="0" fontId="18" fillId="0" borderId="0" xfId="244" applyNumberFormat="1" applyFill="1" applyAlignment="1" applyProtection="1">
      <alignment horizontal="left"/>
      <protection locked="0"/>
    </xf>
    <xf numFmtId="0" fontId="46" fillId="0" borderId="11" xfId="0" applyFont="1" applyBorder="1" applyAlignment="1" applyProtection="1">
      <alignment horizontal="right" vertical="top" wrapText="1"/>
      <protection locked="0"/>
    </xf>
    <xf numFmtId="0" fontId="17" fillId="0" borderId="11" xfId="271" applyFont="1" applyBorder="1" applyAlignment="1">
      <alignment horizontal="right" vertical="top" wrapText="1"/>
    </xf>
    <xf numFmtId="0" fontId="25" fillId="0" borderId="0" xfId="569" applyFont="1" applyAlignment="1">
      <alignment horizontal="left"/>
    </xf>
    <xf numFmtId="0" fontId="95" fillId="0" borderId="0" xfId="0" applyFont="1"/>
    <xf numFmtId="0" fontId="106" fillId="0" borderId="0" xfId="0" applyFont="1" applyAlignment="1">
      <alignment horizontal="left" vertical="top"/>
    </xf>
    <xf numFmtId="0" fontId="107" fillId="0" borderId="0" xfId="0" applyFont="1" applyAlignment="1">
      <alignment horizontal="left" vertical="top"/>
    </xf>
    <xf numFmtId="168" fontId="25" fillId="0" borderId="0" xfId="0" applyNumberFormat="1" applyFont="1" applyAlignment="1">
      <alignment horizontal="left" vertical="top" wrapText="1"/>
    </xf>
    <xf numFmtId="168" fontId="46" fillId="5" borderId="11" xfId="0" applyNumberFormat="1" applyFont="1" applyFill="1" applyBorder="1" applyAlignment="1">
      <alignment vertical="top" wrapText="1"/>
    </xf>
    <xf numFmtId="0" fontId="17" fillId="0" borderId="0" xfId="271" applyFont="1" applyAlignment="1">
      <alignment horizontal="left" vertical="top"/>
    </xf>
    <xf numFmtId="0" fontId="46" fillId="0" borderId="0" xfId="569" applyFont="1"/>
    <xf numFmtId="4" fontId="17" fillId="0" borderId="0" xfId="1192" applyNumberFormat="1" applyAlignment="1">
      <alignment vertical="top" wrapText="1"/>
    </xf>
    <xf numFmtId="0" fontId="24" fillId="0" borderId="16" xfId="271" applyFont="1" applyBorder="1"/>
    <xf numFmtId="0" fontId="51" fillId="0" borderId="0" xfId="569" applyFont="1"/>
    <xf numFmtId="0" fontId="36" fillId="0" borderId="0" xfId="569" applyFont="1"/>
    <xf numFmtId="49" fontId="17" fillId="0" borderId="0" xfId="1192" applyNumberFormat="1" applyAlignment="1">
      <alignment vertical="top" wrapText="1"/>
    </xf>
    <xf numFmtId="0" fontId="48" fillId="0" borderId="9" xfId="543" applyFont="1" applyBorder="1" applyAlignment="1">
      <alignment vertical="top"/>
    </xf>
    <xf numFmtId="0" fontId="17" fillId="0" borderId="0" xfId="0" applyFont="1" applyAlignment="1">
      <alignment vertical="center"/>
    </xf>
    <xf numFmtId="0" fontId="108" fillId="0" borderId="0" xfId="0" applyFont="1"/>
    <xf numFmtId="3" fontId="95" fillId="0" borderId="0" xfId="0" applyNumberFormat="1" applyFont="1"/>
    <xf numFmtId="0" fontId="95" fillId="0" borderId="0" xfId="0" applyFont="1" applyAlignment="1">
      <alignment horizontal="left"/>
    </xf>
    <xf numFmtId="168" fontId="109" fillId="0" borderId="0" xfId="0" applyNumberFormat="1" applyFont="1" applyAlignment="1">
      <alignment horizontal="left" vertical="top"/>
    </xf>
    <xf numFmtId="0" fontId="95" fillId="0" borderId="0" xfId="0" applyFont="1" applyAlignment="1">
      <alignment horizontal="left" vertical="center"/>
    </xf>
    <xf numFmtId="0" fontId="11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35" fillId="0" borderId="0" xfId="4495" applyFont="1" applyAlignment="1">
      <alignment horizontal="left" vertical="center"/>
    </xf>
    <xf numFmtId="0" fontId="17" fillId="0" borderId="0" xfId="1192" quotePrefix="1" applyAlignment="1">
      <alignment horizontal="center"/>
    </xf>
    <xf numFmtId="0" fontId="41"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13" fillId="0" borderId="53" xfId="4496" applyFont="1" applyBorder="1" applyAlignment="1">
      <alignment horizontal="left" vertical="top"/>
    </xf>
    <xf numFmtId="0" fontId="17" fillId="0" borderId="0" xfId="4495" applyFont="1" applyAlignment="1">
      <alignment horizontal="left" vertical="center"/>
    </xf>
    <xf numFmtId="0" fontId="114" fillId="0" borderId="0" xfId="4496" applyFont="1" applyAlignment="1">
      <alignment vertical="center"/>
    </xf>
    <xf numFmtId="0" fontId="112" fillId="0" borderId="0" xfId="4496" applyFont="1"/>
    <xf numFmtId="0" fontId="112" fillId="0" borderId="0" xfId="4496" applyFont="1" applyAlignment="1">
      <alignment vertical="center"/>
    </xf>
    <xf numFmtId="0" fontId="11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1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1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12" fillId="0" borderId="53" xfId="4496" applyFont="1" applyBorder="1" applyAlignment="1">
      <alignment vertical="top" wrapText="1"/>
    </xf>
    <xf numFmtId="0" fontId="112" fillId="0" borderId="0" xfId="4496" applyFont="1" applyAlignment="1">
      <alignment vertical="top" wrapText="1"/>
    </xf>
    <xf numFmtId="10" fontId="112" fillId="0" borderId="0" xfId="4496" applyNumberFormat="1" applyFont="1" applyAlignment="1">
      <alignment vertical="top" wrapText="1"/>
    </xf>
    <xf numFmtId="0" fontId="112" fillId="0" borderId="54" xfId="4496" applyFont="1" applyBorder="1" applyAlignment="1">
      <alignment vertical="top" wrapText="1"/>
    </xf>
    <xf numFmtId="0" fontId="112" fillId="0" borderId="0" xfId="4496" applyFont="1" applyAlignment="1">
      <alignment vertical="top"/>
    </xf>
    <xf numFmtId="165" fontId="11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1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8" xfId="4495" applyFont="1" applyBorder="1"/>
    <xf numFmtId="0" fontId="25" fillId="0" borderId="0" xfId="4495" applyFont="1" applyAlignment="1">
      <alignment horizontal="left"/>
    </xf>
    <xf numFmtId="0" fontId="17" fillId="0" borderId="0" xfId="4495" applyFont="1" applyAlignment="1">
      <alignment horizontal="center"/>
    </xf>
    <xf numFmtId="0" fontId="33" fillId="0" borderId="0" xfId="4495" applyFont="1"/>
    <xf numFmtId="0" fontId="25" fillId="0" borderId="8" xfId="4495" applyFont="1" applyBorder="1"/>
    <xf numFmtId="0" fontId="46"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46"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1" fontId="110" fillId="0" borderId="0" xfId="4495" applyNumberFormat="1"/>
    <xf numFmtId="0" fontId="17" fillId="0" borderId="0" xfId="4495" applyFont="1" applyAlignment="1">
      <alignmen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7" fillId="0" borderId="53" xfId="4495" applyFont="1" applyBorder="1" applyAlignment="1">
      <alignment vertical="top"/>
    </xf>
    <xf numFmtId="0" fontId="17" fillId="0" borderId="54" xfId="4495" applyFont="1" applyBorder="1" applyAlignment="1">
      <alignment vertical="top" wrapText="1"/>
    </xf>
    <xf numFmtId="0" fontId="52"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52"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1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1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quotePrefix="1" applyFont="1"/>
    <xf numFmtId="0" fontId="25" fillId="0" borderId="0" xfId="4495" applyFont="1" applyAlignment="1">
      <alignment horizontal="left" vertical="top" shrinkToFit="1"/>
    </xf>
    <xf numFmtId="0" fontId="41" fillId="0" borderId="0" xfId="4495" applyFont="1"/>
    <xf numFmtId="0" fontId="25" fillId="0" borderId="3" xfId="4495" applyFont="1" applyBorder="1" applyAlignment="1">
      <alignment horizontal="center"/>
    </xf>
    <xf numFmtId="0" fontId="110" fillId="0" borderId="8" xfId="4495" applyBorder="1"/>
    <xf numFmtId="0" fontId="24" fillId="0" borderId="8" xfId="4495" applyFont="1" applyBorder="1" applyAlignment="1">
      <alignment vertical="top"/>
    </xf>
    <xf numFmtId="0" fontId="110" fillId="0" borderId="0" xfId="4495" applyAlignment="1">
      <alignment vertical="top"/>
    </xf>
    <xf numFmtId="0" fontId="24" fillId="0" borderId="4" xfId="4495" applyFont="1" applyBorder="1" applyAlignment="1">
      <alignment horizontal="center" vertical="top"/>
    </xf>
    <xf numFmtId="0" fontId="116" fillId="0" borderId="0" xfId="4495" applyFont="1" applyAlignment="1">
      <alignment horizontal="left" vertical="top"/>
    </xf>
    <xf numFmtId="0" fontId="11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20" fillId="0" borderId="0" xfId="4495" applyFont="1" applyAlignment="1">
      <alignment vertical="top" wrapText="1"/>
    </xf>
    <xf numFmtId="0" fontId="25" fillId="0" borderId="6" xfId="4495" applyFont="1" applyBorder="1"/>
    <xf numFmtId="1" fontId="25" fillId="0" borderId="8" xfId="4495" applyNumberFormat="1" applyFont="1" applyBorder="1" applyAlignment="1">
      <alignment horizontal="center" vertical="top"/>
    </xf>
    <xf numFmtId="0" fontId="110" fillId="0" borderId="12" xfId="4495" applyBorder="1"/>
    <xf numFmtId="0" fontId="25" fillId="0" borderId="9" xfId="4495" applyFont="1" applyBorder="1"/>
    <xf numFmtId="0" fontId="110" fillId="0" borderId="10" xfId="4495" applyBorder="1"/>
    <xf numFmtId="0" fontId="33" fillId="0" borderId="3" xfId="4495" applyFont="1" applyBorder="1"/>
    <xf numFmtId="0" fontId="24" fillId="0" borderId="4" xfId="4495" applyFont="1" applyBorder="1"/>
    <xf numFmtId="0" fontId="110" fillId="0" borderId="12" xfId="4495" applyBorder="1" applyAlignment="1">
      <alignment vertical="top"/>
    </xf>
    <xf numFmtId="0" fontId="33" fillId="0" borderId="1" xfId="4495" applyFont="1" applyBorder="1"/>
    <xf numFmtId="0" fontId="120" fillId="0" borderId="2" xfId="4495" applyFont="1" applyBorder="1" applyAlignment="1">
      <alignment horizontal="left" wrapText="1"/>
    </xf>
    <xf numFmtId="0" fontId="120" fillId="0" borderId="2" xfId="4495" applyFont="1" applyBorder="1" applyAlignment="1">
      <alignment horizontal="left"/>
    </xf>
    <xf numFmtId="0" fontId="120" fillId="0" borderId="7" xfId="4495" applyFont="1" applyBorder="1" applyAlignment="1">
      <alignment horizontal="left" wrapText="1"/>
    </xf>
    <xf numFmtId="0" fontId="120" fillId="0" borderId="0" xfId="4495" applyFont="1" applyAlignment="1">
      <alignment horizontal="left" wrapText="1"/>
    </xf>
    <xf numFmtId="0" fontId="33" fillId="0" borderId="9" xfId="4495" applyFont="1" applyBorder="1"/>
    <xf numFmtId="0" fontId="25" fillId="0" borderId="10" xfId="4495" applyFont="1" applyBorder="1"/>
    <xf numFmtId="0" fontId="12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33" fillId="0" borderId="0" xfId="4495" applyFont="1" applyAlignment="1">
      <alignment vertical="top"/>
    </xf>
    <xf numFmtId="0" fontId="25" fillId="0" borderId="61" xfId="4495" applyFont="1" applyBorder="1"/>
    <xf numFmtId="0" fontId="11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10" fillId="0" borderId="61" xfId="4495" applyBorder="1"/>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1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19" fillId="0" borderId="0" xfId="4495" applyFont="1"/>
    <xf numFmtId="0" fontId="11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1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46" fillId="0" borderId="0" xfId="4495" applyFont="1" applyAlignment="1">
      <alignment horizontal="left" vertical="top"/>
    </xf>
    <xf numFmtId="0" fontId="25" fillId="0" borderId="0" xfId="4495" quotePrefix="1" applyFont="1" applyAlignment="1">
      <alignment horizontal="center" vertical="top"/>
    </xf>
    <xf numFmtId="0" fontId="47" fillId="0" borderId="0" xfId="4495" applyFont="1" applyAlignment="1">
      <alignment horizontal="center"/>
    </xf>
    <xf numFmtId="0" fontId="47" fillId="0" borderId="0" xfId="4495" applyFont="1" applyAlignment="1">
      <alignment vertical="top"/>
    </xf>
    <xf numFmtId="0" fontId="97" fillId="0" borderId="0" xfId="4495" applyFont="1"/>
    <xf numFmtId="0" fontId="46"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46" fillId="0" borderId="51" xfId="4495" applyFont="1" applyBorder="1" applyAlignment="1">
      <alignment horizontal="left" vertical="top"/>
    </xf>
    <xf numFmtId="0" fontId="110" fillId="0" borderId="53" xfId="4495" applyBorder="1"/>
    <xf numFmtId="0" fontId="9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1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180" fontId="55" fillId="0" borderId="0" xfId="4495" applyNumberFormat="1" applyFont="1" applyAlignment="1">
      <alignment horizontal="center" vertical="center"/>
    </xf>
    <xf numFmtId="0" fontId="17" fillId="0" borderId="12" xfId="4495" applyFont="1" applyBorder="1" applyAlignment="1">
      <alignment vertical="top"/>
    </xf>
    <xf numFmtId="0" fontId="41" fillId="0" borderId="0" xfId="4495" applyFont="1" applyAlignment="1">
      <alignmen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right"/>
    </xf>
    <xf numFmtId="0" fontId="17" fillId="0" borderId="59" xfId="4495" applyFont="1" applyBorder="1" applyAlignment="1">
      <alignment horizontal="right"/>
    </xf>
    <xf numFmtId="0" fontId="41"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2" fontId="17" fillId="0" borderId="0" xfId="1192" applyNumberFormat="1"/>
    <xf numFmtId="6" fontId="17" fillId="0" borderId="0" xfId="1192" applyNumberFormat="1"/>
    <xf numFmtId="0" fontId="24" fillId="0" borderId="0" xfId="1192" applyFont="1"/>
    <xf numFmtId="0" fontId="41" fillId="0" borderId="0" xfId="1192" applyFont="1"/>
    <xf numFmtId="168" fontId="17" fillId="0" borderId="0" xfId="4495" applyNumberFormat="1" applyFont="1"/>
    <xf numFmtId="0" fontId="24" fillId="0" borderId="0" xfId="1192" applyFont="1" applyAlignment="1">
      <alignment vertical="center"/>
    </xf>
    <xf numFmtId="0" fontId="108" fillId="0" borderId="0" xfId="1192" applyFont="1" applyAlignment="1">
      <alignment horizontal="left"/>
    </xf>
    <xf numFmtId="0" fontId="105" fillId="0" borderId="0" xfId="1192" applyFont="1" applyAlignment="1">
      <alignment horizontal="left"/>
    </xf>
    <xf numFmtId="0" fontId="10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47" fillId="0" borderId="4" xfId="4495" applyFont="1" applyBorder="1"/>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12" fillId="0" borderId="0" xfId="4496" applyNumberFormat="1" applyFont="1" applyAlignment="1">
      <alignment horizontal="center" vertical="top" wrapText="1"/>
    </xf>
    <xf numFmtId="168" fontId="112" fillId="0" borderId="0" xfId="4496" applyNumberFormat="1" applyFont="1" applyAlignment="1">
      <alignment vertical="top" wrapText="1"/>
    </xf>
    <xf numFmtId="165" fontId="112" fillId="0" borderId="64" xfId="4496" applyNumberFormat="1" applyFont="1" applyBorder="1" applyAlignment="1">
      <alignment horizontal="center" vertical="top" wrapText="1"/>
    </xf>
    <xf numFmtId="165" fontId="112" fillId="0" borderId="53" xfId="4496" applyNumberFormat="1" applyFont="1" applyBorder="1" applyAlignment="1">
      <alignment horizontal="left" vertical="top"/>
    </xf>
    <xf numFmtId="165" fontId="112" fillId="0" borderId="53" xfId="4496" applyNumberFormat="1" applyFont="1" applyBorder="1" applyAlignment="1">
      <alignment horizontal="center" vertical="top" wrapText="1"/>
    </xf>
    <xf numFmtId="168" fontId="112" fillId="0" borderId="0" xfId="4496" applyNumberFormat="1" applyFont="1" applyAlignment="1">
      <alignment vertical="top"/>
    </xf>
    <xf numFmtId="1" fontId="112" fillId="0" borderId="0" xfId="4496" applyNumberFormat="1" applyFont="1" applyAlignment="1">
      <alignment vertical="top" wrapText="1"/>
    </xf>
    <xf numFmtId="164" fontId="25" fillId="0" borderId="0" xfId="4495" applyNumberFormat="1" applyFont="1"/>
    <xf numFmtId="0" fontId="131" fillId="0" borderId="50" xfId="1192" applyFont="1" applyBorder="1" applyAlignment="1">
      <alignment horizontal="left"/>
    </xf>
    <xf numFmtId="0" fontId="132" fillId="0" borderId="51" xfId="4495" applyFont="1" applyBorder="1" applyAlignment="1">
      <alignment vertical="top"/>
    </xf>
    <xf numFmtId="0" fontId="131" fillId="0" borderId="51" xfId="4495" applyFont="1" applyBorder="1" applyAlignment="1">
      <alignment vertical="top" wrapText="1"/>
    </xf>
    <xf numFmtId="0" fontId="132" fillId="0" borderId="51" xfId="4495" applyFont="1" applyBorder="1"/>
    <xf numFmtId="0" fontId="132" fillId="0" borderId="53" xfId="1192" applyFont="1" applyBorder="1" applyAlignment="1">
      <alignment horizontal="left"/>
    </xf>
    <xf numFmtId="0" fontId="132" fillId="0" borderId="0" xfId="4495" applyFont="1" applyAlignment="1">
      <alignment vertical="top"/>
    </xf>
    <xf numFmtId="0" fontId="131" fillId="0" borderId="0" xfId="4495" applyFont="1" applyAlignment="1">
      <alignment vertical="top" wrapText="1"/>
    </xf>
    <xf numFmtId="0" fontId="132" fillId="0" borderId="0" xfId="4495" applyFont="1"/>
    <xf numFmtId="0" fontId="131" fillId="0" borderId="53" xfId="1192" applyFont="1" applyBorder="1" applyAlignment="1">
      <alignment horizontal="left"/>
    </xf>
    <xf numFmtId="0" fontId="131" fillId="0" borderId="57" xfId="1192" applyFont="1" applyBorder="1" applyAlignment="1">
      <alignment horizontal="left"/>
    </xf>
    <xf numFmtId="0" fontId="132" fillId="0" borderId="58" xfId="4495" applyFont="1" applyBorder="1" applyAlignment="1">
      <alignment vertical="top"/>
    </xf>
    <xf numFmtId="0" fontId="131" fillId="0" borderId="58" xfId="4495" applyFont="1" applyBorder="1" applyAlignment="1">
      <alignment vertical="top" wrapText="1"/>
    </xf>
    <xf numFmtId="0" fontId="132" fillId="0" borderId="58" xfId="4495" applyFont="1" applyBorder="1"/>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23" fillId="0" borderId="0" xfId="0" applyFont="1" applyAlignment="1">
      <alignment horizontal="center" vertical="center" wrapText="1"/>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38" fillId="0" borderId="8" xfId="543" applyFont="1" applyBorder="1" applyAlignment="1">
      <alignment vertical="center" wrapText="1"/>
    </xf>
    <xf numFmtId="0" fontId="38" fillId="0" borderId="0" xfId="543" applyFont="1" applyAlignment="1">
      <alignment vertical="center" wrapText="1"/>
    </xf>
    <xf numFmtId="0" fontId="38" fillId="0" borderId="12" xfId="543" applyFont="1" applyBorder="1" applyAlignment="1">
      <alignment vertical="center" wrapText="1"/>
    </xf>
    <xf numFmtId="0" fontId="38" fillId="0" borderId="9" xfId="543" applyFont="1" applyBorder="1" applyAlignment="1">
      <alignment vertical="center" wrapText="1"/>
    </xf>
    <xf numFmtId="0" fontId="38" fillId="0" borderId="6" xfId="543" applyFont="1" applyBorder="1" applyAlignment="1">
      <alignment vertical="center" wrapText="1"/>
    </xf>
    <xf numFmtId="0" fontId="38" fillId="0" borderId="10" xfId="543" applyFont="1" applyBorder="1" applyAlignment="1">
      <alignment vertical="center" wrapText="1"/>
    </xf>
    <xf numFmtId="0" fontId="17" fillId="0" borderId="12" xfId="543" quotePrefix="1" applyBorder="1"/>
    <xf numFmtId="0" fontId="46"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3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6" xfId="4495" applyFont="1" applyBorder="1" applyAlignment="1">
      <alignment vertical="top" wrapText="1"/>
    </xf>
    <xf numFmtId="0" fontId="13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6" xfId="4495" applyFont="1" applyBorder="1" applyAlignment="1">
      <alignment horizontal="left" vertical="top" wrapText="1"/>
    </xf>
    <xf numFmtId="2" fontId="10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2" fillId="0" borderId="0" xfId="4496" applyFont="1"/>
    <xf numFmtId="168" fontId="46" fillId="5" borderId="11" xfId="0" applyNumberFormat="1" applyFont="1" applyFill="1" applyBorder="1" applyAlignment="1" applyProtection="1">
      <alignment vertical="top" wrapText="1"/>
      <protection locked="0"/>
    </xf>
    <xf numFmtId="43" fontId="44"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1" fillId="0" borderId="0" xfId="0" applyFont="1" applyAlignment="1">
      <alignment horizontal="left"/>
    </xf>
    <xf numFmtId="0" fontId="17" fillId="0" borderId="0" xfId="0" quotePrefix="1" applyFont="1" applyAlignment="1">
      <alignment horizontal="left"/>
    </xf>
    <xf numFmtId="0" fontId="41" fillId="0" borderId="0" xfId="1192" applyFont="1" applyAlignment="1">
      <alignment horizontal="left"/>
    </xf>
    <xf numFmtId="0" fontId="44"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12" fillId="0" borderId="0" xfId="4496" applyNumberFormat="1" applyFont="1" applyAlignment="1">
      <alignment horizontal="center" vertical="top" wrapText="1"/>
    </xf>
    <xf numFmtId="10" fontId="112" fillId="0" borderId="64" xfId="4496" applyNumberFormat="1" applyFont="1" applyBorder="1" applyAlignment="1">
      <alignment horizontal="center" vertical="top" wrapText="1"/>
    </xf>
    <xf numFmtId="10" fontId="112" fillId="0" borderId="53" xfId="4496" applyNumberFormat="1" applyFont="1" applyBorder="1" applyAlignment="1">
      <alignment horizontal="left" vertical="top"/>
    </xf>
    <xf numFmtId="0" fontId="112" fillId="0" borderId="0" xfId="4495" applyFont="1"/>
    <xf numFmtId="10" fontId="112" fillId="0" borderId="0" xfId="4495" applyNumberFormat="1" applyFont="1"/>
    <xf numFmtId="172" fontId="17" fillId="0" borderId="0" xfId="4495" applyNumberFormat="1" applyFont="1"/>
    <xf numFmtId="0" fontId="0" fillId="0" borderId="10" xfId="0" applyBorder="1" applyAlignment="1">
      <alignment horizontal="left"/>
    </xf>
    <xf numFmtId="1" fontId="17" fillId="0" borderId="0" xfId="1192" applyNumberFormat="1" applyAlignment="1">
      <alignment horizontal="center"/>
    </xf>
    <xf numFmtId="0" fontId="110" fillId="0" borderId="63" xfId="4495" applyBorder="1"/>
    <xf numFmtId="0" fontId="46"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3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49" fontId="24" fillId="0" borderId="0" xfId="0" applyNumberFormat="1" applyFont="1"/>
    <xf numFmtId="49" fontId="24" fillId="0" borderId="0" xfId="0" applyNumberFormat="1" applyFont="1" applyAlignment="1">
      <alignment vertical="top"/>
    </xf>
    <xf numFmtId="175" fontId="17" fillId="0" borderId="0" xfId="543" applyNumberFormat="1" applyAlignment="1">
      <alignment vertical="center"/>
    </xf>
    <xf numFmtId="0" fontId="88" fillId="43" borderId="6" xfId="4496" applyFont="1" applyFill="1" applyBorder="1" applyAlignment="1" applyProtection="1">
      <alignment horizontal="center"/>
      <protection locked="0"/>
    </xf>
    <xf numFmtId="0" fontId="88" fillId="0" borderId="0" xfId="4496" applyFont="1"/>
    <xf numFmtId="0" fontId="88" fillId="0" borderId="0" xfId="4496" applyFont="1" applyAlignment="1">
      <alignment wrapText="1"/>
    </xf>
    <xf numFmtId="0" fontId="127" fillId="0" borderId="0" xfId="4496" applyFont="1"/>
    <xf numFmtId="181" fontId="128" fillId="0" borderId="0" xfId="4498" applyNumberFormat="1" applyFont="1" applyBorder="1" applyProtection="1"/>
    <xf numFmtId="0" fontId="129" fillId="0" borderId="0" xfId="4496" applyFont="1" applyAlignment="1">
      <alignment vertical="center" wrapText="1"/>
    </xf>
    <xf numFmtId="49" fontId="88" fillId="0" borderId="0" xfId="4496" applyNumberFormat="1" applyFont="1" applyAlignment="1">
      <alignment horizontal="center"/>
    </xf>
    <xf numFmtId="182" fontId="88" fillId="0" borderId="6" xfId="4496" applyNumberFormat="1" applyFont="1" applyBorder="1"/>
    <xf numFmtId="0" fontId="88" fillId="0" borderId="0" xfId="4496" applyFont="1" applyAlignment="1">
      <alignment vertical="center"/>
    </xf>
    <xf numFmtId="182" fontId="88" fillId="0" borderId="0" xfId="4496" applyNumberFormat="1" applyFont="1" applyAlignment="1">
      <alignment vertical="center"/>
    </xf>
    <xf numFmtId="175" fontId="88" fillId="0" borderId="0" xfId="4499" applyNumberFormat="1" applyFont="1" applyFill="1" applyBorder="1" applyAlignment="1" applyProtection="1">
      <alignment horizontal="left" vertical="center"/>
    </xf>
    <xf numFmtId="9" fontId="88" fillId="0" borderId="0" xfId="4499" applyFont="1" applyFill="1" applyBorder="1" applyAlignment="1" applyProtection="1">
      <alignment vertical="center"/>
    </xf>
    <xf numFmtId="183" fontId="88" fillId="0" borderId="0" xfId="4496" applyNumberFormat="1" applyFont="1" applyAlignment="1">
      <alignment vertical="center" wrapText="1"/>
    </xf>
    <xf numFmtId="9" fontId="88" fillId="0" borderId="0" xfId="4499" applyFont="1" applyBorder="1" applyAlignment="1" applyProtection="1">
      <alignment vertical="center"/>
    </xf>
    <xf numFmtId="164" fontId="88" fillId="0" borderId="0" xfId="4496" applyNumberFormat="1" applyFont="1" applyAlignment="1">
      <alignment vertical="center" wrapText="1"/>
    </xf>
    <xf numFmtId="0" fontId="88" fillId="0" borderId="0" xfId="4496" applyFont="1" applyAlignment="1">
      <alignment horizontal="center" vertical="center"/>
    </xf>
    <xf numFmtId="182" fontId="88" fillId="0" borderId="11" xfId="8721" applyNumberFormat="1" applyFont="1" applyBorder="1" applyProtection="1"/>
    <xf numFmtId="182" fontId="88" fillId="0" borderId="11" xfId="4496" applyNumberFormat="1" applyFont="1" applyBorder="1"/>
    <xf numFmtId="164" fontId="88" fillId="0" borderId="0" xfId="4496" applyNumberFormat="1" applyFont="1" applyAlignment="1">
      <alignment wrapText="1"/>
    </xf>
    <xf numFmtId="49" fontId="88" fillId="0" borderId="0" xfId="4496" applyNumberFormat="1" applyFont="1" applyAlignment="1">
      <alignment horizontal="left"/>
    </xf>
    <xf numFmtId="0" fontId="130" fillId="0" borderId="0" xfId="4496" applyFont="1"/>
    <xf numFmtId="9" fontId="88" fillId="0" borderId="11" xfId="4494" applyFont="1" applyFill="1" applyBorder="1" applyAlignment="1" applyProtection="1">
      <alignment horizontal="right"/>
    </xf>
    <xf numFmtId="1" fontId="88" fillId="0" borderId="0" xfId="4496" applyNumberFormat="1" applyFont="1"/>
    <xf numFmtId="0" fontId="127" fillId="45" borderId="3" xfId="4496" applyFont="1" applyFill="1" applyBorder="1" applyAlignment="1">
      <alignment horizontal="left" indent="1"/>
    </xf>
    <xf numFmtId="0" fontId="88" fillId="45" borderId="4" xfId="4496" applyFont="1" applyFill="1" applyBorder="1"/>
    <xf numFmtId="2" fontId="88" fillId="45" borderId="5" xfId="4496" applyNumberFormat="1" applyFont="1" applyFill="1" applyBorder="1"/>
    <xf numFmtId="181" fontId="88" fillId="0" borderId="0" xfId="4496" applyNumberFormat="1" applyFont="1"/>
    <xf numFmtId="165" fontId="128" fillId="0" borderId="0" xfId="4499" applyNumberFormat="1" applyFont="1" applyFill="1" applyBorder="1" applyProtection="1"/>
    <xf numFmtId="9" fontId="88" fillId="0" borderId="0" xfId="4494" applyFont="1" applyFill="1" applyProtection="1"/>
    <xf numFmtId="0" fontId="88" fillId="0" borderId="11" xfId="4496" applyFont="1" applyBorder="1" applyAlignment="1">
      <alignment horizontal="center"/>
    </xf>
    <xf numFmtId="2" fontId="88" fillId="0" borderId="11" xfId="4496" applyNumberFormat="1" applyFont="1" applyBorder="1" applyAlignment="1">
      <alignment horizontal="center"/>
    </xf>
    <xf numFmtId="0" fontId="88" fillId="0" borderId="0" xfId="4496" applyFont="1" applyAlignment="1">
      <alignment vertical="top" wrapText="1"/>
    </xf>
    <xf numFmtId="0" fontId="88" fillId="0" borderId="11" xfId="4496" applyFont="1" applyBorder="1" applyAlignment="1">
      <alignment horizontal="center" vertical="top" wrapText="1"/>
    </xf>
    <xf numFmtId="182" fontId="88" fillId="0" borderId="0" xfId="8721" applyNumberFormat="1" applyFont="1" applyBorder="1" applyProtection="1"/>
    <xf numFmtId="0" fontId="88" fillId="0" borderId="0" xfId="4496" applyFont="1" applyAlignment="1">
      <alignment horizontal="left" indent="1"/>
    </xf>
    <xf numFmtId="182" fontId="88" fillId="0" borderId="0" xfId="4496" applyNumberFormat="1" applyFont="1"/>
    <xf numFmtId="184" fontId="88" fillId="0" borderId="0" xfId="4496" applyNumberFormat="1" applyFont="1"/>
    <xf numFmtId="0" fontId="88" fillId="0" borderId="0" xfId="4496" applyFont="1" applyAlignment="1">
      <alignment horizontal="left"/>
    </xf>
    <xf numFmtId="0" fontId="8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88" fillId="0" borderId="0" xfId="4496" applyFont="1" applyAlignment="1">
      <alignment horizontal="right"/>
    </xf>
    <xf numFmtId="0" fontId="88" fillId="0" borderId="15" xfId="4496" applyFont="1" applyBorder="1" applyAlignment="1">
      <alignment horizontal="center" vertical="top" wrapText="1"/>
    </xf>
    <xf numFmtId="2" fontId="88" fillId="0" borderId="15" xfId="4496" applyNumberFormat="1" applyFont="1" applyBorder="1" applyAlignment="1">
      <alignment horizontal="center"/>
    </xf>
    <xf numFmtId="0" fontId="88" fillId="0" borderId="15" xfId="4496" applyFont="1" applyBorder="1" applyAlignment="1">
      <alignment horizontal="center"/>
    </xf>
    <xf numFmtId="0" fontId="127" fillId="0" borderId="68" xfId="4496" applyFont="1" applyBorder="1" applyAlignment="1">
      <alignment horizontal="center" vertical="top" wrapText="1"/>
    </xf>
    <xf numFmtId="0" fontId="127" fillId="0" borderId="68" xfId="4496" applyFont="1" applyBorder="1" applyAlignment="1">
      <alignment horizontal="center"/>
    </xf>
    <xf numFmtId="0" fontId="141" fillId="0" borderId="0" xfId="4496" applyFont="1" applyAlignment="1">
      <alignment horizontal="right" vertical="center"/>
    </xf>
    <xf numFmtId="175" fontId="88" fillId="0" borderId="0" xfId="4499" applyNumberFormat="1" applyFont="1" applyFill="1" applyBorder="1" applyAlignment="1" applyProtection="1">
      <alignment horizontal="right" vertical="center"/>
    </xf>
    <xf numFmtId="5" fontId="88" fillId="0" borderId="6" xfId="4496" applyNumberFormat="1" applyFont="1" applyBorder="1" applyAlignment="1">
      <alignment vertical="center"/>
    </xf>
    <xf numFmtId="0" fontId="88" fillId="0" borderId="66" xfId="4496" applyFont="1" applyBorder="1" applyAlignment="1">
      <alignment vertical="center"/>
    </xf>
    <xf numFmtId="0" fontId="88" fillId="0" borderId="41" xfId="4496" applyFont="1" applyBorder="1" applyAlignment="1">
      <alignment vertical="center"/>
    </xf>
    <xf numFmtId="182" fontId="88" fillId="0" borderId="73" xfId="4496" applyNumberFormat="1" applyFont="1" applyBorder="1" applyAlignment="1">
      <alignment vertical="center"/>
    </xf>
    <xf numFmtId="175" fontId="88" fillId="0" borderId="42" xfId="4499" applyNumberFormat="1" applyFont="1" applyFill="1" applyBorder="1" applyAlignment="1" applyProtection="1">
      <alignment horizontal="left" vertical="center"/>
    </xf>
    <xf numFmtId="0" fontId="88" fillId="0" borderId="42" xfId="4496" applyFont="1" applyBorder="1" applyAlignment="1">
      <alignment vertical="center"/>
    </xf>
    <xf numFmtId="0" fontId="88" fillId="0" borderId="44" xfId="4496" applyFont="1" applyBorder="1" applyAlignment="1">
      <alignment vertical="center"/>
    </xf>
    <xf numFmtId="49" fontId="88" fillId="0" borderId="0" xfId="4496" applyNumberFormat="1" applyFont="1" applyAlignment="1">
      <alignment horizontal="center" vertical="center"/>
    </xf>
    <xf numFmtId="0" fontId="88" fillId="0" borderId="65" xfId="4496" applyFont="1" applyBorder="1" applyAlignment="1">
      <alignment vertical="center"/>
    </xf>
    <xf numFmtId="0" fontId="88" fillId="0" borderId="29" xfId="4496" applyFont="1" applyBorder="1" applyAlignment="1">
      <alignment vertical="center"/>
    </xf>
    <xf numFmtId="0" fontId="88" fillId="0" borderId="29" xfId="4496" applyFont="1" applyBorder="1" applyAlignment="1">
      <alignment horizontal="right" vertical="center"/>
    </xf>
    <xf numFmtId="5" fontId="88" fillId="0" borderId="29" xfId="4496" applyNumberFormat="1" applyFont="1" applyBorder="1" applyAlignment="1">
      <alignment vertical="center"/>
    </xf>
    <xf numFmtId="0" fontId="88" fillId="0" borderId="31" xfId="4496" applyFont="1" applyBorder="1" applyAlignment="1">
      <alignment vertical="center"/>
    </xf>
    <xf numFmtId="175" fontId="127" fillId="0" borderId="42" xfId="4494" applyNumberFormat="1" applyFont="1" applyFill="1" applyBorder="1" applyAlignment="1" applyProtection="1">
      <alignment horizontal="center" vertical="center"/>
    </xf>
    <xf numFmtId="0" fontId="127" fillId="0" borderId="29" xfId="4496" applyFont="1" applyBorder="1" applyAlignment="1">
      <alignment vertical="center"/>
    </xf>
    <xf numFmtId="0" fontId="127" fillId="0" borderId="0" xfId="4496" applyFont="1" applyAlignment="1">
      <alignment vertical="center"/>
    </xf>
    <xf numFmtId="0" fontId="127" fillId="0" borderId="42" xfId="4496" applyFont="1" applyBorder="1" applyAlignment="1">
      <alignment vertical="center"/>
    </xf>
    <xf numFmtId="9" fontId="127" fillId="0" borderId="42" xfId="4499" applyFont="1" applyFill="1" applyBorder="1" applyAlignment="1" applyProtection="1">
      <alignment vertical="center"/>
    </xf>
    <xf numFmtId="182" fontId="127" fillId="0" borderId="68" xfId="8721" applyNumberFormat="1" applyFont="1" applyBorder="1" applyProtection="1"/>
    <xf numFmtId="182" fontId="127" fillId="0" borderId="68" xfId="4496" applyNumberFormat="1" applyFont="1" applyBorder="1"/>
    <xf numFmtId="0" fontId="141" fillId="0" borderId="0" xfId="4496" applyFont="1" applyAlignment="1">
      <alignment horizontal="right"/>
    </xf>
    <xf numFmtId="0" fontId="88" fillId="0" borderId="0" xfId="4496" applyFont="1" applyAlignment="1">
      <alignment horizontal="right" vertical="top" wrapText="1" indent="1"/>
    </xf>
    <xf numFmtId="182" fontId="88" fillId="0" borderId="6" xfId="8721" applyNumberFormat="1" applyFont="1" applyBorder="1" applyAlignment="1" applyProtection="1">
      <alignment horizontal="center"/>
    </xf>
    <xf numFmtId="0" fontId="88" fillId="0" borderId="0" xfId="4496" applyFont="1" applyAlignment="1">
      <alignment horizontal="right" indent="1"/>
    </xf>
    <xf numFmtId="0" fontId="88" fillId="0" borderId="0" xfId="4496" applyFont="1" applyAlignment="1">
      <alignment horizontal="right" vertical="top"/>
    </xf>
    <xf numFmtId="0" fontId="127" fillId="0" borderId="0" xfId="4496" applyFont="1" applyAlignment="1">
      <alignment horizontal="right"/>
    </xf>
    <xf numFmtId="182" fontId="127" fillId="0" borderId="0" xfId="8721" applyNumberFormat="1" applyFont="1" applyBorder="1" applyAlignment="1" applyProtection="1">
      <alignment horizontal="center"/>
    </xf>
    <xf numFmtId="10" fontId="88" fillId="0" borderId="0" xfId="4494" applyNumberFormat="1" applyFont="1" applyBorder="1" applyAlignment="1" applyProtection="1">
      <alignment horizontal="center"/>
    </xf>
    <xf numFmtId="184" fontId="88" fillId="0" borderId="6" xfId="4496" applyNumberFormat="1" applyFont="1" applyBorder="1"/>
    <xf numFmtId="0" fontId="127" fillId="0" borderId="0" xfId="4496" applyFont="1" applyAlignment="1">
      <alignment horizontal="right" vertical="top"/>
    </xf>
    <xf numFmtId="182" fontId="127" fillId="0" borderId="0" xfId="4496" applyNumberFormat="1" applyFont="1"/>
    <xf numFmtId="182" fontId="88" fillId="0" borderId="6" xfId="8721" applyNumberFormat="1" applyFont="1" applyBorder="1" applyProtection="1"/>
    <xf numFmtId="184" fontId="88" fillId="0" borderId="0" xfId="4496" applyNumberFormat="1" applyFont="1" applyAlignment="1">
      <alignment horizontal="center"/>
    </xf>
    <xf numFmtId="0" fontId="88" fillId="0" borderId="6" xfId="4496" applyFont="1" applyBorder="1" applyAlignment="1">
      <alignment horizontal="right" vertical="top" wrapText="1" indent="1"/>
    </xf>
    <xf numFmtId="0" fontId="88" fillId="0" borderId="67" xfId="4496" applyFont="1" applyBorder="1" applyAlignment="1">
      <alignment horizontal="right" indent="1"/>
    </xf>
    <xf numFmtId="0" fontId="88" fillId="0" borderId="72" xfId="4496" applyFont="1" applyBorder="1" applyAlignment="1">
      <alignment horizontal="right" indent="1"/>
    </xf>
    <xf numFmtId="0" fontId="88" fillId="0" borderId="72" xfId="4496" quotePrefix="1" applyFont="1" applyBorder="1" applyAlignment="1">
      <alignment horizontal="right" indent="1"/>
    </xf>
    <xf numFmtId="0" fontId="88" fillId="0" borderId="69" xfId="4496" applyFont="1" applyBorder="1" applyAlignment="1">
      <alignment horizontal="right" indent="1"/>
    </xf>
    <xf numFmtId="182" fontId="88" fillId="0" borderId="71" xfId="4496" applyNumberFormat="1" applyFont="1" applyBorder="1"/>
    <xf numFmtId="182" fontId="88" fillId="0" borderId="76" xfId="4496" applyNumberFormat="1" applyFont="1" applyBorder="1"/>
    <xf numFmtId="182" fontId="88" fillId="0" borderId="77" xfId="4496" applyNumberFormat="1" applyFont="1" applyBorder="1"/>
    <xf numFmtId="175" fontId="24" fillId="0" borderId="0" xfId="543" applyNumberFormat="1" applyFont="1" applyAlignment="1">
      <alignment vertical="center"/>
    </xf>
    <xf numFmtId="10" fontId="127" fillId="0" borderId="0" xfId="4494" applyNumberFormat="1" applyFont="1" applyProtection="1"/>
    <xf numFmtId="0" fontId="24" fillId="0" borderId="0" xfId="1192" applyFont="1" applyAlignment="1">
      <alignment horizontal="left" indent="1"/>
    </xf>
    <xf numFmtId="168" fontId="127" fillId="0" borderId="68" xfId="4499" applyNumberFormat="1" applyFont="1" applyFill="1" applyBorder="1" applyAlignment="1" applyProtection="1">
      <alignment horizontal="left" vertical="center" indent="1"/>
    </xf>
    <xf numFmtId="182" fontId="88" fillId="0" borderId="13" xfId="4496" applyNumberFormat="1" applyFont="1" applyBorder="1"/>
    <xf numFmtId="182" fontId="88" fillId="0" borderId="70" xfId="4496" applyNumberFormat="1" applyFont="1" applyBorder="1"/>
    <xf numFmtId="0" fontId="35" fillId="0" borderId="0" xfId="4495" applyFont="1" applyAlignment="1">
      <alignment vertical="center"/>
    </xf>
    <xf numFmtId="0" fontId="112" fillId="0" borderId="0" xfId="4496" applyFont="1" applyAlignment="1">
      <alignment vertical="center" wrapText="1"/>
    </xf>
    <xf numFmtId="0" fontId="22" fillId="43" borderId="0" xfId="1192" applyFont="1" applyFill="1"/>
    <xf numFmtId="3" fontId="59" fillId="43" borderId="6" xfId="1192" applyNumberFormat="1" applyFont="1" applyFill="1" applyBorder="1"/>
    <xf numFmtId="0" fontId="143" fillId="0" borderId="0" xfId="0" applyFont="1"/>
    <xf numFmtId="0" fontId="22" fillId="0" borderId="11" xfId="253" applyFont="1" applyBorder="1" applyAlignment="1" applyProtection="1">
      <alignment horizontal="center" wrapText="1"/>
      <protection locked="0"/>
    </xf>
    <xf numFmtId="0" fontId="144" fillId="0" borderId="0" xfId="0" applyFont="1"/>
    <xf numFmtId="0" fontId="145" fillId="0" borderId="0" xfId="0" applyFont="1" applyAlignment="1">
      <alignment horizontal="center"/>
    </xf>
    <xf numFmtId="0" fontId="46" fillId="5" borderId="11" xfId="0" applyFont="1" applyFill="1" applyBorder="1" applyAlignment="1" applyProtection="1">
      <alignment horizontal="right" vertical="top" wrapText="1"/>
      <protection locked="0"/>
    </xf>
    <xf numFmtId="0" fontId="17" fillId="43" borderId="3" xfId="569" applyFill="1" applyBorder="1"/>
    <xf numFmtId="0" fontId="14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88" fillId="0" borderId="6" xfId="4496" applyFont="1" applyBorder="1" applyAlignment="1">
      <alignment horizontal="left" vertical="top"/>
    </xf>
    <xf numFmtId="3" fontId="22" fillId="43" borderId="11" xfId="271" applyNumberFormat="1" applyFont="1" applyFill="1" applyBorder="1" applyAlignment="1" applyProtection="1">
      <alignment horizontal="left"/>
      <protection locked="0"/>
    </xf>
    <xf numFmtId="0" fontId="88" fillId="43" borderId="6" xfId="4496" applyFont="1" applyFill="1" applyBorder="1" applyProtection="1">
      <protection locked="0"/>
    </xf>
    <xf numFmtId="1" fontId="88" fillId="0" borderId="0" xfId="4496" applyNumberFormat="1" applyFont="1" applyProtection="1">
      <protection locked="0"/>
    </xf>
    <xf numFmtId="182" fontId="153" fillId="0" borderId="11" xfId="4496" applyNumberFormat="1" applyFont="1" applyBorder="1"/>
    <xf numFmtId="44" fontId="88" fillId="0" borderId="0" xfId="4496" applyNumberFormat="1" applyFont="1"/>
    <xf numFmtId="182" fontId="22" fillId="0" borderId="11" xfId="4496" applyNumberFormat="1" applyFont="1" applyBorder="1"/>
    <xf numFmtId="9" fontId="88" fillId="0" borderId="0" xfId="4494" applyFont="1"/>
    <xf numFmtId="182" fontId="88" fillId="43" borderId="6" xfId="8721" applyNumberFormat="1" applyFont="1" applyFill="1" applyBorder="1" applyProtection="1">
      <protection locked="0"/>
    </xf>
    <xf numFmtId="168" fontId="165" fillId="48" borderId="79" xfId="700" applyNumberFormat="1" applyFont="1" applyFill="1" applyBorder="1" applyAlignment="1" applyProtection="1">
      <protection locked="0"/>
    </xf>
    <xf numFmtId="3" fontId="39" fillId="10" borderId="0" xfId="543" applyNumberFormat="1" applyFont="1" applyFill="1" applyAlignment="1">
      <alignment vertical="center" wrapText="1"/>
    </xf>
    <xf numFmtId="0" fontId="172" fillId="0" borderId="0" xfId="543" applyFont="1" applyAlignment="1">
      <alignment horizontal="left" vertical="center"/>
    </xf>
    <xf numFmtId="0" fontId="173" fillId="0" borderId="0" xfId="543" applyFont="1" applyAlignment="1">
      <alignment horizontal="right" vertical="top" wrapText="1"/>
    </xf>
    <xf numFmtId="168" fontId="173" fillId="0" borderId="0" xfId="543" applyNumberFormat="1" applyFont="1" applyAlignment="1">
      <alignment horizontal="center" vertical="center"/>
    </xf>
    <xf numFmtId="0" fontId="174" fillId="0" borderId="0" xfId="543" applyFont="1" applyAlignment="1">
      <alignment horizontal="left" vertical="center"/>
    </xf>
    <xf numFmtId="0" fontId="174" fillId="0" borderId="0" xfId="543" applyFont="1" applyAlignment="1">
      <alignment horizontal="right" vertical="top" wrapText="1"/>
    </xf>
    <xf numFmtId="168" fontId="173" fillId="0" borderId="104" xfId="543" applyNumberFormat="1" applyFont="1" applyBorder="1" applyAlignment="1">
      <alignment horizontal="center" vertical="center"/>
    </xf>
    <xf numFmtId="0" fontId="17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93" fillId="0" borderId="0" xfId="8733" applyFont="1"/>
    <xf numFmtId="0" fontId="2" fillId="47" borderId="66" xfId="8733" applyFill="1" applyBorder="1"/>
    <xf numFmtId="0" fontId="2" fillId="47" borderId="0" xfId="8733" applyFill="1"/>
    <xf numFmtId="0" fontId="92" fillId="47" borderId="0" xfId="8733" applyFont="1" applyFill="1"/>
    <xf numFmtId="182" fontId="164" fillId="47" borderId="0" xfId="8734" applyNumberFormat="1" applyFont="1" applyFill="1" applyBorder="1" applyAlignment="1"/>
    <xf numFmtId="0" fontId="2" fillId="47" borderId="41" xfId="8733" applyFill="1" applyBorder="1"/>
    <xf numFmtId="0" fontId="93" fillId="47" borderId="0" xfId="8733" applyFont="1" applyFill="1"/>
    <xf numFmtId="0" fontId="168" fillId="47" borderId="0" xfId="8733" applyFont="1" applyFill="1"/>
    <xf numFmtId="0" fontId="92" fillId="47" borderId="41" xfId="8733" applyFont="1" applyFill="1" applyBorder="1"/>
    <xf numFmtId="0" fontId="92" fillId="0" borderId="0" xfId="8733" applyFont="1"/>
    <xf numFmtId="0" fontId="92" fillId="54" borderId="100" xfId="8733" applyFont="1" applyFill="1" applyBorder="1"/>
    <xf numFmtId="0" fontId="2" fillId="53" borderId="99" xfId="8733" applyFill="1" applyBorder="1"/>
    <xf numFmtId="0" fontId="2" fillId="52" borderId="99" xfId="8733" applyFill="1" applyBorder="1"/>
    <xf numFmtId="0" fontId="9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92" fillId="45" borderId="0" xfId="8733" applyFont="1" applyFill="1"/>
    <xf numFmtId="0" fontId="92" fillId="45" borderId="12" xfId="8733" applyFont="1" applyFill="1" applyBorder="1"/>
    <xf numFmtId="0" fontId="92" fillId="45" borderId="29" xfId="8733" applyFont="1" applyFill="1" applyBorder="1"/>
    <xf numFmtId="0" fontId="92" fillId="45" borderId="80" xfId="8733" applyFont="1" applyFill="1" applyBorder="1"/>
    <xf numFmtId="0" fontId="92" fillId="45" borderId="79" xfId="8733" applyFont="1" applyFill="1" applyBorder="1"/>
    <xf numFmtId="0" fontId="92" fillId="45" borderId="78" xfId="8733" applyFont="1" applyFill="1" applyBorder="1"/>
    <xf numFmtId="0" fontId="92" fillId="45" borderId="93" xfId="8733" applyFont="1" applyFill="1" applyBorder="1"/>
    <xf numFmtId="0" fontId="92" fillId="45" borderId="6" xfId="8733" applyFont="1" applyFill="1" applyBorder="1"/>
    <xf numFmtId="0" fontId="92" fillId="45" borderId="10" xfId="8733" applyFont="1" applyFill="1" applyBorder="1"/>
    <xf numFmtId="0" fontId="2" fillId="45" borderId="29" xfId="8733" applyFill="1" applyBorder="1"/>
    <xf numFmtId="0" fontId="2" fillId="45" borderId="31" xfId="8733" applyFill="1" applyBorder="1"/>
    <xf numFmtId="0" fontId="92" fillId="45" borderId="92" xfId="8733" applyFont="1" applyFill="1" applyBorder="1"/>
    <xf numFmtId="0" fontId="92" fillId="45" borderId="74" xfId="8733" applyFont="1" applyFill="1" applyBorder="1"/>
    <xf numFmtId="0" fontId="16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70" fillId="47" borderId="0" xfId="8733" applyFont="1" applyFill="1"/>
    <xf numFmtId="0" fontId="92" fillId="45" borderId="31" xfId="8733" applyFont="1" applyFill="1" applyBorder="1"/>
    <xf numFmtId="0" fontId="2" fillId="47" borderId="0" xfId="8733" applyFill="1" applyAlignment="1">
      <alignment horizontal="left"/>
    </xf>
    <xf numFmtId="0" fontId="162" fillId="51" borderId="11" xfId="8733" applyFont="1" applyFill="1" applyBorder="1"/>
    <xf numFmtId="0" fontId="162" fillId="51" borderId="76" xfId="8733" applyFont="1" applyFill="1" applyBorder="1"/>
    <xf numFmtId="0" fontId="2" fillId="48" borderId="66" xfId="8733" applyFill="1" applyBorder="1"/>
    <xf numFmtId="0" fontId="2" fillId="48" borderId="0" xfId="8733" applyFill="1"/>
    <xf numFmtId="0" fontId="2" fillId="48" borderId="78" xfId="8733" applyFill="1" applyBorder="1"/>
    <xf numFmtId="0" fontId="92" fillId="47" borderId="66" xfId="8733" applyFont="1" applyFill="1" applyBorder="1"/>
    <xf numFmtId="49" fontId="9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54" fillId="0" borderId="0" xfId="8733" applyFont="1"/>
    <xf numFmtId="168" fontId="0" fillId="0" borderId="0" xfId="0" applyNumberFormat="1"/>
    <xf numFmtId="0" fontId="112" fillId="52" borderId="113" xfId="0" applyFont="1" applyFill="1" applyBorder="1"/>
    <xf numFmtId="0" fontId="11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7" fillId="0" borderId="0" xfId="0" applyNumberFormat="1" applyFont="1"/>
    <xf numFmtId="0" fontId="159" fillId="0" borderId="0" xfId="8733" applyFont="1"/>
    <xf numFmtId="0" fontId="156" fillId="0" borderId="0" xfId="8733" applyFont="1"/>
    <xf numFmtId="185" fontId="159" fillId="0" borderId="0" xfId="698" applyNumberFormat="1" applyFont="1"/>
    <xf numFmtId="10" fontId="159" fillId="0" borderId="0" xfId="1022" applyNumberFormat="1" applyFont="1"/>
    <xf numFmtId="0" fontId="39" fillId="0" borderId="0" xfId="0" applyFont="1"/>
    <xf numFmtId="0" fontId="17" fillId="8" borderId="0" xfId="542" quotePrefix="1" applyFont="1" applyFill="1" applyAlignment="1">
      <alignment horizontal="left"/>
    </xf>
    <xf numFmtId="0" fontId="24" fillId="8" borderId="0" xfId="539" applyFont="1" applyFill="1" applyAlignment="1" applyProtection="1">
      <alignment horizontal="centerContinuous"/>
    </xf>
    <xf numFmtId="0" fontId="17" fillId="8" borderId="0" xfId="542" applyFont="1" applyFill="1"/>
    <xf numFmtId="168" fontId="24" fillId="0" borderId="6" xfId="543" applyNumberFormat="1" applyFont="1" applyBorder="1" applyAlignment="1">
      <alignment horizontal="left"/>
    </xf>
    <xf numFmtId="168" fontId="24" fillId="0" borderId="6" xfId="543" applyNumberFormat="1" applyFont="1" applyBorder="1" applyAlignment="1">
      <alignment horizontal="center"/>
    </xf>
    <xf numFmtId="0" fontId="41" fillId="0" borderId="0" xfId="244" applyFont="1" applyFill="1" applyBorder="1" applyAlignment="1" applyProtection="1">
      <alignment horizontal="left"/>
    </xf>
    <xf numFmtId="0" fontId="17" fillId="0" borderId="0" xfId="0" applyFont="1" applyAlignment="1">
      <alignment horizontal="left" indent="4"/>
    </xf>
    <xf numFmtId="0" fontId="17" fillId="9" borderId="6" xfId="0" applyFont="1" applyFill="1" applyBorder="1"/>
    <xf numFmtId="166" fontId="17" fillId="0" borderId="0" xfId="0" applyNumberFormat="1" applyFont="1" applyAlignment="1">
      <alignment horizontal="left"/>
    </xf>
    <xf numFmtId="166" fontId="17" fillId="0" borderId="0" xfId="0" applyNumberFormat="1" applyFont="1"/>
    <xf numFmtId="168" fontId="17" fillId="0" borderId="0" xfId="0" applyNumberFormat="1" applyFont="1" applyAlignment="1">
      <alignment horizontal="right"/>
    </xf>
    <xf numFmtId="168" fontId="17" fillId="0" borderId="3" xfId="0" applyNumberFormat="1" applyFont="1" applyBorder="1" applyAlignment="1">
      <alignment vertical="top"/>
    </xf>
    <xf numFmtId="168" fontId="17" fillId="0" borderId="4" xfId="0" applyNumberFormat="1" applyFont="1" applyBorder="1" applyAlignment="1">
      <alignment vertical="top"/>
    </xf>
    <xf numFmtId="168" fontId="17" fillId="0" borderId="5" xfId="0" applyNumberFormat="1" applyFont="1" applyBorder="1" applyAlignment="1">
      <alignment vertical="top"/>
    </xf>
    <xf numFmtId="168" fontId="17" fillId="0" borderId="8" xfId="0" applyNumberFormat="1" applyFont="1" applyBorder="1" applyAlignment="1">
      <alignment vertical="top"/>
    </xf>
    <xf numFmtId="168" fontId="17" fillId="0" borderId="0" xfId="0" applyNumberFormat="1" applyFont="1" applyAlignment="1">
      <alignment vertical="top"/>
    </xf>
    <xf numFmtId="0" fontId="17" fillId="0" borderId="0" xfId="0" applyFont="1" applyAlignment="1">
      <alignment horizontal="right" vertical="top"/>
    </xf>
    <xf numFmtId="0" fontId="17" fillId="0" borderId="12" xfId="0" applyFont="1" applyBorder="1" applyAlignment="1">
      <alignment horizontal="right" vertical="top"/>
    </xf>
    <xf numFmtId="0" fontId="17" fillId="5" borderId="4" xfId="0" applyFont="1" applyFill="1" applyBorder="1" applyAlignment="1" applyProtection="1">
      <alignment horizontal="left" vertical="top"/>
      <protection locked="0"/>
    </xf>
    <xf numFmtId="0" fontId="17" fillId="5" borderId="5" xfId="0" applyFont="1" applyFill="1" applyBorder="1" applyAlignment="1" applyProtection="1">
      <alignment horizontal="left" vertical="top"/>
      <protection locked="0"/>
    </xf>
    <xf numFmtId="5" fontId="17" fillId="0" borderId="0" xfId="542" applyNumberFormat="1" applyFont="1"/>
    <xf numFmtId="0" fontId="17" fillId="0" borderId="11" xfId="0" applyFont="1" applyBorder="1" applyAlignment="1">
      <alignment horizontal="left"/>
    </xf>
    <xf numFmtId="0" fontId="17" fillId="0" borderId="7" xfId="0" applyFont="1" applyBorder="1"/>
    <xf numFmtId="0" fontId="17" fillId="0" borderId="12" xfId="0" applyFont="1" applyBorder="1"/>
    <xf numFmtId="0" fontId="17" fillId="0" borderId="10" xfId="0" applyFont="1" applyBorder="1"/>
    <xf numFmtId="0" fontId="27" fillId="0" borderId="0" xfId="543" applyFont="1"/>
    <xf numFmtId="0" fontId="17" fillId="0" borderId="1" xfId="0" applyFont="1" applyBorder="1"/>
    <xf numFmtId="0" fontId="35" fillId="0" borderId="7" xfId="543" applyFont="1" applyBorder="1"/>
    <xf numFmtId="0" fontId="24" fillId="0" borderId="12" xfId="543" applyFont="1" applyBorder="1" applyAlignment="1">
      <alignment horizontal="center" vertical="top"/>
    </xf>
    <xf numFmtId="0" fontId="25" fillId="0" borderId="8" xfId="543" applyFont="1" applyBorder="1" applyAlignment="1">
      <alignment horizontal="left" vertical="top" wrapText="1"/>
    </xf>
    <xf numFmtId="0" fontId="25" fillId="0" borderId="12" xfId="543" applyFont="1" applyBorder="1" applyAlignment="1">
      <alignment horizontal="center" vertical="top" wrapText="1"/>
    </xf>
    <xf numFmtId="0" fontId="25" fillId="0" borderId="1" xfId="543" applyFont="1" applyBorder="1" applyAlignment="1">
      <alignment horizontal="left" vertical="top" wrapText="1"/>
    </xf>
    <xf numFmtId="0" fontId="25" fillId="0" borderId="2" xfId="543" applyFont="1" applyBorder="1" applyAlignment="1">
      <alignment horizontal="center" vertical="top" wrapText="1"/>
    </xf>
    <xf numFmtId="0" fontId="25" fillId="0" borderId="0" xfId="543" applyFont="1" applyAlignment="1">
      <alignment horizontal="center" vertical="top" wrapText="1"/>
    </xf>
    <xf numFmtId="0" fontId="25" fillId="0" borderId="9" xfId="543" applyFont="1" applyBorder="1" applyAlignment="1">
      <alignment horizontal="left" vertical="top" wrapText="1"/>
    </xf>
    <xf numFmtId="0" fontId="25" fillId="0" borderId="6" xfId="543" applyFont="1" applyBorder="1" applyAlignment="1">
      <alignment horizontal="center" vertical="top" wrapText="1"/>
    </xf>
    <xf numFmtId="0" fontId="24" fillId="0" borderId="0" xfId="543" applyFont="1" applyAlignment="1">
      <alignment horizontal="center"/>
    </xf>
    <xf numFmtId="0" fontId="33" fillId="0" borderId="9" xfId="543" applyFont="1" applyBorder="1" applyAlignment="1">
      <alignment horizontal="left" vertical="top" wrapText="1"/>
    </xf>
    <xf numFmtId="0" fontId="17" fillId="0" borderId="15" xfId="0" applyFont="1" applyBorder="1"/>
    <xf numFmtId="0" fontId="33" fillId="0" borderId="8" xfId="543" applyFont="1" applyBorder="1" applyAlignment="1">
      <alignment horizontal="left" vertical="top" wrapText="1"/>
    </xf>
    <xf numFmtId="0" fontId="33" fillId="0" borderId="0" xfId="543" applyFont="1" applyAlignment="1">
      <alignment horizontal="center" vertical="top" wrapText="1"/>
    </xf>
    <xf numFmtId="2" fontId="17" fillId="0" borderId="11" xfId="0" applyNumberFormat="1" applyFont="1" applyBorder="1"/>
    <xf numFmtId="0" fontId="25" fillId="0" borderId="0" xfId="543" applyFont="1" applyAlignment="1">
      <alignment horizontal="center"/>
    </xf>
    <xf numFmtId="0" fontId="33" fillId="0" borderId="4" xfId="543" applyFont="1" applyBorder="1" applyAlignment="1">
      <alignment horizontal="right" vertical="top" wrapText="1"/>
    </xf>
    <xf numFmtId="0" fontId="33" fillId="0" borderId="0" xfId="543" applyFont="1" applyAlignment="1">
      <alignment horizontal="right" vertical="top" wrapText="1"/>
    </xf>
    <xf numFmtId="0" fontId="24" fillId="0" borderId="0" xfId="543" applyFont="1" applyAlignment="1">
      <alignment horizontal="right" vertical="top" wrapText="1"/>
    </xf>
    <xf numFmtId="0" fontId="24" fillId="0" borderId="2" xfId="543" applyFont="1" applyBorder="1" applyAlignment="1">
      <alignment horizontal="right" vertical="top" wrapText="1"/>
    </xf>
    <xf numFmtId="0" fontId="24" fillId="0" borderId="0" xfId="543" applyFont="1" applyAlignment="1">
      <alignment vertical="center" wrapText="1"/>
    </xf>
    <xf numFmtId="0" fontId="25" fillId="0" borderId="0" xfId="543" applyFont="1"/>
    <xf numFmtId="0" fontId="17" fillId="0" borderId="0" xfId="543" applyAlignment="1">
      <alignment horizontal="left"/>
    </xf>
    <xf numFmtId="0" fontId="46" fillId="4" borderId="11" xfId="0" applyFont="1" applyFill="1" applyBorder="1" applyAlignment="1">
      <alignment vertical="top" wrapText="1"/>
    </xf>
    <xf numFmtId="0" fontId="46" fillId="2" borderId="11" xfId="0" applyFont="1" applyFill="1" applyBorder="1" applyAlignment="1">
      <alignment vertical="top" wrapText="1"/>
    </xf>
    <xf numFmtId="168" fontId="46" fillId="6" borderId="11" xfId="0" applyNumberFormat="1" applyFont="1" applyFill="1" applyBorder="1" applyAlignment="1">
      <alignment horizontal="center" vertical="top" wrapText="1"/>
    </xf>
    <xf numFmtId="0" fontId="46" fillId="0" borderId="11" xfId="0" applyFont="1" applyBorder="1" applyAlignment="1">
      <alignment horizontal="right" vertical="top"/>
    </xf>
    <xf numFmtId="168" fontId="46" fillId="0" borderId="11" xfId="0" applyNumberFormat="1" applyFont="1" applyBorder="1" applyAlignment="1">
      <alignment vertical="top"/>
    </xf>
    <xf numFmtId="168" fontId="46" fillId="5" borderId="11" xfId="0" applyNumberFormat="1" applyFont="1" applyFill="1" applyBorder="1" applyAlignment="1" applyProtection="1">
      <alignment vertical="top"/>
      <protection locked="0"/>
    </xf>
    <xf numFmtId="168" fontId="46" fillId="6" borderId="11" xfId="0" applyNumberFormat="1" applyFont="1" applyFill="1" applyBorder="1" applyAlignment="1">
      <alignment horizontal="center" vertical="top"/>
    </xf>
    <xf numFmtId="0" fontId="46" fillId="2" borderId="11" xfId="0" applyFont="1" applyFill="1" applyBorder="1" applyAlignment="1" applyProtection="1">
      <alignment vertical="top"/>
      <protection locked="0"/>
    </xf>
    <xf numFmtId="168" fontId="46" fillId="44" borderId="11" xfId="0" applyNumberFormat="1" applyFont="1" applyFill="1" applyBorder="1" applyAlignment="1">
      <alignment vertical="top" wrapText="1"/>
    </xf>
    <xf numFmtId="0" fontId="46" fillId="0" borderId="0" xfId="0" applyFont="1" applyAlignment="1">
      <alignment horizontal="left" vertical="top"/>
    </xf>
    <xf numFmtId="3" fontId="46" fillId="0" borderId="11" xfId="0" applyNumberFormat="1" applyFont="1" applyBorder="1" applyAlignment="1">
      <alignment vertical="top" wrapText="1"/>
    </xf>
    <xf numFmtId="0" fontId="46" fillId="2" borderId="12" xfId="0" applyFont="1" applyFill="1" applyBorder="1" applyAlignment="1">
      <alignment vertical="top" wrapText="1"/>
    </xf>
    <xf numFmtId="0" fontId="17" fillId="0" borderId="0" xfId="0" applyFont="1" applyAlignment="1">
      <alignment horizontal="right" vertical="top" wrapText="1"/>
    </xf>
    <xf numFmtId="10" fontId="17" fillId="5" borderId="6" xfId="0" applyNumberFormat="1" applyFont="1" applyFill="1" applyBorder="1" applyAlignment="1" applyProtection="1">
      <alignment horizontal="center" vertical="top" wrapText="1"/>
      <protection locked="0"/>
    </xf>
    <xf numFmtId="172" fontId="17" fillId="0" borderId="0" xfId="0" applyNumberFormat="1" applyFont="1" applyAlignment="1">
      <alignment horizontal="center"/>
    </xf>
    <xf numFmtId="10" fontId="39" fillId="0" borderId="0" xfId="0" applyNumberFormat="1" applyFont="1" applyAlignment="1">
      <alignment horizontal="center"/>
    </xf>
    <xf numFmtId="172" fontId="17" fillId="5" borderId="0" xfId="0" applyNumberFormat="1" applyFont="1" applyFill="1" applyAlignment="1">
      <alignment horizontal="center"/>
    </xf>
    <xf numFmtId="3" fontId="17" fillId="0" borderId="0" xfId="0" applyNumberFormat="1" applyFont="1" applyAlignment="1">
      <alignment vertical="top"/>
    </xf>
    <xf numFmtId="0" fontId="0" fillId="0" borderId="3" xfId="0" applyBorder="1"/>
    <xf numFmtId="0" fontId="0" fillId="0" borderId="5" xfId="0" applyBorder="1"/>
    <xf numFmtId="0" fontId="17" fillId="0" borderId="3" xfId="0" applyFont="1" applyBorder="1"/>
    <xf numFmtId="0" fontId="17" fillId="0" borderId="4" xfId="0" applyFont="1" applyBorder="1"/>
    <xf numFmtId="0" fontId="17" fillId="0" borderId="5" xfId="0" applyFont="1" applyBorder="1"/>
    <xf numFmtId="168" fontId="0" fillId="0" borderId="3" xfId="0" applyNumberFormat="1" applyBorder="1"/>
    <xf numFmtId="168" fontId="0" fillId="0" borderId="4" xfId="0" applyNumberFormat="1" applyBorder="1"/>
    <xf numFmtId="168" fontId="0" fillId="0" borderId="5" xfId="0" applyNumberFormat="1" applyBorder="1"/>
    <xf numFmtId="0" fontId="17" fillId="0" borderId="0" xfId="0" applyFont="1" applyAlignment="1">
      <alignment horizontal="left" vertical="top" wrapText="1"/>
    </xf>
    <xf numFmtId="0" fontId="18" fillId="0" borderId="0" xfId="244" applyAlignment="1"/>
    <xf numFmtId="0" fontId="17" fillId="0" borderId="0" xfId="1192" applyAlignment="1">
      <alignment horizontal="left" vertical="top" wrapText="1"/>
    </xf>
    <xf numFmtId="0" fontId="24" fillId="0" borderId="0" xfId="0" applyFont="1" applyAlignment="1">
      <alignment horizontal="left" vertical="top" wrapText="1"/>
    </xf>
    <xf numFmtId="0" fontId="40" fillId="0" borderId="0" xfId="0" applyFont="1" applyAlignment="1">
      <alignment horizontal="left" vertical="top" wrapText="1"/>
    </xf>
    <xf numFmtId="0" fontId="17" fillId="0" borderId="0" xfId="0" applyFont="1" applyAlignment="1">
      <alignment horizontal="left" wrapText="1"/>
    </xf>
    <xf numFmtId="0" fontId="18" fillId="0" borderId="0" xfId="244" applyAlignment="1">
      <alignment horizontal="left" vertical="top"/>
    </xf>
    <xf numFmtId="0" fontId="17" fillId="0" borderId="0" xfId="569" applyAlignment="1">
      <alignment wrapText="1"/>
    </xf>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4" fontId="17" fillId="0" borderId="0" xfId="1192" applyNumberFormat="1" applyAlignment="1">
      <alignment horizontal="left" vertical="top" wrapText="1"/>
    </xf>
    <xf numFmtId="0" fontId="17" fillId="0" borderId="0" xfId="569"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lignment horizontal="left"/>
    </xf>
    <xf numFmtId="0" fontId="24" fillId="0" borderId="0" xfId="569"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0" fontId="24" fillId="0" borderId="4" xfId="0" applyFont="1" applyBorder="1" applyAlignment="1">
      <alignment horizontal="left"/>
    </xf>
    <xf numFmtId="0" fontId="17" fillId="0" borderId="0" xfId="569" applyAlignment="1">
      <alignment vertical="top" wrapText="1"/>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24" fillId="0" borderId="0" xfId="1192"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vertical="top" wrapText="1"/>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4" fillId="0" borderId="4" xfId="0" applyFont="1" applyBorder="1" applyAlignment="1">
      <alignment horizontal="center"/>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0" fontId="17" fillId="0" borderId="4" xfId="0" applyFont="1" applyBorder="1" applyAlignment="1">
      <alignment horizontal="left"/>
    </xf>
    <xf numFmtId="0" fontId="24" fillId="0" borderId="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wrapText="1"/>
    </xf>
    <xf numFmtId="0" fontId="0" fillId="0" borderId="6" xfId="0" applyBorder="1" applyAlignment="1">
      <alignment horizontal="left"/>
    </xf>
    <xf numFmtId="166" fontId="17" fillId="5" borderId="4" xfId="0" applyNumberFormat="1" applyFont="1" applyFill="1" applyBorder="1" applyAlignment="1" applyProtection="1">
      <alignment horizontal="left"/>
      <protection locked="0"/>
    </xf>
    <xf numFmtId="0" fontId="0" fillId="0" borderId="3" xfId="0" applyBorder="1" applyAlignment="1">
      <alignment horizontal="left"/>
    </xf>
    <xf numFmtId="0" fontId="17" fillId="5" borderId="6" xfId="0" applyFont="1" applyFill="1" applyBorder="1" applyAlignment="1" applyProtection="1">
      <alignment horizontal="left"/>
      <protection locked="0"/>
    </xf>
    <xf numFmtId="0" fontId="17" fillId="0" borderId="0" xfId="0" applyFont="1" applyAlignment="1">
      <alignment wrapText="1"/>
    </xf>
    <xf numFmtId="0" fontId="0" fillId="0" borderId="0" xfId="0" applyAlignment="1">
      <alignment vertical="top" wrapText="1"/>
    </xf>
    <xf numFmtId="0" fontId="17" fillId="0" borderId="0" xfId="543" applyAlignment="1">
      <alignment horizontal="center"/>
    </xf>
    <xf numFmtId="0" fontId="24" fillId="0" borderId="7" xfId="0" applyFont="1" applyBorder="1" applyAlignment="1">
      <alignment horizontal="right"/>
    </xf>
    <xf numFmtId="0" fontId="24" fillId="0" borderId="2" xfId="0" applyFont="1" applyBorder="1" applyAlignment="1">
      <alignment horizontal="center"/>
    </xf>
    <xf numFmtId="0" fontId="24" fillId="0" borderId="0" xfId="0" applyFont="1" applyAlignment="1">
      <alignment horizontal="center" vertical="center"/>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7" xfId="543" applyFont="1" applyBorder="1" applyAlignment="1">
      <alignment horizontal="right"/>
    </xf>
    <xf numFmtId="0" fontId="43"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25" fillId="0" borderId="0" xfId="0" applyFont="1" applyAlignment="1">
      <alignment horizontal="center"/>
    </xf>
    <xf numFmtId="0" fontId="17" fillId="0" borderId="0" xfId="0" applyFont="1" applyAlignment="1">
      <alignment vertical="center" wrapText="1"/>
    </xf>
    <xf numFmtId="0" fontId="46" fillId="0" borderId="0" xfId="0" applyFont="1" applyAlignment="1">
      <alignment vertical="top" wrapText="1"/>
    </xf>
    <xf numFmtId="0" fontId="17" fillId="0" borderId="0" xfId="569" applyAlignment="1">
      <alignment horizontal="right" vertical="top" wrapText="1"/>
    </xf>
    <xf numFmtId="0" fontId="163" fillId="51" borderId="11" xfId="8733" applyFont="1" applyFill="1" applyBorder="1" applyAlignment="1">
      <alignment horizontal="center"/>
    </xf>
    <xf numFmtId="0" fontId="163" fillId="51" borderId="76" xfId="8733" applyFont="1" applyFill="1" applyBorder="1" applyAlignment="1">
      <alignment horizontal="center"/>
    </xf>
    <xf numFmtId="0" fontId="92" fillId="47" borderId="41" xfId="8733" applyFont="1" applyFill="1" applyBorder="1" applyAlignment="1">
      <alignment horizontal="center"/>
    </xf>
    <xf numFmtId="0" fontId="46" fillId="0" borderId="0" xfId="569" applyFont="1" applyAlignment="1">
      <alignment horizontal="left"/>
    </xf>
    <xf numFmtId="0" fontId="17" fillId="0" borderId="0" xfId="4495" applyFont="1" applyAlignment="1">
      <alignment wrapText="1"/>
    </xf>
    <xf numFmtId="0" fontId="17" fillId="0" borderId="0" xfId="4495" applyFont="1" applyAlignment="1">
      <alignment horizontal="left"/>
    </xf>
    <xf numFmtId="0" fontId="17" fillId="0" borderId="0" xfId="4495" applyFont="1" applyAlignment="1">
      <alignment horizontal="left" vertical="top" wrapText="1"/>
    </xf>
    <xf numFmtId="0" fontId="17" fillId="0" borderId="58" xfId="4495" applyFont="1" applyBorder="1" applyAlignment="1">
      <alignment horizontal="left" vertical="top" wrapText="1"/>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0" xfId="4495" applyFont="1" applyAlignment="1">
      <alignment horizontal="center"/>
    </xf>
    <xf numFmtId="0" fontId="120" fillId="0" borderId="0" xfId="4495" applyFont="1" applyAlignment="1">
      <alignment horizontal="left" vertical="top" wrapText="1"/>
    </xf>
    <xf numFmtId="0" fontId="24" fillId="0" borderId="0" xfId="4495" applyFont="1" applyAlignment="1">
      <alignment horizontal="center"/>
    </xf>
    <xf numFmtId="0" fontId="24" fillId="0" borderId="54" xfId="4495" applyFont="1" applyBorder="1" applyAlignment="1">
      <alignment horizontal="center"/>
    </xf>
    <xf numFmtId="0" fontId="110" fillId="0" borderId="0" xfId="4495" applyAlignment="1">
      <alignment horizontal="center"/>
    </xf>
    <xf numFmtId="0" fontId="24" fillId="0" borderId="0" xfId="4495" applyFont="1" applyAlignment="1">
      <alignment horizontal="right"/>
    </xf>
    <xf numFmtId="0" fontId="110" fillId="0" borderId="53" xfId="4495" applyBorder="1" applyAlignment="1">
      <alignment horizontal="center"/>
    </xf>
    <xf numFmtId="0" fontId="24" fillId="0" borderId="4" xfId="4495" applyFont="1" applyBorder="1" applyAlignment="1">
      <alignment horizontal="left"/>
    </xf>
    <xf numFmtId="0" fontId="24" fillId="0" borderId="5" xfId="4495" applyFont="1" applyBorder="1" applyAlignment="1">
      <alignment horizontal="left"/>
    </xf>
    <xf numFmtId="0" fontId="24" fillId="0" borderId="3" xfId="4495" applyFont="1" applyBorder="1" applyAlignment="1">
      <alignment horizontal="left"/>
    </xf>
    <xf numFmtId="0" fontId="24" fillId="0" borderId="0" xfId="4495" applyFont="1" applyAlignment="1">
      <alignment horizontal="center" vertical="top"/>
    </xf>
    <xf numFmtId="0" fontId="24" fillId="0" borderId="54" xfId="4495" applyFont="1" applyBorder="1" applyAlignment="1">
      <alignment horizontal="center" vertical="top"/>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0" borderId="0" xfId="4495" applyFont="1" applyAlignment="1">
      <alignment horizontal="left" vertical="center" wrapText="1"/>
    </xf>
    <xf numFmtId="0" fontId="17" fillId="0" borderId="51" xfId="4495" applyFont="1" applyBorder="1" applyAlignment="1">
      <alignment horizontal="left" vertical="top" wrapText="1"/>
    </xf>
    <xf numFmtId="0" fontId="24" fillId="0" borderId="0" xfId="4495" applyFont="1" applyAlignment="1">
      <alignment horizontal="left" vertical="top"/>
    </xf>
    <xf numFmtId="0" fontId="110" fillId="0" borderId="0" xfId="4495" applyAlignment="1" applyProtection="1">
      <alignment horizontal="center"/>
      <protection locked="0"/>
    </xf>
    <xf numFmtId="165" fontId="17" fillId="0" borderId="0" xfId="1192" applyNumberFormat="1" applyAlignment="1">
      <alignment horizontal="right"/>
    </xf>
    <xf numFmtId="0" fontId="17" fillId="0" borderId="0" xfId="1192" applyAlignment="1">
      <alignment horizontal="right"/>
    </xf>
    <xf numFmtId="9" fontId="17" fillId="0" borderId="0" xfId="1192" quotePrefix="1" applyNumberFormat="1" applyAlignment="1">
      <alignment horizontal="center"/>
    </xf>
    <xf numFmtId="0" fontId="112" fillId="0" borderId="53" xfId="4496" applyFont="1" applyBorder="1" applyAlignment="1">
      <alignment horizontal="left" vertical="top" wrapText="1"/>
    </xf>
    <xf numFmtId="0" fontId="112" fillId="0" borderId="0" xfId="4496" applyFont="1" applyAlignment="1">
      <alignment horizontal="left" vertical="top" wrapText="1"/>
    </xf>
    <xf numFmtId="0" fontId="112" fillId="0" borderId="54" xfId="4496" applyFont="1" applyBorder="1" applyAlignment="1">
      <alignment horizontal="left" vertical="top"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168" fontId="88" fillId="0" borderId="11" xfId="4499" applyNumberFormat="1" applyFont="1" applyFill="1" applyBorder="1" applyAlignment="1" applyProtection="1">
      <alignment horizontal="left" vertical="center" indent="1"/>
    </xf>
    <xf numFmtId="0" fontId="17" fillId="0" borderId="0" xfId="0" applyFont="1" applyAlignment="1">
      <alignment horizontal="left" vertical="top" wrapText="1"/>
    </xf>
    <xf numFmtId="0" fontId="18" fillId="0" borderId="0" xfId="244" applyAlignment="1"/>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40" fillId="0" borderId="0" xfId="0" applyFont="1" applyAlignment="1">
      <alignment horizontal="left" vertical="top" wrapText="1"/>
    </xf>
    <xf numFmtId="0" fontId="17" fillId="0" borderId="0" xfId="0" applyFont="1" applyAlignment="1">
      <alignment horizontal="left" wrapText="1"/>
    </xf>
    <xf numFmtId="0" fontId="18" fillId="0" borderId="0" xfId="244" applyAlignment="1" applyProtection="1">
      <alignment horizontal="left"/>
    </xf>
    <xf numFmtId="0" fontId="103" fillId="0" borderId="0" xfId="0" applyFont="1" applyAlignment="1">
      <alignment horizontal="left" wrapText="1"/>
    </xf>
    <xf numFmtId="0" fontId="26" fillId="0" borderId="0" xfId="0" applyFont="1" applyAlignment="1">
      <alignment horizontal="left"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95" fillId="0" borderId="0" xfId="0" applyFont="1" applyAlignment="1">
      <alignment horizontal="left" vertical="top" wrapText="1"/>
    </xf>
    <xf numFmtId="0" fontId="18" fillId="0" borderId="0" xfId="244" applyAlignment="1">
      <alignment horizontal="left" vertical="top"/>
    </xf>
    <xf numFmtId="0" fontId="104" fillId="0" borderId="0" xfId="569" applyFont="1" applyAlignment="1">
      <alignment horizontal="center"/>
    </xf>
    <xf numFmtId="0" fontId="10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0" fontId="35" fillId="0" borderId="0" xfId="569" applyFont="1" applyAlignment="1">
      <alignment horizontal="left" vertical="top" wrapText="1"/>
    </xf>
    <xf numFmtId="0" fontId="24" fillId="0" borderId="4" xfId="569" applyFont="1" applyBorder="1" applyAlignment="1">
      <alignment horizontal="left"/>
    </xf>
    <xf numFmtId="4" fontId="17" fillId="0" borderId="0" xfId="1192" applyNumberFormat="1" applyAlignment="1">
      <alignment horizontal="left" vertical="top" wrapText="1"/>
    </xf>
    <xf numFmtId="49" fontId="17" fillId="0" borderId="0" xfId="0" applyNumberFormat="1" applyFont="1" applyAlignment="1">
      <alignment horizontal="left" vertical="top" wrapText="1"/>
    </xf>
    <xf numFmtId="0" fontId="17" fillId="0" borderId="0" xfId="569" applyAlignment="1">
      <alignment horizontal="left" vertical="top"/>
    </xf>
    <xf numFmtId="0" fontId="24" fillId="0" borderId="4" xfId="569" applyFont="1" applyBorder="1"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pplyProtection="1">
      <alignment horizontal="left" vertical="top" wrapText="1"/>
      <protection locked="0"/>
    </xf>
    <xf numFmtId="0" fontId="17" fillId="0" borderId="27" xfId="569" applyBorder="1" applyAlignment="1">
      <alignment horizontal="left"/>
    </xf>
    <xf numFmtId="0" fontId="17" fillId="0" borderId="0" xfId="1192"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24" fillId="0" borderId="0" xfId="569" applyFont="1" applyAlignment="1">
      <alignment horizontal="left"/>
    </xf>
    <xf numFmtId="0" fontId="35" fillId="0" borderId="0" xfId="1192" applyFont="1" applyAlignment="1">
      <alignment horizontal="left"/>
    </xf>
    <xf numFmtId="0" fontId="17" fillId="0" borderId="0" xfId="0"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49" fontId="17" fillId="0" borderId="0" xfId="1192" applyNumberFormat="1" applyAlignment="1">
      <alignment horizontal="left" vertical="top" wrapText="1"/>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0" fontId="17" fillId="0" borderId="0" xfId="569" applyAlignment="1">
      <alignment horizontal="left" vertical="center" wrapText="1"/>
    </xf>
    <xf numFmtId="4" fontId="17" fillId="0" borderId="0" xfId="569" applyNumberFormat="1" applyAlignment="1">
      <alignment horizontal="left" vertical="top" wrapText="1"/>
    </xf>
    <xf numFmtId="0" fontId="24" fillId="0" borderId="4" xfId="0" applyFont="1" applyBorder="1" applyAlignment="1">
      <alignment horizontal="left"/>
    </xf>
    <xf numFmtId="0" fontId="0" fillId="0" borderId="0" xfId="0" applyAlignment="1">
      <alignment horizontal="left" vertical="top" wrapText="1"/>
    </xf>
    <xf numFmtId="0" fontId="35" fillId="0" borderId="0" xfId="1192" applyFont="1" applyAlignment="1">
      <alignment horizontal="left" vertical="top" wrapText="1"/>
    </xf>
    <xf numFmtId="0" fontId="17" fillId="0" borderId="0" xfId="569" applyAlignment="1">
      <alignment vertical="top" wrapText="1"/>
    </xf>
    <xf numFmtId="0" fontId="35" fillId="0" borderId="0" xfId="0" applyFont="1" applyAlignment="1">
      <alignment horizontal="lef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17" fillId="0" borderId="0" xfId="0" quotePrefix="1" applyFont="1" applyAlignment="1">
      <alignment horizontal="lef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0" fontId="35" fillId="0" borderId="0" xfId="569" applyFont="1" applyAlignment="1">
      <alignment horizontal="left" vertical="top"/>
    </xf>
    <xf numFmtId="0" fontId="35" fillId="0" borderId="0" xfId="0" applyFont="1" applyAlignment="1">
      <alignment horizontal="left" vertical="top"/>
    </xf>
    <xf numFmtId="0" fontId="17" fillId="45" borderId="3" xfId="0" applyFont="1" applyFill="1" applyBorder="1" applyAlignment="1">
      <alignment horizontal="center"/>
    </xf>
    <xf numFmtId="0" fontId="17" fillId="45" borderId="4" xfId="0" applyFont="1" applyFill="1" applyBorder="1" applyAlignment="1">
      <alignment horizontal="center"/>
    </xf>
    <xf numFmtId="0" fontId="17" fillId="45" borderId="5" xfId="0" applyFont="1" applyFill="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4" fillId="0" borderId="105" xfId="543" applyNumberFormat="1" applyFont="1" applyBorder="1" applyAlignment="1">
      <alignment horizontal="right" vertical="center" wrapText="1"/>
    </xf>
    <xf numFmtId="175" fontId="174" fillId="0" borderId="107" xfId="543" applyNumberFormat="1" applyFont="1" applyBorder="1" applyAlignment="1">
      <alignment horizontal="center" vertical="center" wrapText="1"/>
    </xf>
    <xf numFmtId="175" fontId="174" fillId="0" borderId="108" xfId="543" applyNumberFormat="1" applyFont="1" applyBorder="1" applyAlignment="1">
      <alignment horizontal="center" vertical="center" wrapText="1"/>
    </xf>
    <xf numFmtId="175" fontId="174" fillId="0" borderId="109" xfId="543" applyNumberFormat="1" applyFont="1" applyBorder="1" applyAlignment="1">
      <alignment horizontal="center" vertical="center" wrapText="1"/>
    </xf>
    <xf numFmtId="0" fontId="17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7" fillId="45" borderId="11" xfId="0" applyFont="1" applyFill="1" applyBorder="1" applyAlignment="1">
      <alignment horizontal="center"/>
    </xf>
    <xf numFmtId="0" fontId="17" fillId="5" borderId="3" xfId="0" applyFont="1" applyFill="1" applyBorder="1" applyAlignment="1" applyProtection="1">
      <alignment horizontal="center"/>
      <protection locked="0"/>
    </xf>
    <xf numFmtId="0" fontId="17" fillId="5" borderId="4" xfId="0" applyFont="1" applyFill="1" applyBorder="1" applyAlignment="1" applyProtection="1">
      <alignment horizontal="center"/>
      <protection locked="0"/>
    </xf>
    <xf numFmtId="0" fontId="17" fillId="5" borderId="5" xfId="0" applyFont="1" applyFill="1" applyBorder="1" applyAlignment="1" applyProtection="1">
      <alignment horizontal="center"/>
      <protection locked="0"/>
    </xf>
    <xf numFmtId="168" fontId="17" fillId="0" borderId="3" xfId="0" applyNumberFormat="1" applyFont="1" applyBorder="1" applyAlignment="1">
      <alignment horizontal="center"/>
    </xf>
    <xf numFmtId="168" fontId="17" fillId="0" borderId="4" xfId="0" applyNumberFormat="1" applyFont="1" applyBorder="1" applyAlignment="1">
      <alignment horizontal="center"/>
    </xf>
    <xf numFmtId="168" fontId="17" fillId="0" borderId="5" xfId="0" applyNumberFormat="1" applyFont="1" applyBorder="1" applyAlignment="1">
      <alignment horizontal="center"/>
    </xf>
    <xf numFmtId="165" fontId="17" fillId="0" borderId="1" xfId="0" applyNumberFormat="1" applyFont="1" applyBorder="1" applyAlignment="1">
      <alignment horizontal="right"/>
    </xf>
    <xf numFmtId="165" fontId="17" fillId="0" borderId="2" xfId="0" applyNumberFormat="1" applyFont="1" applyBorder="1" applyAlignment="1">
      <alignment horizontal="right"/>
    </xf>
    <xf numFmtId="165" fontId="17" fillId="0" borderId="7" xfId="0" applyNumberFormat="1" applyFont="1" applyBorder="1" applyAlignment="1">
      <alignment horizontal="right"/>
    </xf>
    <xf numFmtId="1" fontId="17" fillId="5" borderId="3" xfId="0" applyNumberFormat="1" applyFont="1" applyFill="1" applyBorder="1" applyAlignment="1" applyProtection="1">
      <alignment horizontal="center"/>
      <protection locked="0"/>
    </xf>
    <xf numFmtId="1" fontId="17" fillId="5" borderId="4" xfId="0" applyNumberFormat="1" applyFont="1" applyFill="1" applyBorder="1" applyAlignment="1" applyProtection="1">
      <alignment horizontal="center"/>
      <protection locked="0"/>
    </xf>
    <xf numFmtId="1" fontId="17" fillId="5" borderId="5" xfId="0" applyNumberFormat="1" applyFont="1" applyFill="1" applyBorder="1" applyAlignment="1" applyProtection="1">
      <alignment horizontal="center"/>
      <protection locked="0"/>
    </xf>
    <xf numFmtId="0" fontId="17" fillId="0" borderId="11" xfId="0" applyFont="1" applyBorder="1" applyAlignment="1">
      <alignment horizontal="center"/>
    </xf>
    <xf numFmtId="0" fontId="17"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7" fillId="0" borderId="11" xfId="0" applyNumberFormat="1" applyFont="1" applyBorder="1" applyAlignment="1">
      <alignment horizontal="center"/>
    </xf>
    <xf numFmtId="168" fontId="146" fillId="0" borderId="0" xfId="0" applyNumberFormat="1" applyFont="1" applyAlignment="1">
      <alignment horizontal="center" vertical="center" wrapText="1"/>
    </xf>
    <xf numFmtId="168" fontId="17" fillId="0" borderId="3" xfId="0" applyNumberFormat="1" applyFont="1" applyBorder="1" applyAlignment="1">
      <alignment horizontal="left" vertical="top"/>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7" fillId="5" borderId="11" xfId="0" applyFont="1" applyFill="1" applyBorder="1" applyAlignment="1" applyProtection="1">
      <alignment horizontal="center"/>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5" borderId="9" xfId="0" applyFont="1" applyFill="1" applyBorder="1" applyAlignment="1" applyProtection="1">
      <alignment horizontal="center"/>
      <protection locked="0"/>
    </xf>
    <xf numFmtId="0" fontId="17" fillId="5" borderId="6" xfId="0" applyFont="1" applyFill="1" applyBorder="1" applyAlignment="1" applyProtection="1">
      <alignment horizontal="center"/>
      <protection locked="0"/>
    </xf>
    <xf numFmtId="1" fontId="17" fillId="5" borderId="3" xfId="0" applyNumberFormat="1" applyFont="1" applyFill="1" applyBorder="1" applyAlignment="1" applyProtection="1">
      <alignment horizontal="right" vertical="top"/>
      <protection locked="0"/>
    </xf>
    <xf numFmtId="1" fontId="17" fillId="5" borderId="4" xfId="0" applyNumberFormat="1" applyFont="1" applyFill="1" applyBorder="1" applyAlignment="1" applyProtection="1">
      <alignment horizontal="right" vertical="top"/>
      <protection locked="0"/>
    </xf>
    <xf numFmtId="1" fontId="17" fillId="5" borderId="5" xfId="0" applyNumberFormat="1" applyFont="1" applyFill="1" applyBorder="1" applyAlignment="1" applyProtection="1">
      <alignment horizontal="right" vertical="top"/>
      <protection locked="0"/>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7" fillId="5" borderId="11" xfId="0" applyNumberFormat="1" applyFont="1" applyFill="1" applyBorder="1" applyAlignment="1" applyProtection="1">
      <alignment horizontal="center"/>
      <protection locked="0"/>
    </xf>
    <xf numFmtId="10" fontId="17" fillId="0" borderId="11" xfId="0" applyNumberFormat="1" applyFont="1" applyBorder="1" applyAlignment="1">
      <alignment horizontal="center"/>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7"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4" fillId="0" borderId="6" xfId="0" applyFont="1" applyBorder="1" applyAlignment="1">
      <alignment horizontal="center"/>
    </xf>
    <xf numFmtId="0" fontId="24" fillId="0" borderId="10" xfId="0" applyFont="1"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vertical="center" wrapText="1"/>
      <protection locked="0"/>
    </xf>
    <xf numFmtId="0" fontId="17"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7" fillId="5" borderId="4" xfId="0" applyFont="1" applyFill="1" applyBorder="1" applyAlignment="1" applyProtection="1">
      <alignment horizontal="right"/>
      <protection locked="0"/>
    </xf>
    <xf numFmtId="168" fontId="17" fillId="5" borderId="6"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5" fontId="17" fillId="5" borderId="3" xfId="0" applyNumberFormat="1" applyFont="1" applyFill="1" applyBorder="1" applyAlignment="1" applyProtection="1">
      <alignment horizontal="center"/>
      <protection locked="0"/>
    </xf>
    <xf numFmtId="165" fontId="17" fillId="5" borderId="4" xfId="0" applyNumberFormat="1" applyFont="1" applyFill="1" applyBorder="1" applyAlignment="1" applyProtection="1">
      <alignment horizontal="center"/>
      <protection locked="0"/>
    </xf>
    <xf numFmtId="165" fontId="17"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7" fillId="5" borderId="3" xfId="0" applyFont="1" applyFill="1" applyBorder="1" applyAlignment="1" applyProtection="1">
      <alignment horizontal="left"/>
      <protection locked="0"/>
    </xf>
    <xf numFmtId="1" fontId="17" fillId="5" borderId="11" xfId="0" quotePrefix="1" applyNumberFormat="1" applyFont="1" applyFill="1" applyBorder="1" applyAlignment="1" applyProtection="1">
      <alignment horizontal="center"/>
      <protection locked="0"/>
    </xf>
    <xf numFmtId="1" fontId="17"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7" fillId="5" borderId="3" xfId="0" applyNumberFormat="1" applyFont="1" applyFill="1" applyBorder="1" applyAlignment="1" applyProtection="1">
      <alignment horizontal="center"/>
      <protection locked="0"/>
    </xf>
    <xf numFmtId="168" fontId="17" fillId="5" borderId="4" xfId="0" applyNumberFormat="1" applyFont="1" applyFill="1" applyBorder="1" applyAlignment="1" applyProtection="1">
      <alignment horizontal="center"/>
      <protection locked="0"/>
    </xf>
    <xf numFmtId="168" fontId="17" fillId="5" borderId="5" xfId="0" applyNumberFormat="1" applyFont="1" applyFill="1" applyBorder="1" applyAlignment="1" applyProtection="1">
      <alignment horizontal="center"/>
      <protection locked="0"/>
    </xf>
    <xf numFmtId="0" fontId="17"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17" fillId="5" borderId="4" xfId="0" applyFont="1" applyFill="1" applyBorder="1" applyAlignment="1" applyProtection="1">
      <alignment wrapText="1"/>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7" fillId="5" borderId="4" xfId="0" applyNumberFormat="1" applyFont="1" applyFill="1" applyBorder="1" applyAlignment="1" applyProtection="1">
      <alignment horizontal="left"/>
      <protection locked="0"/>
    </xf>
    <xf numFmtId="0" fontId="17"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5" borderId="11" xfId="0" applyFont="1" applyFill="1" applyBorder="1" applyAlignment="1" applyProtection="1">
      <alignment horizontal="left" wrapText="1"/>
      <protection locked="0"/>
    </xf>
    <xf numFmtId="0" fontId="17" fillId="0" borderId="1" xfId="0" applyFont="1" applyBorder="1" applyAlignment="1">
      <alignment horizontal="center" vertical="top" wrapText="1"/>
    </xf>
    <xf numFmtId="0" fontId="17" fillId="0" borderId="2" xfId="0" applyFont="1" applyBorder="1" applyAlignment="1">
      <alignment horizontal="center" vertical="top" wrapText="1"/>
    </xf>
    <xf numFmtId="0" fontId="17" fillId="0" borderId="7" xfId="0"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Alignment="1">
      <alignment horizontal="center" vertical="top" wrapText="1"/>
    </xf>
    <xf numFmtId="0" fontId="17" fillId="0" borderId="12" xfId="0" applyFont="1" applyBorder="1" applyAlignment="1">
      <alignment horizontal="center" vertical="top" wrapText="1"/>
    </xf>
    <xf numFmtId="0" fontId="17" fillId="0" borderId="9" xfId="0" applyFont="1" applyBorder="1" applyAlignment="1">
      <alignment horizontal="center" vertical="top" wrapText="1"/>
    </xf>
    <xf numFmtId="0" fontId="17" fillId="0" borderId="6" xfId="0" applyFont="1" applyBorder="1" applyAlignment="1">
      <alignment horizontal="center" vertical="top" wrapText="1"/>
    </xf>
    <xf numFmtId="0" fontId="17" fillId="0" borderId="10" xfId="0" applyFont="1" applyBorder="1" applyAlignment="1">
      <alignment horizontal="center" vertical="top" wrapText="1"/>
    </xf>
    <xf numFmtId="0" fontId="2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17" fillId="5" borderId="6" xfId="0" applyFont="1" applyFill="1" applyBorder="1" applyAlignment="1" applyProtection="1">
      <alignment horizontal="left"/>
      <protection locked="0"/>
    </xf>
    <xf numFmtId="178" fontId="17" fillId="5" borderId="4" xfId="0" applyNumberFormat="1" applyFont="1" applyFill="1" applyBorder="1" applyAlignment="1" applyProtection="1">
      <alignment horizontal="right"/>
      <protection locked="0"/>
    </xf>
    <xf numFmtId="0" fontId="25" fillId="43" borderId="6" xfId="0" applyFont="1" applyFill="1" applyBorder="1" applyAlignment="1" applyProtection="1">
      <alignment horizontal="left"/>
      <protection locked="0"/>
    </xf>
    <xf numFmtId="14" fontId="17"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1" fontId="17"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7" fillId="5" borderId="0" xfId="0" applyFont="1" applyFill="1" applyAlignment="1" applyProtection="1">
      <alignment horizontal="left" vertical="top" wrapText="1"/>
      <protection locked="0"/>
    </xf>
    <xf numFmtId="0" fontId="17"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7"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3" fillId="3" borderId="0" xfId="0" applyFont="1" applyFill="1" applyAlignment="1">
      <alignment horizontal="center" vertical="center"/>
    </xf>
    <xf numFmtId="0" fontId="17" fillId="0" borderId="0" xfId="0" applyFont="1" applyAlignment="1">
      <alignment wrapText="1"/>
    </xf>
    <xf numFmtId="0" fontId="17" fillId="0" borderId="6" xfId="0" applyFont="1" applyBorder="1" applyAlignment="1">
      <alignment horizontal="left"/>
    </xf>
    <xf numFmtId="0" fontId="0" fillId="43" borderId="6" xfId="0"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17" fillId="5" borderId="0" xfId="244" applyFont="1" applyFill="1" applyBorder="1" applyAlignment="1" applyProtection="1">
      <alignment horizontal="left"/>
      <protection locked="0"/>
    </xf>
    <xf numFmtId="0" fontId="17" fillId="5" borderId="6" xfId="0" applyFont="1" applyFill="1" applyBorder="1" applyAlignment="1" applyProtection="1">
      <alignment horizontal="left" wrapText="1"/>
      <protection locked="0"/>
    </xf>
    <xf numFmtId="166" fontId="17" fillId="5" borderId="6" xfId="0" applyNumberFormat="1" applyFont="1" applyFill="1" applyBorder="1" applyAlignment="1" applyProtection="1">
      <alignment horizontal="left"/>
      <protection locked="0"/>
    </xf>
    <xf numFmtId="0" fontId="0" fillId="0" borderId="0" xfId="0" applyAlignment="1">
      <alignment wrapText="1"/>
    </xf>
    <xf numFmtId="0" fontId="143" fillId="0" borderId="0" xfId="0" applyFont="1" applyAlignment="1" applyProtection="1">
      <alignment horizontal="left" vertical="top" wrapText="1"/>
      <protection locked="0"/>
    </xf>
    <xf numFmtId="0" fontId="17" fillId="0" borderId="6" xfId="0" applyFont="1" applyBorder="1" applyAlignment="1" applyProtection="1">
      <alignment horizontal="center"/>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7"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7"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6" fillId="5" borderId="6" xfId="271" applyNumberFormat="1" applyFill="1" applyBorder="1" applyAlignment="1" applyProtection="1">
      <alignment horizontal="left"/>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6" fillId="5" borderId="4" xfId="271" applyNumberFormat="1" applyFill="1" applyBorder="1" applyAlignment="1" applyProtection="1">
      <alignment horizontal="left"/>
      <protection locked="0"/>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0" fontId="17"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6" fillId="0" borderId="2" xfId="0" applyNumberFormat="1" applyFont="1" applyBorder="1" applyAlignment="1">
      <alignment horizontal="left" vertical="top" wrapText="1"/>
    </xf>
    <xf numFmtId="168" fontId="46"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7"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7" fillId="5" borderId="3" xfId="0" applyNumberFormat="1" applyFont="1" applyFill="1" applyBorder="1" applyAlignment="1" applyProtection="1">
      <alignment horizontal="center"/>
      <protection locked="0"/>
    </xf>
    <xf numFmtId="9" fontId="17" fillId="5" borderId="4" xfId="0" applyNumberFormat="1" applyFont="1" applyFill="1" applyBorder="1" applyAlignment="1" applyProtection="1">
      <alignment horizontal="center"/>
      <protection locked="0"/>
    </xf>
    <xf numFmtId="9" fontId="17" fillId="5" borderId="5" xfId="0" applyNumberFormat="1"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9" fontId="17" fillId="0" borderId="0" xfId="543" applyNumberFormat="1" applyAlignment="1">
      <alignment horizontal="center" vertical="center"/>
    </xf>
    <xf numFmtId="0" fontId="24"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7" fillId="0" borderId="3" xfId="0" applyFont="1" applyBorder="1"/>
    <xf numFmtId="0" fontId="17" fillId="0" borderId="4" xfId="0" applyFont="1" applyBorder="1"/>
    <xf numFmtId="0" fontId="17"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7" fillId="0" borderId="0" xfId="543" applyAlignment="1">
      <alignment horizontal="center"/>
    </xf>
    <xf numFmtId="2" fontId="17"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7" fillId="5" borderId="3" xfId="0" applyFont="1" applyFill="1" applyBorder="1" applyProtection="1">
      <protection locked="0"/>
    </xf>
    <xf numFmtId="0" fontId="17" fillId="0" borderId="4" xfId="0" applyFont="1" applyBorder="1" applyProtection="1">
      <protection locked="0"/>
    </xf>
    <xf numFmtId="0" fontId="17" fillId="0" borderId="5" xfId="0" applyFont="1" applyBorder="1" applyProtection="1">
      <protection locked="0"/>
    </xf>
    <xf numFmtId="168" fontId="17" fillId="5" borderId="3"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0" fontId="17" fillId="5" borderId="5" xfId="0" applyFont="1" applyFill="1" applyBorder="1" applyAlignment="1" applyProtection="1">
      <alignment horizontal="left"/>
      <protection locked="0"/>
    </xf>
    <xf numFmtId="171" fontId="17" fillId="0" borderId="0" xfId="543" applyNumberFormat="1" applyAlignment="1">
      <alignment horizontal="center"/>
    </xf>
    <xf numFmtId="171" fontId="17"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168" fontId="17" fillId="5" borderId="3" xfId="0" applyNumberFormat="1" applyFont="1" applyFill="1" applyBorder="1" applyAlignment="1" applyProtection="1">
      <alignment horizontal="left" vertical="top"/>
      <protection locked="0"/>
    </xf>
    <xf numFmtId="168" fontId="17" fillId="5" borderId="4" xfId="0" applyNumberFormat="1" applyFont="1" applyFill="1" applyBorder="1" applyAlignment="1" applyProtection="1">
      <alignment horizontal="left" vertical="top"/>
      <protection locked="0"/>
    </xf>
    <xf numFmtId="168" fontId="17" fillId="5" borderId="5" xfId="0" applyNumberFormat="1" applyFont="1" applyFill="1" applyBorder="1" applyAlignment="1" applyProtection="1">
      <alignment horizontal="left" vertical="top"/>
      <protection locked="0"/>
    </xf>
    <xf numFmtId="0" fontId="24" fillId="0" borderId="1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0" xfId="0" applyFont="1" applyAlignment="1">
      <alignment horizontal="center" vertical="center" wrapText="1"/>
    </xf>
    <xf numFmtId="0" fontId="47" fillId="0" borderId="12"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0" fontId="24"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4" fillId="0" borderId="2"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0" fontId="25" fillId="5" borderId="3" xfId="543" applyFont="1" applyFill="1" applyBorder="1" applyAlignment="1">
      <alignment horizontal="center"/>
    </xf>
    <xf numFmtId="0" fontId="25" fillId="5" borderId="4" xfId="543" applyFont="1" applyFill="1" applyBorder="1" applyAlignment="1">
      <alignment horizontal="center"/>
    </xf>
    <xf numFmtId="0" fontId="25"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7"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17" fillId="43" borderId="11" xfId="0" applyFont="1" applyFill="1" applyBorder="1" applyAlignment="1" applyProtection="1">
      <alignment horizontal="center"/>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1" fontId="17" fillId="0" borderId="3" xfId="0" applyNumberFormat="1" applyFont="1" applyBorder="1" applyAlignment="1">
      <alignment horizontal="center"/>
    </xf>
    <xf numFmtId="1" fontId="17" fillId="0" borderId="4" xfId="0" applyNumberFormat="1" applyFont="1" applyBorder="1" applyAlignment="1">
      <alignment horizontal="center"/>
    </xf>
    <xf numFmtId="1" fontId="17" fillId="0" borderId="5" xfId="0" applyNumberFormat="1" applyFont="1" applyBorder="1" applyAlignment="1">
      <alignment horizontal="center"/>
    </xf>
    <xf numFmtId="0" fontId="26" fillId="5" borderId="6" xfId="271" applyFill="1" applyBorder="1" applyProtection="1">
      <protection locked="0"/>
    </xf>
    <xf numFmtId="0" fontId="24"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17" fillId="5" borderId="4" xfId="543" applyFill="1" applyBorder="1" applyAlignment="1" applyProtection="1">
      <alignment horizontal="left" vertical="top" wrapText="1"/>
      <protection locked="0"/>
    </xf>
    <xf numFmtId="0" fontId="17" fillId="5" borderId="5" xfId="543" applyFill="1" applyBorder="1" applyAlignment="1" applyProtection="1">
      <alignment horizontal="left" vertical="top" wrapText="1"/>
      <protection locked="0"/>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5" fillId="0" borderId="3" xfId="543" applyFont="1" applyBorder="1" applyAlignment="1">
      <alignment horizontal="center"/>
    </xf>
    <xf numFmtId="0" fontId="25" fillId="0" borderId="5" xfId="543" applyFont="1" applyBorder="1" applyAlignment="1">
      <alignment horizontal="center"/>
    </xf>
    <xf numFmtId="0" fontId="25" fillId="5" borderId="3" xfId="543" applyFont="1" applyFill="1" applyBorder="1" applyAlignment="1" applyProtection="1">
      <alignment horizontal="center"/>
      <protection locked="0"/>
    </xf>
    <xf numFmtId="0" fontId="25" fillId="5" borderId="5" xfId="543" applyFont="1" applyFill="1" applyBorder="1" applyAlignment="1" applyProtection="1">
      <alignment horizontal="center"/>
      <protection locked="0"/>
    </xf>
    <xf numFmtId="0" fontId="25" fillId="5" borderId="9" xfId="543" applyFont="1" applyFill="1" applyBorder="1" applyAlignment="1" applyProtection="1">
      <alignment horizontal="center"/>
      <protection locked="0"/>
    </xf>
    <xf numFmtId="0" fontId="25"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182" fontId="25"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4" fillId="0" borderId="12" xfId="0" applyFont="1" applyBorder="1" applyAlignment="1">
      <alignment horizontal="center" wrapText="1"/>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1" xfId="543" applyNumberFormat="1" applyBorder="1" applyAlignment="1">
      <alignment horizontal="center"/>
    </xf>
    <xf numFmtId="0" fontId="24" fillId="0" borderId="4" xfId="543" applyFont="1" applyBorder="1" applyAlignment="1">
      <alignment horizontal="right" vertical="top" wrapText="1"/>
    </xf>
    <xf numFmtId="0" fontId="24" fillId="0" borderId="5" xfId="543" applyFont="1" applyBorder="1" applyAlignment="1">
      <alignment horizontal="right" vertical="top" wrapText="1"/>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24" fillId="0" borderId="1" xfId="543" applyFont="1" applyBorder="1" applyAlignment="1">
      <alignment horizontal="right"/>
    </xf>
    <xf numFmtId="0" fontId="24" fillId="0" borderId="2" xfId="543" applyFont="1" applyBorder="1" applyAlignment="1">
      <alignment horizontal="right"/>
    </xf>
    <xf numFmtId="0" fontId="24" fillId="0" borderId="7" xfId="543" applyFont="1" applyBorder="1" applyAlignment="1">
      <alignment horizontal="right"/>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10" xfId="0" applyFont="1" applyBorder="1" applyAlignment="1">
      <alignment horizontal="left" wrapText="1"/>
    </xf>
    <xf numFmtId="0" fontId="46" fillId="5" borderId="3" xfId="0" applyFont="1" applyFill="1" applyBorder="1" applyAlignment="1" applyProtection="1">
      <alignment horizontal="right"/>
      <protection locked="0"/>
    </xf>
    <xf numFmtId="0" fontId="46" fillId="5" borderId="4" xfId="0" applyFont="1" applyFill="1" applyBorder="1" applyAlignment="1" applyProtection="1">
      <alignment horizontal="right"/>
      <protection locked="0"/>
    </xf>
    <xf numFmtId="0" fontId="46" fillId="5" borderId="5" xfId="0" applyFon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42" fillId="0" borderId="8" xfId="543" applyFont="1" applyBorder="1" applyAlignment="1">
      <alignment horizontal="center" vertical="center" wrapText="1"/>
    </xf>
    <xf numFmtId="0" fontId="142" fillId="0" borderId="0" xfId="543" applyFont="1" applyAlignment="1">
      <alignment horizontal="center" vertical="center" wrapText="1"/>
    </xf>
    <xf numFmtId="0" fontId="142" fillId="0" borderId="12" xfId="543" applyFont="1" applyBorder="1" applyAlignment="1">
      <alignment horizontal="center" vertical="center" wrapText="1"/>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25" fillId="5" borderId="3" xfId="543" applyFont="1" applyFill="1" applyBorder="1" applyAlignment="1" applyProtection="1">
      <alignment horizontal="center" vertical="top"/>
      <protection locked="0"/>
    </xf>
    <xf numFmtId="0" fontId="25" fillId="5" borderId="5" xfId="543" applyFont="1" applyFill="1" applyBorder="1" applyAlignment="1" applyProtection="1">
      <alignment horizontal="center" vertical="top"/>
      <protection locked="0"/>
    </xf>
    <xf numFmtId="0" fontId="38" fillId="0" borderId="8" xfId="543" applyFont="1" applyBorder="1" applyAlignment="1">
      <alignment horizontal="center" vertical="center" wrapText="1"/>
    </xf>
    <xf numFmtId="0" fontId="38" fillId="0" borderId="0" xfId="543" applyFont="1" applyAlignment="1">
      <alignment horizontal="center" vertical="center" wrapText="1"/>
    </xf>
    <xf numFmtId="0" fontId="38" fillId="0" borderId="12" xfId="543" applyFont="1" applyBorder="1" applyAlignment="1">
      <alignment horizontal="center" vertical="center" wrapText="1"/>
    </xf>
    <xf numFmtId="0" fontId="24" fillId="0" borderId="9" xfId="0" applyFont="1" applyBorder="1" applyAlignment="1">
      <alignment horizontal="right"/>
    </xf>
    <xf numFmtId="0" fontId="24" fillId="0" borderId="10" xfId="0" applyFont="1" applyBorder="1" applyAlignment="1">
      <alignment horizontal="right"/>
    </xf>
    <xf numFmtId="180" fontId="0" fillId="0" borderId="6" xfId="0" applyNumberFormat="1" applyBorder="1" applyAlignment="1">
      <alignment horizontal="center"/>
    </xf>
    <xf numFmtId="0" fontId="43"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horizontal="center" vertical="top"/>
    </xf>
    <xf numFmtId="0" fontId="25" fillId="0" borderId="0" xfId="0" applyFont="1" applyAlignment="1">
      <alignment horizontal="center"/>
    </xf>
    <xf numFmtId="0" fontId="149" fillId="0" borderId="8" xfId="543" applyFont="1" applyBorder="1" applyAlignment="1">
      <alignment horizontal="center" wrapText="1"/>
    </xf>
    <xf numFmtId="0" fontId="149" fillId="0" borderId="0" xfId="543" applyFont="1" applyAlignment="1">
      <alignment horizontal="center" wrapText="1"/>
    </xf>
    <xf numFmtId="0" fontId="149" fillId="0" borderId="12" xfId="543" applyFont="1" applyBorder="1" applyAlignment="1">
      <alignment horizontal="center" wrapText="1"/>
    </xf>
    <xf numFmtId="0" fontId="149" fillId="0" borderId="9" xfId="543" applyFont="1" applyBorder="1" applyAlignment="1">
      <alignment horizontal="center" wrapText="1"/>
    </xf>
    <xf numFmtId="0" fontId="149" fillId="0" borderId="6" xfId="543" applyFont="1" applyBorder="1" applyAlignment="1">
      <alignment horizontal="center" wrapText="1"/>
    </xf>
    <xf numFmtId="0" fontId="149" fillId="0" borderId="10" xfId="543" applyFont="1" applyBorder="1" applyAlignment="1">
      <alignment horizontal="center" wrapText="1"/>
    </xf>
    <xf numFmtId="0" fontId="149" fillId="0" borderId="8" xfId="543" applyFont="1" applyBorder="1" applyAlignment="1">
      <alignment horizontal="center" vertical="top" wrapText="1"/>
    </xf>
    <xf numFmtId="0" fontId="149" fillId="0" borderId="0" xfId="543" applyFont="1" applyAlignment="1">
      <alignment horizontal="center" vertical="top" wrapText="1"/>
    </xf>
    <xf numFmtId="0" fontId="149" fillId="0" borderId="12" xfId="543" applyFont="1" applyBorder="1" applyAlignment="1">
      <alignment horizontal="center" vertical="top" wrapText="1"/>
    </xf>
    <xf numFmtId="0" fontId="149" fillId="0" borderId="9" xfId="543" applyFont="1" applyBorder="1" applyAlignment="1">
      <alignment horizontal="center" vertical="top" wrapText="1"/>
    </xf>
    <xf numFmtId="0" fontId="149" fillId="0" borderId="6" xfId="543" applyFont="1" applyBorder="1" applyAlignment="1">
      <alignment horizontal="center" vertical="top" wrapText="1"/>
    </xf>
    <xf numFmtId="0" fontId="149" fillId="0" borderId="10" xfId="543" applyFont="1" applyBorder="1" applyAlignment="1">
      <alignment horizontal="center" vertical="top" wrapText="1"/>
    </xf>
    <xf numFmtId="0" fontId="146" fillId="0" borderId="0" xfId="0" applyFont="1" applyAlignment="1">
      <alignment horizontal="center" vertical="center" wrapText="1"/>
    </xf>
    <xf numFmtId="0" fontId="17" fillId="0" borderId="0" xfId="0" applyFont="1" applyAlignment="1">
      <alignment vertical="center" wrapText="1"/>
    </xf>
    <xf numFmtId="0" fontId="17" fillId="0" borderId="0" xfId="543" applyAlignment="1">
      <alignment wrapText="1"/>
    </xf>
    <xf numFmtId="0" fontId="17" fillId="0" borderId="2" xfId="0" applyFont="1" applyBorder="1" applyAlignment="1">
      <alignment horizontal="left" vertical="top" wrapText="1"/>
    </xf>
    <xf numFmtId="177" fontId="17" fillId="5" borderId="6"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7" fillId="0" borderId="6" xfId="0" applyFont="1" applyBorder="1" applyAlignment="1">
      <alignment horizontal="right" vertical="top" wrapText="1"/>
    </xf>
    <xf numFmtId="0" fontId="17" fillId="0" borderId="6" xfId="0" applyFont="1" applyBorder="1" applyAlignment="1">
      <alignment vertical="top" wrapText="1"/>
    </xf>
    <xf numFmtId="0" fontId="50" fillId="2" borderId="3" xfId="0" applyFont="1" applyFill="1" applyBorder="1" applyAlignment="1">
      <alignment horizontal="center" vertical="top"/>
    </xf>
    <xf numFmtId="0" fontId="50" fillId="2" borderId="4" xfId="0" applyFont="1" applyFill="1" applyBorder="1" applyAlignment="1">
      <alignment horizontal="center" vertical="top"/>
    </xf>
    <xf numFmtId="0" fontId="50" fillId="2" borderId="5" xfId="0" applyFont="1" applyFill="1" applyBorder="1" applyAlignment="1">
      <alignment horizontal="center" vertical="top"/>
    </xf>
    <xf numFmtId="0" fontId="17" fillId="0" borderId="2" xfId="0" applyFont="1" applyBorder="1" applyAlignment="1">
      <alignment vertical="top" wrapText="1"/>
    </xf>
    <xf numFmtId="0" fontId="46" fillId="0" borderId="0" xfId="0" applyFont="1" applyAlignment="1">
      <alignment vertical="top" wrapText="1"/>
    </xf>
    <xf numFmtId="0" fontId="47"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59" fillId="44" borderId="80" xfId="8733" applyFont="1" applyFill="1" applyBorder="1" applyAlignment="1">
      <alignment horizontal="left"/>
    </xf>
    <xf numFmtId="0" fontId="159" fillId="44" borderId="79" xfId="8733" applyFont="1" applyFill="1" applyBorder="1" applyAlignment="1">
      <alignment horizontal="left"/>
    </xf>
    <xf numFmtId="0" fontId="159" fillId="44" borderId="78" xfId="8733" applyFont="1" applyFill="1" applyBorder="1" applyAlignment="1">
      <alignment horizontal="left"/>
    </xf>
    <xf numFmtId="0" fontId="160" fillId="45" borderId="11" xfId="8733" applyFont="1" applyFill="1" applyBorder="1" applyAlignment="1">
      <alignment horizontal="right"/>
    </xf>
    <xf numFmtId="1" fontId="15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71" fillId="51" borderId="65" xfId="8733" applyFont="1" applyFill="1" applyBorder="1" applyAlignment="1">
      <alignment horizontal="center"/>
    </xf>
    <xf numFmtId="0" fontId="171" fillId="51" borderId="29" xfId="8733" applyFont="1" applyFill="1" applyBorder="1" applyAlignment="1">
      <alignment horizontal="center"/>
    </xf>
    <xf numFmtId="0" fontId="171" fillId="51" borderId="31" xfId="8733" applyFont="1" applyFill="1" applyBorder="1" applyAlignment="1">
      <alignment horizontal="center"/>
    </xf>
    <xf numFmtId="0" fontId="156" fillId="48" borderId="66" xfId="8733" applyFont="1" applyFill="1" applyBorder="1" applyAlignment="1">
      <alignment horizontal="center"/>
    </xf>
    <xf numFmtId="0" fontId="156" fillId="48" borderId="0" xfId="8733" applyFont="1" applyFill="1" applyAlignment="1">
      <alignment horizontal="center"/>
    </xf>
    <xf numFmtId="0" fontId="156" fillId="48" borderId="41" xfId="8733" applyFont="1" applyFill="1" applyBorder="1" applyAlignment="1">
      <alignment horizontal="center"/>
    </xf>
    <xf numFmtId="0" fontId="166" fillId="45" borderId="11" xfId="8733" applyFont="1" applyFill="1" applyBorder="1" applyAlignment="1">
      <alignment horizontal="right"/>
    </xf>
    <xf numFmtId="14" fontId="159" fillId="48" borderId="11" xfId="8733" applyNumberFormat="1" applyFont="1" applyFill="1" applyBorder="1" applyAlignment="1" applyProtection="1">
      <alignment horizontal="center"/>
      <protection locked="0"/>
    </xf>
    <xf numFmtId="0" fontId="159" fillId="48" borderId="11" xfId="8733" applyFont="1" applyFill="1" applyBorder="1" applyAlignment="1" applyProtection="1">
      <alignment horizontal="center"/>
      <protection locked="0"/>
    </xf>
    <xf numFmtId="0" fontId="92" fillId="45" borderId="80" xfId="8733" applyFont="1" applyFill="1" applyBorder="1" applyAlignment="1">
      <alignment horizontal="center"/>
    </xf>
    <xf numFmtId="0" fontId="92" fillId="45" borderId="79" xfId="8733" applyFont="1" applyFill="1" applyBorder="1" applyAlignment="1">
      <alignment horizontal="center"/>
    </xf>
    <xf numFmtId="0" fontId="92" fillId="45" borderId="78" xfId="8733" applyFont="1" applyFill="1" applyBorder="1" applyAlignment="1">
      <alignment horizontal="center"/>
    </xf>
    <xf numFmtId="0" fontId="159" fillId="48" borderId="80" xfId="8733" applyFont="1" applyFill="1" applyBorder="1" applyAlignment="1" applyProtection="1">
      <alignment horizontal="center"/>
      <protection locked="0"/>
    </xf>
    <xf numFmtId="0" fontId="159" fillId="48" borderId="79" xfId="8733" applyFont="1" applyFill="1" applyBorder="1" applyAlignment="1" applyProtection="1">
      <alignment horizontal="center"/>
      <protection locked="0"/>
    </xf>
    <xf numFmtId="0" fontId="159" fillId="48" borderId="78" xfId="8733" applyFont="1" applyFill="1" applyBorder="1" applyAlignment="1" applyProtection="1">
      <alignment horizontal="center"/>
      <protection locked="0"/>
    </xf>
    <xf numFmtId="0" fontId="163" fillId="45" borderId="11" xfId="8733" applyFont="1" applyFill="1" applyBorder="1" applyAlignment="1">
      <alignment horizontal="right"/>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60" fillId="45" borderId="11" xfId="8733" applyFont="1" applyFill="1" applyBorder="1" applyAlignment="1">
      <alignment horizontal="right" wrapText="1"/>
    </xf>
    <xf numFmtId="14" fontId="159" fillId="48" borderId="11" xfId="8733" applyNumberFormat="1" applyFont="1" applyFill="1" applyBorder="1" applyAlignment="1" applyProtection="1">
      <alignment horizontal="center" vertical="center"/>
      <protection locked="0"/>
    </xf>
    <xf numFmtId="0" fontId="159" fillId="48" borderId="11" xfId="8733" applyFont="1" applyFill="1" applyBorder="1" applyAlignment="1" applyProtection="1">
      <alignment horizontal="center" vertical="center"/>
      <protection locked="0"/>
    </xf>
    <xf numFmtId="168" fontId="164" fillId="44" borderId="11" xfId="8734" applyNumberFormat="1" applyFont="1" applyFill="1" applyBorder="1" applyAlignment="1" applyProtection="1">
      <alignment horizontal="left"/>
    </xf>
    <xf numFmtId="0" fontId="92" fillId="45" borderId="80" xfId="8733" applyFont="1" applyFill="1" applyBorder="1" applyAlignment="1">
      <alignment horizontal="right"/>
    </xf>
    <xf numFmtId="0" fontId="92" fillId="45" borderId="79" xfId="8733" applyFont="1" applyFill="1" applyBorder="1" applyAlignment="1">
      <alignment horizontal="right"/>
    </xf>
    <xf numFmtId="0" fontId="9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56" fillId="45" borderId="93" xfId="8733" applyFont="1" applyFill="1" applyBorder="1" applyAlignment="1">
      <alignment horizontal="center"/>
    </xf>
    <xf numFmtId="0" fontId="156" fillId="45" borderId="92" xfId="8733" applyFont="1" applyFill="1" applyBorder="1" applyAlignment="1">
      <alignment horizontal="center"/>
    </xf>
    <xf numFmtId="0" fontId="156" fillId="45" borderId="91" xfId="8733" applyFont="1" applyFill="1" applyBorder="1" applyAlignment="1">
      <alignment horizontal="center"/>
    </xf>
    <xf numFmtId="0" fontId="163" fillId="45" borderId="97" xfId="8733" applyFont="1" applyFill="1" applyBorder="1" applyAlignment="1">
      <alignment horizontal="center"/>
    </xf>
    <xf numFmtId="0" fontId="163" fillId="45" borderId="2" xfId="8733" applyFont="1" applyFill="1" applyBorder="1" applyAlignment="1">
      <alignment horizontal="center"/>
    </xf>
    <xf numFmtId="0" fontId="163" fillId="45" borderId="7" xfId="8733" applyFont="1" applyFill="1" applyBorder="1" applyAlignment="1">
      <alignment horizontal="center"/>
    </xf>
    <xf numFmtId="0" fontId="163" fillId="45" borderId="3" xfId="8733" applyFont="1" applyFill="1" applyBorder="1" applyAlignment="1">
      <alignment horizontal="center"/>
    </xf>
    <xf numFmtId="0" fontId="163" fillId="45" borderId="4" xfId="8733" applyFont="1" applyFill="1" applyBorder="1" applyAlignment="1">
      <alignment horizontal="center"/>
    </xf>
    <xf numFmtId="0" fontId="163" fillId="45" borderId="5" xfId="8733" applyFont="1" applyFill="1" applyBorder="1" applyAlignment="1">
      <alignment horizontal="center"/>
    </xf>
    <xf numFmtId="0" fontId="163" fillId="45" borderId="81" xfId="8733" applyFont="1" applyFill="1" applyBorder="1" applyAlignment="1">
      <alignment horizontal="center"/>
    </xf>
    <xf numFmtId="9" fontId="162" fillId="48" borderId="90" xfId="8733" applyNumberFormat="1" applyFont="1" applyFill="1" applyBorder="1" applyAlignment="1" applyProtection="1">
      <alignment horizontal="center"/>
      <protection locked="0"/>
    </xf>
    <xf numFmtId="9" fontId="162" fillId="48" borderId="4" xfId="8733" applyNumberFormat="1" applyFont="1" applyFill="1" applyBorder="1" applyAlignment="1" applyProtection="1">
      <alignment horizontal="center"/>
      <protection locked="0"/>
    </xf>
    <xf numFmtId="9" fontId="162" fillId="48" borderId="5" xfId="8733" applyNumberFormat="1" applyFont="1" applyFill="1" applyBorder="1" applyAlignment="1" applyProtection="1">
      <alignment horizontal="center"/>
      <protection locked="0"/>
    </xf>
    <xf numFmtId="0" fontId="162" fillId="44" borderId="3" xfId="8733" applyFont="1" applyFill="1" applyBorder="1" applyAlignment="1">
      <alignment horizontal="center"/>
    </xf>
    <xf numFmtId="0" fontId="162" fillId="44" borderId="4" xfId="8733" applyFont="1" applyFill="1" applyBorder="1" applyAlignment="1">
      <alignment horizontal="center"/>
    </xf>
    <xf numFmtId="0" fontId="162" fillId="44" borderId="5" xfId="8733" applyFont="1" applyFill="1" applyBorder="1" applyAlignment="1">
      <alignment horizontal="center"/>
    </xf>
    <xf numFmtId="9" fontId="163" fillId="44" borderId="3" xfId="8733" applyNumberFormat="1" applyFont="1" applyFill="1" applyBorder="1" applyAlignment="1">
      <alignment horizontal="center"/>
    </xf>
    <xf numFmtId="9" fontId="163" fillId="44" borderId="4" xfId="8733" applyNumberFormat="1" applyFont="1" applyFill="1" applyBorder="1" applyAlignment="1">
      <alignment horizontal="center"/>
    </xf>
    <xf numFmtId="9" fontId="163" fillId="44" borderId="81" xfId="8733" applyNumberFormat="1" applyFont="1" applyFill="1" applyBorder="1" applyAlignment="1">
      <alignment horizontal="center"/>
    </xf>
    <xf numFmtId="0" fontId="162" fillId="48" borderId="3" xfId="8733" applyFont="1" applyFill="1" applyBorder="1" applyAlignment="1" applyProtection="1">
      <alignment horizontal="center"/>
      <protection locked="0"/>
    </xf>
    <xf numFmtId="0" fontId="162" fillId="48" borderId="4" xfId="8733" applyFont="1" applyFill="1" applyBorder="1" applyAlignment="1" applyProtection="1">
      <alignment horizontal="center"/>
      <protection locked="0"/>
    </xf>
    <xf numFmtId="0" fontId="162" fillId="48" borderId="5" xfId="8733" applyFont="1" applyFill="1" applyBorder="1" applyAlignment="1" applyProtection="1">
      <alignment horizontal="center"/>
      <protection locked="0"/>
    </xf>
    <xf numFmtId="0" fontId="163" fillId="44" borderId="87" xfId="8733" applyFont="1" applyFill="1" applyBorder="1" applyAlignment="1">
      <alignment horizontal="center"/>
    </xf>
    <xf numFmtId="0" fontId="163" fillId="44" borderId="86" xfId="8733" applyFont="1" applyFill="1" applyBorder="1" applyAlignment="1">
      <alignment horizontal="center"/>
    </xf>
    <xf numFmtId="0" fontId="163" fillId="44" borderId="95" xfId="8733" applyFont="1" applyFill="1" applyBorder="1" applyAlignment="1">
      <alignment horizontal="center"/>
    </xf>
    <xf numFmtId="0" fontId="162" fillId="44" borderId="94"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9" fontId="163" fillId="44" borderId="94" xfId="8733" applyNumberFormat="1" applyFont="1" applyFill="1" applyBorder="1" applyAlignment="1">
      <alignment horizontal="center"/>
    </xf>
    <xf numFmtId="9" fontId="163" fillId="44" borderId="86" xfId="8733" applyNumberFormat="1" applyFont="1" applyFill="1" applyBorder="1" applyAlignment="1">
      <alignment horizontal="center"/>
    </xf>
    <xf numFmtId="9" fontId="163" fillId="44" borderId="85" xfId="8733" applyNumberFormat="1" applyFont="1" applyFill="1" applyBorder="1" applyAlignment="1">
      <alignment horizontal="center"/>
    </xf>
    <xf numFmtId="0" fontId="163" fillId="44" borderId="101" xfId="8733" applyFont="1" applyFill="1" applyBorder="1" applyAlignment="1">
      <alignment horizontal="center"/>
    </xf>
    <xf numFmtId="0" fontId="163" fillId="44" borderId="42" xfId="8733" applyFont="1" applyFill="1" applyBorder="1" applyAlignment="1">
      <alignment horizontal="center"/>
    </xf>
    <xf numFmtId="0" fontId="163" fillId="44" borderId="96" xfId="8733" applyFont="1" applyFill="1" applyBorder="1" applyAlignment="1">
      <alignment horizontal="center"/>
    </xf>
    <xf numFmtId="9" fontId="163" fillId="44" borderId="101" xfId="1022" applyFont="1" applyFill="1" applyBorder="1" applyAlignment="1">
      <alignment horizontal="center"/>
    </xf>
    <xf numFmtId="9" fontId="163" fillId="44" borderId="42" xfId="1022" applyFont="1" applyFill="1" applyBorder="1" applyAlignment="1">
      <alignment horizontal="center"/>
    </xf>
    <xf numFmtId="9" fontId="163" fillId="44" borderId="44" xfId="1022" applyFont="1" applyFill="1" applyBorder="1" applyAlignment="1">
      <alignment horizontal="center"/>
    </xf>
    <xf numFmtId="0" fontId="156" fillId="45" borderId="80" xfId="8733" applyFont="1" applyFill="1" applyBorder="1" applyAlignment="1">
      <alignment horizontal="center"/>
    </xf>
    <xf numFmtId="0" fontId="156" fillId="45" borderId="79" xfId="8733" applyFont="1" applyFill="1" applyBorder="1" applyAlignment="1">
      <alignment horizontal="center"/>
    </xf>
    <xf numFmtId="0" fontId="156" fillId="45" borderId="78" xfId="8733" applyFont="1" applyFill="1" applyBorder="1" applyAlignment="1">
      <alignment horizontal="center"/>
    </xf>
    <xf numFmtId="0" fontId="155" fillId="45" borderId="98" xfId="8733" applyFont="1" applyFill="1" applyBorder="1" applyAlignment="1">
      <alignment horizontal="center" vertical="center" wrapText="1"/>
    </xf>
    <xf numFmtId="0" fontId="155" fillId="45" borderId="13" xfId="8733" applyFont="1" applyFill="1" applyBorder="1" applyAlignment="1">
      <alignment horizontal="center" vertical="center"/>
    </xf>
    <xf numFmtId="0" fontId="155" fillId="45" borderId="72" xfId="8733" applyFont="1" applyFill="1" applyBorder="1" applyAlignment="1">
      <alignment horizontal="center" vertical="center"/>
    </xf>
    <xf numFmtId="0" fontId="155" fillId="45" borderId="11" xfId="8733" applyFont="1" applyFill="1" applyBorder="1" applyAlignment="1">
      <alignment horizontal="center" vertical="center"/>
    </xf>
    <xf numFmtId="0" fontId="163" fillId="45" borderId="13"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11" xfId="8733" applyFont="1" applyFill="1" applyBorder="1" applyAlignment="1">
      <alignment horizontal="center" vertical="center"/>
    </xf>
    <xf numFmtId="0" fontId="163" fillId="45" borderId="9" xfId="8733" applyFont="1" applyFill="1" applyBorder="1" applyAlignment="1">
      <alignment horizontal="center" vertical="center"/>
    </xf>
    <xf numFmtId="0" fontId="163" fillId="45" borderId="3" xfId="8733" applyFont="1" applyFill="1" applyBorder="1" applyAlignment="1">
      <alignment horizontal="center" vertic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5" fillId="45" borderId="65" xfId="8733" applyFont="1" applyFill="1" applyBorder="1" applyAlignment="1">
      <alignment horizontal="center" vertical="center" wrapText="1"/>
    </xf>
    <xf numFmtId="0" fontId="155" fillId="45" borderId="29" xfId="8733" applyFont="1" applyFill="1" applyBorder="1" applyAlignment="1">
      <alignment horizontal="center" vertical="center" wrapText="1"/>
    </xf>
    <xf numFmtId="0" fontId="155" fillId="45" borderId="31" xfId="8733" applyFont="1" applyFill="1" applyBorder="1" applyAlignment="1">
      <alignment horizontal="center" vertical="center" wrapText="1"/>
    </xf>
    <xf numFmtId="0" fontId="155" fillId="45" borderId="73" xfId="8733" applyFont="1" applyFill="1" applyBorder="1" applyAlignment="1">
      <alignment horizontal="center" vertical="center" wrapText="1"/>
    </xf>
    <xf numFmtId="0" fontId="155" fillId="45" borderId="42" xfId="8733" applyFont="1" applyFill="1" applyBorder="1" applyAlignment="1">
      <alignment horizontal="center" vertical="center" wrapText="1"/>
    </xf>
    <xf numFmtId="0" fontId="155" fillId="45" borderId="44" xfId="8733" applyFont="1" applyFill="1" applyBorder="1" applyAlignment="1">
      <alignment horizontal="center" vertical="center" wrapText="1"/>
    </xf>
    <xf numFmtId="9" fontId="163" fillId="48" borderId="13" xfId="8733" applyNumberFormat="1" applyFont="1" applyFill="1" applyBorder="1" applyAlignment="1" applyProtection="1">
      <alignment horizontal="center"/>
      <protection locked="0"/>
    </xf>
    <xf numFmtId="0" fontId="163" fillId="44" borderId="73" xfId="8733" applyFont="1" applyFill="1" applyBorder="1" applyAlignment="1">
      <alignment horizontal="center"/>
    </xf>
    <xf numFmtId="0" fontId="155" fillId="44" borderId="9" xfId="8733" applyFont="1" applyFill="1" applyBorder="1" applyAlignment="1">
      <alignment horizontal="center"/>
    </xf>
    <xf numFmtId="0" fontId="155" fillId="44" borderId="6" xfId="8733" applyFont="1" applyFill="1" applyBorder="1" applyAlignment="1">
      <alignment horizontal="center"/>
    </xf>
    <xf numFmtId="0" fontId="155" fillId="44" borderId="82" xfId="8733" applyFont="1" applyFill="1" applyBorder="1" applyAlignment="1">
      <alignment horizontal="center"/>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9" fontId="155" fillId="48" borderId="9" xfId="8733" applyNumberFormat="1" applyFont="1" applyFill="1" applyBorder="1" applyAlignment="1" applyProtection="1">
      <alignment horizontal="center"/>
      <protection locked="0"/>
    </xf>
    <xf numFmtId="9" fontId="155" fillId="48" borderId="6" xfId="8733" applyNumberFormat="1" applyFont="1" applyFill="1" applyBorder="1" applyAlignment="1" applyProtection="1">
      <alignment horizontal="center"/>
      <protection locked="0"/>
    </xf>
    <xf numFmtId="9" fontId="155" fillId="48" borderId="10" xfId="8733" applyNumberFormat="1" applyFont="1" applyFill="1" applyBorder="1" applyAlignment="1" applyProtection="1">
      <alignment horizontal="center"/>
      <protection locked="0"/>
    </xf>
    <xf numFmtId="0" fontId="155" fillId="44" borderId="10" xfId="8733" applyFont="1" applyFill="1" applyBorder="1" applyAlignment="1">
      <alignment horizontal="center"/>
    </xf>
    <xf numFmtId="1" fontId="167" fillId="48" borderId="3" xfId="8733" applyNumberFormat="1" applyFont="1" applyFill="1" applyBorder="1" applyAlignment="1" applyProtection="1">
      <alignment horizontal="center"/>
      <protection locked="0"/>
    </xf>
    <xf numFmtId="1" fontId="167" fillId="48" borderId="4" xfId="8733" applyNumberFormat="1" applyFont="1" applyFill="1" applyBorder="1" applyAlignment="1" applyProtection="1">
      <alignment horizontal="center"/>
      <protection locked="0"/>
    </xf>
    <xf numFmtId="1" fontId="167" fillId="48" borderId="5" xfId="8733" applyNumberFormat="1" applyFont="1" applyFill="1" applyBorder="1" applyAlignment="1" applyProtection="1">
      <alignment horizontal="center"/>
      <protection locked="0"/>
    </xf>
    <xf numFmtId="1" fontId="155" fillId="44" borderId="3" xfId="8733" applyNumberFormat="1" applyFont="1" applyFill="1" applyBorder="1" applyAlignment="1">
      <alignment horizontal="center"/>
    </xf>
    <xf numFmtId="1" fontId="155" fillId="44" borderId="4" xfId="8733" applyNumberFormat="1" applyFont="1" applyFill="1" applyBorder="1" applyAlignment="1">
      <alignment horizontal="center"/>
    </xf>
    <xf numFmtId="1" fontId="155" fillId="44" borderId="5" xfId="8733" applyNumberFormat="1" applyFont="1" applyFill="1" applyBorder="1" applyAlignment="1">
      <alignment horizontal="center"/>
    </xf>
    <xf numFmtId="9" fontId="155" fillId="44" borderId="3" xfId="8735" applyFont="1" applyFill="1" applyBorder="1" applyAlignment="1">
      <alignment horizontal="center"/>
    </xf>
    <xf numFmtId="9" fontId="155" fillId="44" borderId="4" xfId="8735" applyFont="1" applyFill="1" applyBorder="1" applyAlignment="1">
      <alignment horizontal="center"/>
    </xf>
    <xf numFmtId="9" fontId="155" fillId="44" borderId="81" xfId="8735" applyFont="1" applyFill="1" applyBorder="1" applyAlignment="1">
      <alignment horizontal="center"/>
    </xf>
    <xf numFmtId="0" fontId="164" fillId="48" borderId="72" xfId="8733" applyFont="1" applyFill="1" applyBorder="1" applyAlignment="1" applyProtection="1">
      <alignment horizontal="right"/>
      <protection locked="0"/>
    </xf>
    <xf numFmtId="0" fontId="164" fillId="48" borderId="11" xfId="8733" applyFont="1" applyFill="1" applyBorder="1" applyAlignment="1" applyProtection="1">
      <alignment horizontal="right"/>
      <protection locked="0"/>
    </xf>
    <xf numFmtId="0" fontId="167" fillId="48" borderId="11" xfId="8733" applyFont="1" applyFill="1" applyBorder="1" applyAlignment="1" applyProtection="1">
      <alignment horizontal="center"/>
      <protection locked="0"/>
    </xf>
    <xf numFmtId="1" fontId="167" fillId="48" borderId="11" xfId="8733" applyNumberFormat="1" applyFont="1" applyFill="1" applyBorder="1" applyAlignment="1" applyProtection="1">
      <alignment horizontal="center"/>
      <protection locked="0"/>
    </xf>
    <xf numFmtId="0" fontId="162" fillId="48" borderId="72" xfId="8733" applyFont="1" applyFill="1" applyBorder="1" applyAlignment="1" applyProtection="1">
      <alignment horizontal="right"/>
      <protection locked="0"/>
    </xf>
    <xf numFmtId="0" fontId="162" fillId="48" borderId="11" xfId="8733" applyFont="1" applyFill="1" applyBorder="1" applyAlignment="1" applyProtection="1">
      <alignment horizontal="right"/>
      <protection locked="0"/>
    </xf>
    <xf numFmtId="0" fontId="162" fillId="48" borderId="69" xfId="8733" applyFont="1" applyFill="1" applyBorder="1" applyAlignment="1" applyProtection="1">
      <alignment horizontal="right"/>
      <protection locked="0"/>
    </xf>
    <xf numFmtId="0" fontId="162" fillId="48" borderId="70" xfId="8733" applyFont="1" applyFill="1" applyBorder="1" applyAlignment="1" applyProtection="1">
      <alignment horizontal="right"/>
      <protection locked="0"/>
    </xf>
    <xf numFmtId="0" fontId="167" fillId="48" borderId="70" xfId="8733" applyFont="1" applyFill="1" applyBorder="1" applyAlignment="1" applyProtection="1">
      <alignment horizontal="center"/>
      <protection locked="0"/>
    </xf>
    <xf numFmtId="1" fontId="167" fillId="48" borderId="70" xfId="8733" applyNumberFormat="1" applyFont="1" applyFill="1" applyBorder="1" applyAlignment="1" applyProtection="1">
      <alignment horizontal="center"/>
      <protection locked="0"/>
    </xf>
    <xf numFmtId="9" fontId="155" fillId="44" borderId="94" xfId="8735" applyFont="1" applyFill="1" applyBorder="1" applyAlignment="1">
      <alignment horizontal="center"/>
    </xf>
    <xf numFmtId="9" fontId="155" fillId="44" borderId="86" xfId="8735" applyFont="1" applyFill="1" applyBorder="1" applyAlignment="1">
      <alignment horizontal="center"/>
    </xf>
    <xf numFmtId="9" fontId="155" fillId="44" borderId="85" xfId="8735" applyFont="1" applyFill="1" applyBorder="1" applyAlignment="1">
      <alignment horizontal="center"/>
    </xf>
    <xf numFmtId="1" fontId="167" fillId="48" borderId="94" xfId="8733" applyNumberFormat="1" applyFont="1" applyFill="1" applyBorder="1" applyAlignment="1" applyProtection="1">
      <alignment horizontal="center"/>
      <protection locked="0"/>
    </xf>
    <xf numFmtId="1" fontId="167" fillId="48" borderId="86" xfId="8733" applyNumberFormat="1" applyFont="1" applyFill="1" applyBorder="1" applyAlignment="1" applyProtection="1">
      <alignment horizontal="center"/>
      <protection locked="0"/>
    </xf>
    <xf numFmtId="1" fontId="167" fillId="48" borderId="95" xfId="8733" applyNumberFormat="1" applyFont="1" applyFill="1" applyBorder="1" applyAlignment="1" applyProtection="1">
      <alignment horizontal="center"/>
      <protection locked="0"/>
    </xf>
    <xf numFmtId="0" fontId="156" fillId="45" borderId="67" xfId="8733" applyFont="1" applyFill="1" applyBorder="1" applyAlignment="1">
      <alignment horizontal="center"/>
    </xf>
    <xf numFmtId="0" fontId="156" fillId="45" borderId="68" xfId="8733" applyFont="1" applyFill="1" applyBorder="1" applyAlignment="1">
      <alignment horizontal="center"/>
    </xf>
    <xf numFmtId="0" fontId="156" fillId="45" borderId="71" xfId="8733" applyFont="1" applyFill="1" applyBorder="1" applyAlignment="1">
      <alignment horizontal="center"/>
    </xf>
    <xf numFmtId="0" fontId="163" fillId="45" borderId="72" xfId="8733" applyFont="1" applyFill="1" applyBorder="1" applyAlignment="1">
      <alignment horizontal="center"/>
    </xf>
    <xf numFmtId="0" fontId="163" fillId="45" borderId="11" xfId="8733" applyFont="1" applyFill="1" applyBorder="1" applyAlignment="1">
      <alignment horizontal="center"/>
    </xf>
    <xf numFmtId="0" fontId="155" fillId="45" borderId="11" xfId="8733" applyFont="1" applyFill="1" applyBorder="1" applyAlignment="1">
      <alignment horizontal="center" vertical="center" wrapText="1"/>
    </xf>
    <xf numFmtId="0" fontId="155" fillId="45" borderId="76" xfId="8733" applyFont="1" applyFill="1" applyBorder="1" applyAlignment="1">
      <alignment horizontal="center" vertical="center" wrapText="1"/>
    </xf>
    <xf numFmtId="0" fontId="162" fillId="48" borderId="11" xfId="8733" applyFont="1" applyFill="1" applyBorder="1" applyAlignment="1" applyProtection="1">
      <alignment horizontal="center"/>
      <protection locked="0"/>
    </xf>
    <xf numFmtId="168" fontId="162" fillId="48" borderId="11" xfId="8734" applyNumberFormat="1" applyFont="1" applyFill="1" applyBorder="1" applyAlignment="1" applyProtection="1">
      <alignment horizontal="center"/>
      <protection locked="0"/>
    </xf>
    <xf numFmtId="1" fontId="162" fillId="48" borderId="11" xfId="8733" applyNumberFormat="1" applyFont="1" applyFill="1" applyBorder="1" applyAlignment="1" applyProtection="1">
      <alignment horizontal="center"/>
      <protection locked="0"/>
    </xf>
    <xf numFmtId="0" fontId="162" fillId="48" borderId="11" xfId="700" applyNumberFormat="1" applyFont="1" applyFill="1" applyBorder="1" applyAlignment="1" applyProtection="1">
      <alignment horizontal="left"/>
      <protection locked="0"/>
    </xf>
    <xf numFmtId="0" fontId="162" fillId="48" borderId="76" xfId="700" applyNumberFormat="1" applyFont="1" applyFill="1" applyBorder="1" applyAlignment="1" applyProtection="1">
      <alignment horizontal="left"/>
      <protection locked="0"/>
    </xf>
    <xf numFmtId="0" fontId="156" fillId="45" borderId="65" xfId="8733" applyFont="1" applyFill="1" applyBorder="1" applyAlignment="1">
      <alignment horizontal="center"/>
    </xf>
    <xf numFmtId="0" fontId="156" fillId="45" borderId="29" xfId="8733" applyFont="1" applyFill="1" applyBorder="1" applyAlignment="1">
      <alignment horizontal="center"/>
    </xf>
    <xf numFmtId="0" fontId="156" fillId="45" borderId="31" xfId="8733" applyFont="1" applyFill="1" applyBorder="1" applyAlignment="1">
      <alignment horizontal="center"/>
    </xf>
    <xf numFmtId="0" fontId="162" fillId="44" borderId="72" xfId="8733" applyFont="1" applyFill="1" applyBorder="1" applyAlignment="1" applyProtection="1">
      <alignment horizontal="right"/>
      <protection locked="0"/>
    </xf>
    <xf numFmtId="0" fontId="162" fillId="44" borderId="11" xfId="8733" applyFont="1" applyFill="1" applyBorder="1" applyAlignment="1" applyProtection="1">
      <alignment horizontal="right"/>
      <protection locked="0"/>
    </xf>
    <xf numFmtId="0" fontId="162" fillId="44" borderId="76" xfId="8733" applyFont="1" applyFill="1" applyBorder="1" applyAlignment="1" applyProtection="1">
      <alignment horizontal="right"/>
      <protection locked="0"/>
    </xf>
    <xf numFmtId="0" fontId="162" fillId="48" borderId="5" xfId="8733" applyFont="1" applyFill="1" applyBorder="1" applyAlignment="1" applyProtection="1">
      <alignment horizontal="left"/>
      <protection locked="0"/>
    </xf>
    <xf numFmtId="0" fontId="162" fillId="48" borderId="11" xfId="8733" applyFont="1" applyFill="1" applyBorder="1" applyAlignment="1" applyProtection="1">
      <alignment horizontal="left"/>
      <protection locked="0"/>
    </xf>
    <xf numFmtId="0" fontId="162" fillId="48" borderId="76" xfId="8733" applyFont="1" applyFill="1" applyBorder="1" applyAlignment="1" applyProtection="1">
      <alignment horizontal="left"/>
      <protection locked="0"/>
    </xf>
    <xf numFmtId="0" fontId="163" fillId="45" borderId="69" xfId="8733" applyFont="1" applyFill="1" applyBorder="1" applyAlignment="1">
      <alignment horizontal="center"/>
    </xf>
    <xf numFmtId="0" fontId="163" fillId="45" borderId="70" xfId="8733" applyFont="1" applyFill="1" applyBorder="1" applyAlignment="1">
      <alignment horizontal="center"/>
    </xf>
    <xf numFmtId="168" fontId="163" fillId="45" borderId="70" xfId="8734" applyNumberFormat="1" applyFont="1" applyFill="1" applyBorder="1" applyAlignment="1">
      <alignment horizontal="center"/>
    </xf>
    <xf numFmtId="1" fontId="163" fillId="45" borderId="70" xfId="8734" applyNumberFormat="1" applyFont="1" applyFill="1" applyBorder="1" applyAlignment="1">
      <alignment horizontal="center"/>
    </xf>
    <xf numFmtId="0" fontId="163" fillId="45" borderId="70" xfId="8734" applyNumberFormat="1" applyFont="1" applyFill="1" applyBorder="1" applyAlignment="1">
      <alignment horizontal="center"/>
    </xf>
    <xf numFmtId="0" fontId="163" fillId="45" borderId="77" xfId="8734" applyNumberFormat="1" applyFont="1" applyFill="1" applyBorder="1" applyAlignment="1">
      <alignment horizontal="center"/>
    </xf>
    <xf numFmtId="0" fontId="159" fillId="48" borderId="74" xfId="8733" applyFont="1" applyFill="1" applyBorder="1" applyAlignment="1" applyProtection="1">
      <alignment horizontal="left"/>
      <protection locked="0"/>
    </xf>
    <xf numFmtId="0" fontId="159" fillId="48" borderId="68" xfId="8733" applyFont="1" applyFill="1" applyBorder="1" applyAlignment="1" applyProtection="1">
      <alignment horizontal="left"/>
      <protection locked="0"/>
    </xf>
    <xf numFmtId="0" fontId="159" fillId="48" borderId="71" xfId="8733" applyFont="1" applyFill="1" applyBorder="1" applyAlignment="1" applyProtection="1">
      <alignment horizontal="left"/>
      <protection locked="0"/>
    </xf>
    <xf numFmtId="0" fontId="156" fillId="45" borderId="72" xfId="8733" applyFont="1" applyFill="1" applyBorder="1" applyAlignment="1">
      <alignment horizontal="center"/>
    </xf>
    <xf numFmtId="0" fontId="156" fillId="45" borderId="11" xfId="8733" applyFont="1" applyFill="1" applyBorder="1" applyAlignment="1">
      <alignment horizontal="center"/>
    </xf>
    <xf numFmtId="0" fontId="156" fillId="45" borderId="3" xfId="8733" applyFont="1" applyFill="1" applyBorder="1" applyAlignment="1">
      <alignment horizontal="center"/>
    </xf>
    <xf numFmtId="0" fontId="156" fillId="45" borderId="4" xfId="8733" applyFont="1" applyFill="1" applyBorder="1" applyAlignment="1">
      <alignment horizontal="center"/>
    </xf>
    <xf numFmtId="0" fontId="156" fillId="45" borderId="81" xfId="8733" applyFont="1" applyFill="1" applyBorder="1" applyAlignment="1">
      <alignment horizontal="center"/>
    </xf>
    <xf numFmtId="0" fontId="92" fillId="45" borderId="69" xfId="8733" applyFont="1" applyFill="1" applyBorder="1" applyAlignment="1">
      <alignment horizontal="center"/>
    </xf>
    <xf numFmtId="0" fontId="92" fillId="45" borderId="70" xfId="8733" applyFont="1" applyFill="1" applyBorder="1" applyAlignment="1">
      <alignment horizontal="center"/>
    </xf>
    <xf numFmtId="0" fontId="162" fillId="44" borderId="69" xfId="8733" applyFont="1" applyFill="1" applyBorder="1" applyAlignment="1" applyProtection="1">
      <alignment horizontal="right"/>
      <protection locked="0"/>
    </xf>
    <xf numFmtId="0" fontId="162" fillId="44" borderId="70" xfId="8733" applyFont="1" applyFill="1" applyBorder="1" applyAlignment="1" applyProtection="1">
      <alignment horizontal="right"/>
      <protection locked="0"/>
    </xf>
    <xf numFmtId="0" fontId="162" fillId="44" borderId="77" xfId="8733" applyFont="1" applyFill="1" applyBorder="1" applyAlignment="1" applyProtection="1">
      <alignment horizontal="right"/>
      <protection locked="0"/>
    </xf>
    <xf numFmtId="0" fontId="162" fillId="48" borderId="95" xfId="8733" applyFont="1" applyFill="1" applyBorder="1" applyAlignment="1" applyProtection="1">
      <alignment horizontal="left"/>
      <protection locked="0"/>
    </xf>
    <xf numFmtId="0" fontId="162" fillId="48" borderId="70" xfId="8733" applyFont="1" applyFill="1" applyBorder="1" applyAlignment="1" applyProtection="1">
      <alignment horizontal="left"/>
      <protection locked="0"/>
    </xf>
    <xf numFmtId="0" fontId="162" fillId="48" borderId="77" xfId="8733" applyFont="1" applyFill="1" applyBorder="1" applyAlignment="1" applyProtection="1">
      <alignment horizontal="left"/>
      <protection locked="0"/>
    </xf>
    <xf numFmtId="168" fontId="164" fillId="48" borderId="11" xfId="700" applyNumberFormat="1" applyFont="1" applyFill="1" applyBorder="1" applyAlignment="1" applyProtection="1">
      <alignment horizontal="left"/>
      <protection locked="0"/>
    </xf>
    <xf numFmtId="168" fontId="164" fillId="48" borderId="76" xfId="700" applyNumberFormat="1" applyFont="1" applyFill="1" applyBorder="1" applyAlignment="1" applyProtection="1">
      <alignment horizontal="left"/>
      <protection locked="0"/>
    </xf>
    <xf numFmtId="0" fontId="162" fillId="48" borderId="68" xfId="8733" applyFont="1" applyFill="1" applyBorder="1" applyAlignment="1" applyProtection="1">
      <alignment horizontal="left"/>
      <protection locked="0"/>
    </xf>
    <xf numFmtId="0" fontId="162" fillId="48" borderId="71" xfId="8733" applyFont="1" applyFill="1" applyBorder="1" applyAlignment="1" applyProtection="1">
      <alignment horizontal="left"/>
      <protection locked="0"/>
    </xf>
    <xf numFmtId="0" fontId="156" fillId="45" borderId="69" xfId="8733" applyFont="1" applyFill="1" applyBorder="1" applyAlignment="1">
      <alignment horizontal="center"/>
    </xf>
    <xf numFmtId="0" fontId="156" fillId="45" borderId="70" xfId="8733" applyFont="1" applyFill="1" applyBorder="1" applyAlignment="1">
      <alignment horizontal="center"/>
    </xf>
    <xf numFmtId="0" fontId="92" fillId="45" borderId="67" xfId="8733" applyFont="1" applyFill="1" applyBorder="1" applyAlignment="1">
      <alignment horizontal="center"/>
    </xf>
    <xf numFmtId="0" fontId="92" fillId="45" borderId="68" xfId="8733" applyFont="1" applyFill="1" applyBorder="1" applyAlignment="1">
      <alignment horizontal="center"/>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63" fillId="45" borderId="97" xfId="8733" applyFont="1" applyFill="1" applyBorder="1" applyAlignment="1">
      <alignment horizontal="left"/>
    </xf>
    <xf numFmtId="0" fontId="163" fillId="45" borderId="2"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63" fillId="45" borderId="73" xfId="8733" applyFont="1" applyFill="1" applyBorder="1" applyAlignment="1">
      <alignment horizontal="left"/>
    </xf>
    <xf numFmtId="0" fontId="163" fillId="45" borderId="42" xfId="8733" applyFont="1" applyFill="1" applyBorder="1" applyAlignment="1">
      <alignment horizontal="left"/>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92" fillId="45" borderId="67" xfId="8733" applyFont="1" applyFill="1" applyBorder="1" applyAlignment="1">
      <alignment horizontal="center" wrapText="1"/>
    </xf>
    <xf numFmtId="0" fontId="92" fillId="45" borderId="68" xfId="8733" applyFont="1" applyFill="1" applyBorder="1" applyAlignment="1">
      <alignment horizontal="center" wrapText="1"/>
    </xf>
    <xf numFmtId="0" fontId="92" fillId="45" borderId="71" xfId="8733" applyFont="1" applyFill="1" applyBorder="1" applyAlignment="1">
      <alignment horizontal="center" wrapText="1"/>
    </xf>
    <xf numFmtId="0" fontId="156" fillId="45" borderId="98" xfId="8733" applyFont="1" applyFill="1" applyBorder="1" applyAlignment="1">
      <alignment horizontal="center"/>
    </xf>
    <xf numFmtId="0" fontId="156" fillId="45" borderId="13" xfId="8733" applyFont="1" applyFill="1" applyBorder="1" applyAlignment="1">
      <alignment horizontal="center"/>
    </xf>
    <xf numFmtId="0" fontId="162" fillId="48" borderId="72" xfId="8733" applyFont="1" applyFill="1" applyBorder="1" applyAlignment="1" applyProtection="1">
      <alignment horizontal="left" vertical="top"/>
      <protection locked="0"/>
    </xf>
    <xf numFmtId="0" fontId="162" fillId="48" borderId="11" xfId="8733" applyFont="1" applyFill="1" applyBorder="1" applyAlignment="1" applyProtection="1">
      <alignment horizontal="left" vertical="top"/>
      <protection locked="0"/>
    </xf>
    <xf numFmtId="0" fontId="162" fillId="48" borderId="76" xfId="8733" applyFont="1" applyFill="1" applyBorder="1" applyAlignment="1" applyProtection="1">
      <alignment horizontal="left" vertical="top"/>
      <protection locked="0"/>
    </xf>
    <xf numFmtId="0" fontId="162" fillId="48" borderId="69" xfId="8733" applyFont="1" applyFill="1" applyBorder="1" applyAlignment="1" applyProtection="1">
      <alignment horizontal="left" vertical="top"/>
      <protection locked="0"/>
    </xf>
    <xf numFmtId="0" fontId="162" fillId="48" borderId="70" xfId="8733" applyFont="1" applyFill="1" applyBorder="1" applyAlignment="1" applyProtection="1">
      <alignment horizontal="left" vertical="top"/>
      <protection locked="0"/>
    </xf>
    <xf numFmtId="0" fontId="162" fillId="48" borderId="77" xfId="8733" applyFont="1" applyFill="1" applyBorder="1" applyAlignment="1" applyProtection="1">
      <alignment horizontal="left" vertical="top"/>
      <protection locked="0"/>
    </xf>
    <xf numFmtId="0" fontId="162" fillId="48" borderId="72" xfId="8733" applyFont="1" applyFill="1" applyBorder="1" applyAlignment="1" applyProtection="1">
      <alignment horizontal="center"/>
      <protection locked="0"/>
    </xf>
    <xf numFmtId="0" fontId="156" fillId="45" borderId="89" xfId="8733" applyFont="1" applyFill="1" applyBorder="1" applyAlignment="1">
      <alignment horizontal="right"/>
    </xf>
    <xf numFmtId="0" fontId="156" fillId="45" borderId="43" xfId="8733" applyFont="1" applyFill="1" applyBorder="1" applyAlignment="1">
      <alignment horizontal="right"/>
    </xf>
    <xf numFmtId="168" fontId="156" fillId="45" borderId="43" xfId="8733" applyNumberFormat="1" applyFont="1" applyFill="1" applyBorder="1" applyAlignment="1">
      <alignment horizontal="left"/>
    </xf>
    <xf numFmtId="168" fontId="156" fillId="45" borderId="88" xfId="8733" applyNumberFormat="1"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92" fillId="45" borderId="67" xfId="8733" applyFont="1" applyFill="1" applyBorder="1" applyAlignment="1">
      <alignment horizontal="left" wrapText="1"/>
    </xf>
    <xf numFmtId="0" fontId="92" fillId="45" borderId="68" xfId="8733" applyFont="1" applyFill="1" applyBorder="1" applyAlignment="1">
      <alignment horizontal="left" wrapText="1"/>
    </xf>
    <xf numFmtId="0" fontId="92" fillId="45" borderId="72" xfId="8733" applyFont="1" applyFill="1" applyBorder="1" applyAlignment="1">
      <alignment horizontal="left" wrapText="1"/>
    </xf>
    <xf numFmtId="0" fontId="92" fillId="45" borderId="11" xfId="8733" applyFont="1" applyFill="1" applyBorder="1" applyAlignment="1">
      <alignment horizontal="left" wrapText="1"/>
    </xf>
    <xf numFmtId="0" fontId="159" fillId="48" borderId="68" xfId="8733" applyFont="1" applyFill="1" applyBorder="1" applyAlignment="1" applyProtection="1">
      <alignment horizontal="left" wrapText="1"/>
      <protection locked="0"/>
    </xf>
    <xf numFmtId="0" fontId="159" fillId="48" borderId="71" xfId="8733" applyFont="1" applyFill="1" applyBorder="1" applyAlignment="1" applyProtection="1">
      <alignment horizontal="left" wrapText="1"/>
      <protection locked="0"/>
    </xf>
    <xf numFmtId="0" fontId="159" fillId="48" borderId="11" xfId="8733" applyFont="1" applyFill="1" applyBorder="1" applyAlignment="1" applyProtection="1">
      <alignment horizontal="left" wrapText="1"/>
      <protection locked="0"/>
    </xf>
    <xf numFmtId="0" fontId="159" fillId="48" borderId="76" xfId="8733" applyFont="1" applyFill="1" applyBorder="1" applyAlignment="1" applyProtection="1">
      <alignment horizontal="left" wrapText="1"/>
      <protection locked="0"/>
    </xf>
    <xf numFmtId="0" fontId="163" fillId="45" borderId="11" xfId="8733" applyFont="1" applyFill="1" applyBorder="1" applyAlignment="1">
      <alignment horizontal="center" wrapText="1"/>
    </xf>
    <xf numFmtId="0" fontId="155" fillId="45" borderId="11" xfId="8733" applyFont="1" applyFill="1" applyBorder="1" applyAlignment="1">
      <alignment horizontal="center"/>
    </xf>
    <xf numFmtId="0" fontId="155" fillId="45" borderId="76" xfId="8733" applyFont="1" applyFill="1" applyBorder="1" applyAlignment="1">
      <alignment horizontal="center"/>
    </xf>
    <xf numFmtId="0" fontId="163" fillId="45" borderId="7" xfId="8733" applyFont="1" applyFill="1" applyBorder="1" applyAlignment="1">
      <alignment horizontal="left"/>
    </xf>
    <xf numFmtId="0" fontId="163" fillId="45" borderId="96"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59" fillId="48" borderId="3" xfId="8733" applyFont="1" applyFill="1" applyBorder="1" applyAlignment="1" applyProtection="1">
      <alignment horizontal="center"/>
      <protection locked="0"/>
    </xf>
    <xf numFmtId="0" fontId="159" fillId="48" borderId="4" xfId="8733" applyFont="1" applyFill="1" applyBorder="1" applyAlignment="1" applyProtection="1">
      <alignment horizontal="center"/>
      <protection locked="0"/>
    </xf>
    <xf numFmtId="0" fontId="159" fillId="48" borderId="81" xfId="8733" applyFont="1" applyFill="1" applyBorder="1" applyAlignment="1" applyProtection="1">
      <alignment horizontal="center"/>
      <protection locked="0"/>
    </xf>
    <xf numFmtId="0" fontId="92" fillId="45" borderId="71" xfId="8733" applyFont="1" applyFill="1" applyBorder="1" applyAlignment="1">
      <alignment horizontal="center"/>
    </xf>
    <xf numFmtId="0" fontId="169" fillId="45" borderId="11" xfId="8733" applyFont="1" applyFill="1" applyBorder="1" applyAlignment="1">
      <alignment horizontal="left"/>
    </xf>
    <xf numFmtId="0" fontId="169" fillId="45" borderId="76" xfId="8733" applyFont="1" applyFill="1" applyBorder="1" applyAlignment="1">
      <alignment horizontal="left"/>
    </xf>
    <xf numFmtId="0" fontId="166" fillId="45" borderId="72" xfId="8733" applyFont="1" applyFill="1" applyBorder="1" applyAlignment="1">
      <alignment horizontal="left"/>
    </xf>
    <xf numFmtId="0" fontId="166" fillId="45" borderId="11" xfId="8733" applyFont="1" applyFill="1" applyBorder="1" applyAlignment="1">
      <alignment horizontal="left"/>
    </xf>
    <xf numFmtId="0" fontId="166" fillId="45" borderId="69" xfId="8733" applyFont="1" applyFill="1" applyBorder="1" applyAlignment="1">
      <alignment horizontal="left"/>
    </xf>
    <xf numFmtId="0" fontId="166" fillId="45" borderId="70"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92" fillId="45" borderId="67" xfId="8733" applyFont="1" applyFill="1" applyBorder="1" applyAlignment="1" applyProtection="1">
      <alignment horizontal="left" vertical="center" wrapText="1"/>
      <protection locked="0"/>
    </xf>
    <xf numFmtId="0" fontId="92" fillId="45" borderId="68" xfId="8733" applyFont="1" applyFill="1" applyBorder="1" applyAlignment="1" applyProtection="1">
      <alignment horizontal="left" vertical="center" wrapText="1"/>
      <protection locked="0"/>
    </xf>
    <xf numFmtId="0" fontId="92" fillId="45" borderId="72" xfId="8733" applyFont="1" applyFill="1" applyBorder="1" applyAlignment="1" applyProtection="1">
      <alignment horizontal="left" vertical="center" wrapText="1"/>
      <protection locked="0"/>
    </xf>
    <xf numFmtId="0" fontId="92" fillId="45" borderId="11" xfId="8733" applyFont="1" applyFill="1" applyBorder="1" applyAlignment="1" applyProtection="1">
      <alignment horizontal="left" vertical="center" wrapText="1"/>
      <protection locked="0"/>
    </xf>
    <xf numFmtId="0" fontId="159" fillId="48" borderId="68" xfId="8733" applyFont="1" applyFill="1" applyBorder="1" applyAlignment="1" applyProtection="1">
      <alignment horizontal="left" vertical="center" wrapText="1"/>
      <protection locked="0"/>
    </xf>
    <xf numFmtId="0" fontId="159" fillId="48" borderId="71" xfId="8733" applyFont="1" applyFill="1" applyBorder="1" applyAlignment="1" applyProtection="1">
      <alignment horizontal="left" vertical="center" wrapText="1"/>
      <protection locked="0"/>
    </xf>
    <xf numFmtId="0" fontId="159" fillId="48" borderId="11" xfId="8733" applyFont="1" applyFill="1" applyBorder="1" applyAlignment="1" applyProtection="1">
      <alignment horizontal="left" vertical="center" wrapText="1"/>
      <protection locked="0"/>
    </xf>
    <xf numFmtId="0" fontId="159" fillId="48" borderId="76" xfId="8733" applyFont="1" applyFill="1" applyBorder="1" applyAlignment="1" applyProtection="1">
      <alignment horizontal="left" vertical="center" wrapText="1"/>
      <protection locked="0"/>
    </xf>
    <xf numFmtId="0" fontId="162" fillId="48" borderId="72" xfId="8733" applyFont="1" applyFill="1" applyBorder="1" applyAlignment="1" applyProtection="1">
      <alignment horizontal="left" vertical="top" wrapText="1"/>
      <protection locked="0"/>
    </xf>
    <xf numFmtId="0" fontId="162" fillId="48" borderId="11" xfId="8733" applyFont="1" applyFill="1" applyBorder="1" applyAlignment="1" applyProtection="1">
      <alignment horizontal="left" vertical="top" wrapText="1"/>
      <protection locked="0"/>
    </xf>
    <xf numFmtId="0" fontId="162" fillId="48" borderId="69" xfId="8733" applyFont="1" applyFill="1" applyBorder="1" applyAlignment="1" applyProtection="1">
      <alignment horizontal="left" vertical="top" wrapText="1"/>
      <protection locked="0"/>
    </xf>
    <xf numFmtId="0" fontId="162" fillId="48" borderId="70" xfId="8733" applyFont="1" applyFill="1" applyBorder="1" applyAlignment="1" applyProtection="1">
      <alignment horizontal="left" vertical="top" wrapText="1"/>
      <protection locked="0"/>
    </xf>
    <xf numFmtId="0" fontId="159" fillId="48" borderId="11" xfId="8733" applyFont="1" applyFill="1" applyBorder="1" applyAlignment="1" applyProtection="1">
      <alignment horizontal="center" vertical="center" wrapText="1"/>
      <protection locked="0"/>
    </xf>
    <xf numFmtId="0" fontId="159" fillId="48" borderId="76" xfId="8733" applyFont="1" applyFill="1" applyBorder="1" applyAlignment="1" applyProtection="1">
      <alignment horizontal="center" vertical="center" wrapText="1"/>
      <protection locked="0"/>
    </xf>
    <xf numFmtId="0" fontId="159" fillId="48" borderId="70" xfId="8733" applyFont="1" applyFill="1" applyBorder="1" applyAlignment="1" applyProtection="1">
      <alignment horizontal="center" vertical="center" wrapText="1"/>
      <protection locked="0"/>
    </xf>
    <xf numFmtId="0" fontId="159" fillId="48" borderId="77" xfId="8733" applyFont="1" applyFill="1" applyBorder="1" applyAlignment="1" applyProtection="1">
      <alignment horizontal="center" vertical="center" wrapText="1"/>
      <protection locked="0"/>
    </xf>
    <xf numFmtId="0" fontId="92" fillId="45" borderId="71" xfId="8733" applyFont="1" applyFill="1" applyBorder="1" applyAlignment="1">
      <alignment horizontal="left" wrapText="1"/>
    </xf>
    <xf numFmtId="0" fontId="92" fillId="45" borderId="76" xfId="8733" applyFont="1" applyFill="1" applyBorder="1" applyAlignment="1">
      <alignment horizontal="left" wrapText="1"/>
    </xf>
    <xf numFmtId="0" fontId="92" fillId="45" borderId="65" xfId="8733" applyFont="1" applyFill="1" applyBorder="1" applyAlignment="1">
      <alignment horizontal="center"/>
    </xf>
    <xf numFmtId="0" fontId="92" fillId="45" borderId="29" xfId="8733" applyFont="1" applyFill="1" applyBorder="1" applyAlignment="1">
      <alignment horizontal="center"/>
    </xf>
    <xf numFmtId="0" fontId="92" fillId="45" borderId="31" xfId="8733" applyFont="1" applyFill="1" applyBorder="1" applyAlignment="1">
      <alignment horizontal="center"/>
    </xf>
    <xf numFmtId="0" fontId="155" fillId="48" borderId="90" xfId="8733" applyFont="1" applyFill="1" applyBorder="1" applyAlignment="1">
      <alignment horizontal="left"/>
    </xf>
    <xf numFmtId="0" fontId="155" fillId="48" borderId="4" xfId="8733" applyFont="1" applyFill="1" applyBorder="1" applyAlignment="1">
      <alignment horizontal="left"/>
    </xf>
    <xf numFmtId="0" fontId="155" fillId="48" borderId="5" xfId="8733" applyFont="1" applyFill="1" applyBorder="1" applyAlignment="1">
      <alignment horizontal="left"/>
    </xf>
    <xf numFmtId="0" fontId="155" fillId="45" borderId="72" xfId="8733" applyFont="1" applyFill="1" applyBorder="1" applyAlignment="1">
      <alignment horizontal="left"/>
    </xf>
    <xf numFmtId="0" fontId="155" fillId="45" borderId="11" xfId="8733" applyFont="1" applyFill="1" applyBorder="1" applyAlignment="1">
      <alignment horizontal="left"/>
    </xf>
    <xf numFmtId="0" fontId="167" fillId="48" borderId="11" xfId="8733" applyFont="1" applyFill="1" applyBorder="1" applyAlignment="1" applyProtection="1">
      <alignment horizontal="left"/>
      <protection locked="0"/>
    </xf>
    <xf numFmtId="0" fontId="167" fillId="48" borderId="76" xfId="8733" applyFont="1" applyFill="1" applyBorder="1" applyAlignment="1" applyProtection="1">
      <alignment horizontal="left"/>
      <protection locked="0"/>
    </xf>
    <xf numFmtId="0" fontId="164" fillId="48" borderId="72" xfId="8733" applyFont="1" applyFill="1" applyBorder="1" applyAlignment="1" applyProtection="1">
      <alignment horizontal="left" vertical="top"/>
      <protection locked="0"/>
    </xf>
    <xf numFmtId="0" fontId="164" fillId="48" borderId="11" xfId="8733" applyFont="1" applyFill="1" applyBorder="1" applyAlignment="1" applyProtection="1">
      <alignment horizontal="left" vertical="top"/>
      <protection locked="0"/>
    </xf>
    <xf numFmtId="0" fontId="164" fillId="48" borderId="76" xfId="8733" applyFont="1" applyFill="1" applyBorder="1" applyAlignment="1" applyProtection="1">
      <alignment horizontal="left" vertical="top"/>
      <protection locked="0"/>
    </xf>
    <xf numFmtId="0" fontId="164" fillId="48" borderId="69" xfId="8733" applyFont="1" applyFill="1" applyBorder="1" applyAlignment="1" applyProtection="1">
      <alignment horizontal="left" vertical="top"/>
      <protection locked="0"/>
    </xf>
    <xf numFmtId="0" fontId="164" fillId="48" borderId="70" xfId="8733" applyFont="1" applyFill="1" applyBorder="1" applyAlignment="1" applyProtection="1">
      <alignment horizontal="left" vertical="top"/>
      <protection locked="0"/>
    </xf>
    <xf numFmtId="0" fontId="164" fillId="48" borderId="77" xfId="8733" applyFont="1" applyFill="1" applyBorder="1" applyAlignment="1" applyProtection="1">
      <alignment horizontal="left" vertical="top"/>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92" fillId="45" borderId="72" xfId="8733" applyFont="1" applyFill="1" applyBorder="1" applyAlignment="1">
      <alignment horizontal="center"/>
    </xf>
    <xf numFmtId="0" fontId="92" fillId="45" borderId="11" xfId="8733" applyFont="1" applyFill="1" applyBorder="1" applyAlignment="1">
      <alignment horizontal="center"/>
    </xf>
    <xf numFmtId="0" fontId="155" fillId="45" borderId="11" xfId="8733" applyFont="1" applyFill="1" applyBorder="1" applyAlignment="1">
      <alignment horizontal="center" wrapText="1"/>
    </xf>
    <xf numFmtId="0" fontId="155" fillId="45" borderId="76" xfId="8733" applyFont="1" applyFill="1" applyBorder="1" applyAlignment="1">
      <alignment horizontal="center" wrapText="1"/>
    </xf>
    <xf numFmtId="0" fontId="161" fillId="45" borderId="72" xfId="8733" applyFont="1" applyFill="1" applyBorder="1" applyAlignment="1">
      <alignment horizontal="center"/>
    </xf>
    <xf numFmtId="0" fontId="161" fillId="45" borderId="11" xfId="8733" applyFont="1" applyFill="1" applyBorder="1" applyAlignment="1">
      <alignment horizontal="center"/>
    </xf>
    <xf numFmtId="0" fontId="164" fillId="48" borderId="11" xfId="8733" applyFont="1" applyFill="1" applyBorder="1" applyAlignment="1" applyProtection="1">
      <alignment horizontal="center"/>
      <protection locked="0"/>
    </xf>
    <xf numFmtId="14" fontId="162" fillId="48" borderId="11" xfId="8733" applyNumberFormat="1" applyFont="1" applyFill="1" applyBorder="1" applyAlignment="1" applyProtection="1">
      <alignment horizontal="center"/>
      <protection locked="0"/>
    </xf>
    <xf numFmtId="14" fontId="164" fillId="48" borderId="11" xfId="8733" applyNumberFormat="1" applyFont="1" applyFill="1" applyBorder="1" applyAlignment="1" applyProtection="1">
      <alignment horizontal="center"/>
      <protection locked="0"/>
    </xf>
    <xf numFmtId="0" fontId="92" fillId="45" borderId="76" xfId="8733" applyFont="1" applyFill="1" applyBorder="1" applyAlignment="1">
      <alignment horizontal="center"/>
    </xf>
    <xf numFmtId="168" fontId="164" fillId="48" borderId="11" xfId="8734" applyNumberFormat="1" applyFont="1" applyFill="1" applyBorder="1" applyAlignment="1" applyProtection="1">
      <alignment horizontal="center"/>
      <protection locked="0"/>
    </xf>
    <xf numFmtId="168" fontId="164" fillId="48" borderId="76" xfId="8734" applyNumberFormat="1" applyFont="1" applyFill="1" applyBorder="1" applyAlignment="1" applyProtection="1">
      <alignment horizontal="center"/>
      <protection locked="0"/>
    </xf>
    <xf numFmtId="0" fontId="165" fillId="48" borderId="11" xfId="8733" applyFont="1" applyFill="1" applyBorder="1" applyAlignment="1" applyProtection="1">
      <alignment horizontal="left"/>
      <protection locked="0"/>
    </xf>
    <xf numFmtId="0" fontId="161" fillId="45" borderId="69" xfId="8733" applyFont="1" applyFill="1" applyBorder="1" applyAlignment="1">
      <alignment horizontal="center"/>
    </xf>
    <xf numFmtId="0" fontId="161" fillId="45" borderId="70" xfId="8733" applyFont="1" applyFill="1" applyBorder="1" applyAlignment="1">
      <alignment horizontal="center"/>
    </xf>
    <xf numFmtId="0" fontId="165" fillId="48" borderId="70" xfId="8733" applyFont="1" applyFill="1" applyBorder="1" applyAlignment="1" applyProtection="1">
      <alignment horizontal="left"/>
      <protection locked="0"/>
    </xf>
    <xf numFmtId="0" fontId="164" fillId="48" borderId="70" xfId="8733" applyFont="1" applyFill="1" applyBorder="1" applyAlignment="1" applyProtection="1">
      <alignment horizontal="center"/>
      <protection locked="0"/>
    </xf>
    <xf numFmtId="14" fontId="164" fillId="48" borderId="70" xfId="8733" applyNumberFormat="1" applyFont="1" applyFill="1" applyBorder="1" applyAlignment="1" applyProtection="1">
      <alignment horizontal="center"/>
      <protection locked="0"/>
    </xf>
    <xf numFmtId="168" fontId="164" fillId="48" borderId="70" xfId="8734" applyNumberFormat="1" applyFont="1" applyFill="1" applyBorder="1" applyAlignment="1" applyProtection="1">
      <alignment horizontal="center"/>
      <protection locked="0"/>
    </xf>
    <xf numFmtId="168" fontId="164" fillId="48" borderId="77" xfId="8734" applyNumberFormat="1" applyFont="1" applyFill="1" applyBorder="1" applyAlignment="1" applyProtection="1">
      <alignment horizontal="center"/>
      <protection locked="0"/>
    </xf>
    <xf numFmtId="0" fontId="156" fillId="45" borderId="67" xfId="8733" applyFont="1" applyFill="1" applyBorder="1" applyAlignment="1">
      <alignment horizontal="left"/>
    </xf>
    <xf numFmtId="0" fontId="156" fillId="45" borderId="68" xfId="8733" applyFont="1" applyFill="1" applyBorder="1" applyAlignment="1">
      <alignment horizontal="left"/>
    </xf>
    <xf numFmtId="0" fontId="156" fillId="45" borderId="71" xfId="8733" applyFont="1" applyFill="1" applyBorder="1" applyAlignment="1">
      <alignment horizontal="left"/>
    </xf>
    <xf numFmtId="14" fontId="162" fillId="48" borderId="76" xfId="8733" applyNumberFormat="1" applyFont="1" applyFill="1" applyBorder="1" applyAlignment="1" applyProtection="1">
      <alignment horizontal="center"/>
      <protection locked="0"/>
    </xf>
    <xf numFmtId="0" fontId="162" fillId="48" borderId="69" xfId="8733" applyFont="1" applyFill="1" applyBorder="1" applyAlignment="1" applyProtection="1">
      <alignment horizontal="center"/>
      <protection locked="0"/>
    </xf>
    <xf numFmtId="0" fontId="162" fillId="48" borderId="70" xfId="8733" applyFont="1" applyFill="1" applyBorder="1" applyAlignment="1" applyProtection="1">
      <alignment horizontal="center"/>
      <protection locked="0"/>
    </xf>
    <xf numFmtId="14" fontId="162" fillId="48" borderId="70" xfId="8733" applyNumberFormat="1" applyFont="1" applyFill="1" applyBorder="1" applyAlignment="1" applyProtection="1">
      <alignment horizontal="center"/>
      <protection locked="0"/>
    </xf>
    <xf numFmtId="14" fontId="162" fillId="48" borderId="77" xfId="8733" applyNumberFormat="1" applyFont="1" applyFill="1" applyBorder="1" applyAlignment="1" applyProtection="1">
      <alignment horizontal="center"/>
      <protection locked="0"/>
    </xf>
    <xf numFmtId="0" fontId="162" fillId="45" borderId="72" xfId="8733" applyFont="1" applyFill="1" applyBorder="1" applyAlignment="1">
      <alignment horizontal="right"/>
    </xf>
    <xf numFmtId="0" fontId="162" fillId="45" borderId="11" xfId="8733" applyFont="1" applyFill="1" applyBorder="1" applyAlignment="1">
      <alignment horizontal="right"/>
    </xf>
    <xf numFmtId="168" fontId="164" fillId="44" borderId="11" xfId="700" applyNumberFormat="1" applyFont="1" applyFill="1" applyBorder="1" applyAlignment="1">
      <alignment horizontal="left"/>
    </xf>
    <xf numFmtId="0" fontId="92" fillId="45" borderId="65" xfId="8733" applyFont="1" applyFill="1" applyBorder="1" applyAlignment="1">
      <alignment horizontal="left" wrapText="1"/>
    </xf>
    <xf numFmtId="0" fontId="92" fillId="45" borderId="29" xfId="8733" applyFont="1" applyFill="1" applyBorder="1" applyAlignment="1">
      <alignment horizontal="left" wrapText="1"/>
    </xf>
    <xf numFmtId="0" fontId="92" fillId="45" borderId="31" xfId="8733" applyFont="1" applyFill="1" applyBorder="1" applyAlignment="1">
      <alignment horizontal="left" wrapText="1"/>
    </xf>
    <xf numFmtId="0" fontId="92" fillId="45" borderId="73" xfId="8733" applyFont="1" applyFill="1" applyBorder="1" applyAlignment="1">
      <alignment horizontal="left" wrapText="1"/>
    </xf>
    <xf numFmtId="0" fontId="92" fillId="45" borderId="42" xfId="8733" applyFont="1" applyFill="1" applyBorder="1" applyAlignment="1">
      <alignment horizontal="left" wrapText="1"/>
    </xf>
    <xf numFmtId="0" fontId="92" fillId="45" borderId="44" xfId="8733" applyFont="1" applyFill="1" applyBorder="1" applyAlignment="1">
      <alignment horizontal="left" wrapText="1"/>
    </xf>
    <xf numFmtId="168" fontId="162" fillId="48" borderId="11" xfId="700" applyNumberFormat="1" applyFont="1" applyFill="1" applyBorder="1" applyAlignment="1" applyProtection="1">
      <alignment horizontal="left"/>
      <protection locked="0"/>
    </xf>
    <xf numFmtId="43" fontId="159" fillId="50" borderId="72" xfId="698" applyFont="1" applyFill="1" applyBorder="1" applyAlignment="1" applyProtection="1">
      <alignment horizontal="left"/>
      <protection hidden="1"/>
    </xf>
    <xf numFmtId="43" fontId="159"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2" fillId="47" borderId="0" xfId="8733" applyFont="1" applyFill="1" applyAlignment="1">
      <alignment horizontal="center"/>
    </xf>
    <xf numFmtId="0" fontId="163" fillId="51" borderId="11" xfId="8733" applyFont="1" applyFill="1" applyBorder="1" applyAlignment="1">
      <alignment horizontal="center"/>
    </xf>
    <xf numFmtId="0" fontId="163" fillId="51" borderId="76" xfId="8733" applyFont="1" applyFill="1" applyBorder="1" applyAlignment="1">
      <alignment horizontal="center"/>
    </xf>
    <xf numFmtId="0" fontId="164" fillId="45" borderId="72" xfId="8733" applyFont="1" applyFill="1" applyBorder="1" applyAlignment="1">
      <alignment horizontal="right"/>
    </xf>
    <xf numFmtId="0" fontId="164" fillId="45" borderId="11" xfId="8733" applyFont="1" applyFill="1" applyBorder="1" applyAlignment="1">
      <alignment horizontal="right"/>
    </xf>
    <xf numFmtId="168" fontId="162" fillId="44" borderId="11" xfId="700" applyNumberFormat="1" applyFont="1" applyFill="1" applyBorder="1" applyAlignment="1" applyProtection="1">
      <alignment horizontal="left"/>
      <protection locked="0"/>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43" fontId="156" fillId="50" borderId="111" xfId="698" applyFont="1" applyFill="1" applyBorder="1" applyAlignment="1" applyProtection="1">
      <alignment horizontal="center"/>
      <protection hidden="1"/>
    </xf>
    <xf numFmtId="43" fontId="156" fillId="50" borderId="84" xfId="698" applyFont="1" applyFill="1" applyBorder="1" applyAlignment="1" applyProtection="1">
      <alignment horizontal="center"/>
      <protection hidden="1"/>
    </xf>
    <xf numFmtId="43" fontId="156" fillId="50" borderId="102" xfId="698" applyFont="1" applyFill="1" applyBorder="1" applyAlignment="1" applyProtection="1">
      <alignment horizontal="center"/>
      <protection hidden="1"/>
    </xf>
    <xf numFmtId="43" fontId="159" fillId="50" borderId="98" xfId="698" applyFont="1" applyFill="1" applyBorder="1" applyAlignment="1" applyProtection="1">
      <alignment horizontal="left"/>
      <protection hidden="1"/>
    </xf>
    <xf numFmtId="43" fontId="159"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2" fillId="48" borderId="9" xfId="8733" applyFont="1" applyFill="1" applyBorder="1" applyAlignment="1">
      <alignment horizontal="center"/>
    </xf>
    <xf numFmtId="0" fontId="162" fillId="48" borderId="6" xfId="8733" applyFont="1" applyFill="1" applyBorder="1" applyAlignment="1">
      <alignment horizontal="center"/>
    </xf>
    <xf numFmtId="0" fontId="162" fillId="48" borderId="82" xfId="8733" applyFont="1" applyFill="1" applyBorder="1" applyAlignment="1">
      <alignment horizontal="center"/>
    </xf>
    <xf numFmtId="0" fontId="164" fillId="48" borderId="11"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64" fillId="48" borderId="72" xfId="8733" applyFont="1" applyFill="1" applyBorder="1" applyAlignment="1" applyProtection="1">
      <alignment horizontal="center"/>
      <protection locked="0"/>
    </xf>
    <xf numFmtId="43" fontId="159" fillId="50" borderId="72" xfId="698" applyFont="1" applyFill="1" applyBorder="1" applyAlignment="1" applyProtection="1">
      <alignment horizontal="left" wrapText="1"/>
      <protection hidden="1"/>
    </xf>
    <xf numFmtId="43" fontId="159"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4" fillId="45" borderId="67" xfId="8733" applyFont="1" applyFill="1" applyBorder="1" applyAlignment="1">
      <alignment horizontal="right"/>
    </xf>
    <xf numFmtId="0" fontId="164" fillId="45" borderId="68" xfId="8733" applyFont="1" applyFill="1" applyBorder="1" applyAlignment="1">
      <alignment horizontal="right"/>
    </xf>
    <xf numFmtId="168" fontId="159" fillId="44" borderId="68" xfId="700" applyNumberFormat="1" applyFont="1" applyFill="1" applyBorder="1" applyAlignment="1">
      <alignment horizontal="left"/>
    </xf>
    <xf numFmtId="168" fontId="159" fillId="44" borderId="71" xfId="700" applyNumberFormat="1" applyFont="1" applyFill="1" applyBorder="1" applyAlignment="1">
      <alignment horizontal="left"/>
    </xf>
    <xf numFmtId="0" fontId="161" fillId="48" borderId="66" xfId="8733" applyFont="1" applyFill="1" applyBorder="1" applyAlignment="1">
      <alignment horizontal="left" wrapText="1"/>
    </xf>
    <xf numFmtId="0" fontId="161" fillId="48" borderId="0" xfId="8733" applyFont="1" applyFill="1" applyAlignment="1">
      <alignment horizontal="left" wrapText="1"/>
    </xf>
    <xf numFmtId="0" fontId="161" fillId="48" borderId="41" xfId="8733" applyFont="1" applyFill="1" applyBorder="1" applyAlignment="1">
      <alignment horizontal="left" wrapText="1"/>
    </xf>
    <xf numFmtId="0" fontId="161" fillId="48" borderId="73" xfId="8733" applyFont="1" applyFill="1" applyBorder="1" applyAlignment="1">
      <alignment horizontal="left" wrapText="1"/>
    </xf>
    <xf numFmtId="0" fontId="161" fillId="48" borderId="42" xfId="8733" applyFont="1" applyFill="1" applyBorder="1" applyAlignment="1">
      <alignment horizontal="left" wrapText="1"/>
    </xf>
    <xf numFmtId="0" fontId="161" fillId="48" borderId="44" xfId="8733" applyFont="1" applyFill="1" applyBorder="1" applyAlignment="1">
      <alignment horizontal="left" wrapText="1"/>
    </xf>
    <xf numFmtId="0" fontId="163" fillId="45" borderId="69" xfId="8733" applyFont="1" applyFill="1" applyBorder="1" applyAlignment="1">
      <alignment horizontal="right"/>
    </xf>
    <xf numFmtId="0" fontId="163" fillId="45" borderId="70" xfId="8733" applyFont="1" applyFill="1" applyBorder="1" applyAlignment="1">
      <alignment horizontal="right"/>
    </xf>
    <xf numFmtId="0" fontId="155" fillId="44" borderId="70" xfId="700" applyNumberFormat="1" applyFont="1" applyFill="1" applyBorder="1" applyAlignment="1">
      <alignment horizontal="left"/>
    </xf>
    <xf numFmtId="168" fontId="155" fillId="44" borderId="70" xfId="700" applyNumberFormat="1" applyFont="1" applyFill="1" applyBorder="1" applyAlignment="1">
      <alignment horizontal="left"/>
    </xf>
    <xf numFmtId="168" fontId="155" fillId="44" borderId="77" xfId="700" applyNumberFormat="1" applyFont="1" applyFill="1" applyBorder="1" applyAlignment="1">
      <alignment horizontal="left"/>
    </xf>
    <xf numFmtId="0" fontId="156" fillId="47" borderId="0" xfId="8733" applyFont="1" applyFill="1" applyAlignment="1">
      <alignment horizontal="right"/>
    </xf>
    <xf numFmtId="168" fontId="160" fillId="47" borderId="0" xfId="700" applyNumberFormat="1" applyFont="1" applyFill="1" applyBorder="1" applyAlignment="1" applyProtection="1">
      <alignment horizontal="left"/>
      <protection locked="0"/>
    </xf>
    <xf numFmtId="0" fontId="162" fillId="48" borderId="87" xfId="8733" applyFont="1" applyFill="1" applyBorder="1" applyAlignment="1" applyProtection="1">
      <alignment horizontal="center"/>
      <protection locked="0"/>
    </xf>
    <xf numFmtId="0" fontId="162" fillId="48" borderId="86" xfId="8733" applyFont="1" applyFill="1" applyBorder="1" applyAlignment="1" applyProtection="1">
      <alignment horizontal="center"/>
      <protection locked="0"/>
    </xf>
    <xf numFmtId="0" fontId="164" fillId="48" borderId="70" xfId="8733" applyFont="1" applyFill="1" applyBorder="1" applyAlignment="1" applyProtection="1">
      <alignment horizontal="left"/>
      <protection locked="0"/>
    </xf>
    <xf numFmtId="0" fontId="164" fillId="48" borderId="77" xfId="8733" applyFont="1" applyFill="1" applyBorder="1" applyAlignment="1" applyProtection="1">
      <alignment horizontal="left"/>
      <protection locked="0"/>
    </xf>
    <xf numFmtId="168" fontId="162" fillId="48" borderId="86" xfId="700" applyNumberFormat="1" applyFont="1" applyFill="1" applyBorder="1" applyAlignment="1" applyProtection="1">
      <alignment horizontal="left"/>
      <protection locked="0"/>
    </xf>
    <xf numFmtId="168" fontId="162" fillId="48" borderId="85" xfId="700" applyNumberFormat="1" applyFont="1" applyFill="1" applyBorder="1" applyAlignment="1" applyProtection="1">
      <alignment horizontal="left"/>
      <protection locked="0"/>
    </xf>
    <xf numFmtId="0" fontId="162" fillId="48" borderId="87" xfId="8733" applyFont="1" applyFill="1" applyBorder="1" applyAlignment="1" applyProtection="1">
      <alignment horizontal="left"/>
      <protection locked="0"/>
    </xf>
    <xf numFmtId="0" fontId="162" fillId="48" borderId="86" xfId="8733" applyFont="1" applyFill="1" applyBorder="1" applyAlignment="1" applyProtection="1">
      <alignment horizontal="left"/>
      <protection locked="0"/>
    </xf>
    <xf numFmtId="0" fontId="162" fillId="48" borderId="85" xfId="8733" applyFont="1" applyFill="1" applyBorder="1" applyAlignment="1" applyProtection="1">
      <alignment horizontal="left"/>
      <protection locked="0"/>
    </xf>
    <xf numFmtId="0" fontId="92" fillId="48" borderId="80" xfId="8733" applyFont="1" applyFill="1" applyBorder="1" applyAlignment="1">
      <alignment horizontal="left"/>
    </xf>
    <xf numFmtId="0" fontId="92"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2"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55" fillId="45" borderId="80" xfId="0" applyFont="1" applyFill="1" applyBorder="1" applyAlignment="1" applyProtection="1">
      <alignment horizontal="center" wrapText="1"/>
      <protection hidden="1"/>
    </xf>
    <xf numFmtId="0" fontId="155" fillId="45" borderId="79" xfId="0" applyFont="1" applyFill="1" applyBorder="1" applyAlignment="1" applyProtection="1">
      <alignment horizontal="center" wrapText="1"/>
      <protection hidden="1"/>
    </xf>
    <xf numFmtId="0" fontId="155" fillId="45" borderId="78" xfId="0" applyFont="1" applyFill="1" applyBorder="1" applyAlignment="1" applyProtection="1">
      <alignment horizontal="center" wrapText="1"/>
      <protection hidden="1"/>
    </xf>
    <xf numFmtId="0" fontId="155" fillId="45" borderId="13" xfId="0" applyFont="1" applyFill="1" applyBorder="1" applyAlignment="1" applyProtection="1">
      <alignment horizontal="left" wrapText="1"/>
      <protection hidden="1"/>
    </xf>
    <xf numFmtId="0" fontId="155" fillId="45" borderId="13" xfId="0" applyFont="1" applyFill="1" applyBorder="1" applyAlignment="1" applyProtection="1">
      <alignment horizontal="center" wrapText="1"/>
      <protection hidden="1"/>
    </xf>
    <xf numFmtId="0" fontId="161" fillId="45" borderId="11" xfId="8733" applyFont="1" applyFill="1" applyBorder="1" applyAlignment="1">
      <alignment horizontal="left" wrapText="1"/>
    </xf>
    <xf numFmtId="43" fontId="156" fillId="45" borderId="80" xfId="698" applyFont="1" applyFill="1" applyBorder="1" applyAlignment="1" applyProtection="1">
      <alignment horizontal="center"/>
      <protection hidden="1"/>
    </xf>
    <xf numFmtId="43" fontId="156" fillId="45" borderId="79" xfId="698" applyFont="1" applyFill="1" applyBorder="1" applyAlignment="1" applyProtection="1">
      <alignment horizontal="center"/>
      <protection hidden="1"/>
    </xf>
    <xf numFmtId="43" fontId="156" fillId="45" borderId="78" xfId="698" applyFont="1" applyFill="1" applyBorder="1" applyAlignment="1" applyProtection="1">
      <alignment horizontal="center"/>
      <protection hidden="1"/>
    </xf>
    <xf numFmtId="43" fontId="160" fillId="49" borderId="66" xfId="698" applyFont="1" applyFill="1" applyBorder="1" applyAlignment="1" applyProtection="1">
      <alignment horizontal="center" wrapText="1"/>
      <protection hidden="1"/>
    </xf>
    <xf numFmtId="43" fontId="160" fillId="49" borderId="0" xfId="698" applyFont="1" applyFill="1" applyBorder="1" applyAlignment="1" applyProtection="1">
      <alignment horizontal="center" wrapText="1"/>
      <protection hidden="1"/>
    </xf>
    <xf numFmtId="43" fontId="160" fillId="49" borderId="12" xfId="698" applyFont="1" applyFill="1" applyBorder="1" applyAlignment="1" applyProtection="1">
      <alignment horizontal="center" wrapText="1"/>
      <protection hidden="1"/>
    </xf>
    <xf numFmtId="43" fontId="160" fillId="49" borderId="83" xfId="698" applyFont="1" applyFill="1" applyBorder="1" applyAlignment="1" applyProtection="1">
      <alignment horizontal="center" wrapText="1"/>
      <protection hidden="1"/>
    </xf>
    <xf numFmtId="43" fontId="160" fillId="49" borderId="6" xfId="698" applyFont="1" applyFill="1" applyBorder="1" applyAlignment="1" applyProtection="1">
      <alignment horizontal="center" wrapText="1"/>
      <protection hidden="1"/>
    </xf>
    <xf numFmtId="43" fontId="160" fillId="49" borderId="10" xfId="698" applyFont="1" applyFill="1" applyBorder="1" applyAlignment="1" applyProtection="1">
      <alignment horizontal="center" wrapText="1"/>
      <protection hidden="1"/>
    </xf>
    <xf numFmtId="43" fontId="160" fillId="49" borderId="8" xfId="698" applyFont="1" applyFill="1" applyBorder="1" applyAlignment="1" applyProtection="1">
      <alignment horizontal="center" wrapText="1"/>
      <protection hidden="1"/>
    </xf>
    <xf numFmtId="43" fontId="160" fillId="49" borderId="9" xfId="698" applyFont="1" applyFill="1" applyBorder="1" applyAlignment="1" applyProtection="1">
      <alignment horizontal="center" wrapText="1"/>
      <protection hidden="1"/>
    </xf>
    <xf numFmtId="14" fontId="160" fillId="0" borderId="8" xfId="700" applyNumberFormat="1" applyFont="1" applyFill="1" applyBorder="1" applyAlignment="1" applyProtection="1">
      <alignment horizontal="center" wrapText="1"/>
      <protection hidden="1"/>
    </xf>
    <xf numFmtId="14" fontId="160" fillId="0" borderId="0" xfId="700" applyNumberFormat="1" applyFont="1" applyFill="1" applyBorder="1" applyAlignment="1" applyProtection="1">
      <alignment horizontal="center" wrapText="1"/>
      <protection hidden="1"/>
    </xf>
    <xf numFmtId="14" fontId="160" fillId="0" borderId="12" xfId="700" applyNumberFormat="1" applyFont="1" applyFill="1" applyBorder="1" applyAlignment="1" applyProtection="1">
      <alignment horizontal="center" wrapText="1"/>
      <protection hidden="1"/>
    </xf>
    <xf numFmtId="14" fontId="160" fillId="0" borderId="9" xfId="700" applyNumberFormat="1" applyFont="1" applyFill="1" applyBorder="1" applyAlignment="1" applyProtection="1">
      <alignment horizontal="center" wrapText="1"/>
      <protection hidden="1"/>
    </xf>
    <xf numFmtId="14" fontId="160" fillId="0" borderId="6" xfId="700" applyNumberFormat="1" applyFont="1" applyFill="1" applyBorder="1" applyAlignment="1" applyProtection="1">
      <alignment horizontal="center" wrapText="1"/>
      <protection hidden="1"/>
    </xf>
    <xf numFmtId="14" fontId="160" fillId="0" borderId="10" xfId="700" applyNumberFormat="1" applyFont="1" applyFill="1" applyBorder="1" applyAlignment="1" applyProtection="1">
      <alignment horizontal="center" wrapText="1"/>
      <protection hidden="1"/>
    </xf>
    <xf numFmtId="44" fontId="160" fillId="0" borderId="8" xfId="700" applyFont="1" applyBorder="1" applyAlignment="1" applyProtection="1">
      <alignment horizontal="center" wrapText="1"/>
      <protection hidden="1"/>
    </xf>
    <xf numFmtId="44" fontId="160" fillId="0" borderId="0" xfId="700" applyFont="1" applyBorder="1" applyAlignment="1" applyProtection="1">
      <alignment horizontal="center" wrapText="1"/>
      <protection hidden="1"/>
    </xf>
    <xf numFmtId="44" fontId="160" fillId="0" borderId="12" xfId="700" applyFont="1" applyBorder="1" applyAlignment="1" applyProtection="1">
      <alignment horizontal="center" wrapText="1"/>
      <protection hidden="1"/>
    </xf>
    <xf numFmtId="44" fontId="160" fillId="0" borderId="9" xfId="700" applyFont="1" applyBorder="1" applyAlignment="1" applyProtection="1">
      <alignment horizontal="center" wrapText="1"/>
      <protection hidden="1"/>
    </xf>
    <xf numFmtId="44" fontId="160" fillId="0" borderId="6" xfId="700" applyFont="1" applyBorder="1" applyAlignment="1" applyProtection="1">
      <alignment horizontal="center" wrapText="1"/>
      <protection hidden="1"/>
    </xf>
    <xf numFmtId="44" fontId="160" fillId="0" borderId="10" xfId="700" applyFont="1" applyBorder="1" applyAlignment="1" applyProtection="1">
      <alignment horizontal="center" wrapText="1"/>
      <protection hidden="1"/>
    </xf>
    <xf numFmtId="43" fontId="160" fillId="49" borderId="41" xfId="698" applyFont="1" applyFill="1" applyBorder="1" applyAlignment="1" applyProtection="1">
      <alignment horizontal="center" wrapText="1"/>
      <protection hidden="1"/>
    </xf>
    <xf numFmtId="43" fontId="160" fillId="49" borderId="82" xfId="698" applyFont="1" applyFill="1" applyBorder="1" applyAlignment="1" applyProtection="1">
      <alignment horizontal="center" wrapText="1"/>
      <protection hidden="1"/>
    </xf>
    <xf numFmtId="0" fontId="158" fillId="50" borderId="3" xfId="698" applyNumberFormat="1" applyFont="1" applyFill="1" applyBorder="1" applyAlignment="1" applyProtection="1">
      <alignment horizontal="center"/>
      <protection locked="0"/>
    </xf>
    <xf numFmtId="0" fontId="158" fillId="50" borderId="4" xfId="698" applyNumberFormat="1" applyFont="1" applyFill="1" applyBorder="1" applyAlignment="1" applyProtection="1">
      <alignment horizontal="center"/>
      <protection locked="0"/>
    </xf>
    <xf numFmtId="0" fontId="158" fillId="50" borderId="81" xfId="698" applyNumberFormat="1" applyFont="1" applyFill="1" applyBorder="1" applyAlignment="1" applyProtection="1">
      <alignment horizontal="center"/>
      <protection locked="0"/>
    </xf>
    <xf numFmtId="0" fontId="159" fillId="49" borderId="72" xfId="698" applyNumberFormat="1" applyFont="1" applyFill="1" applyBorder="1" applyAlignment="1" applyProtection="1">
      <alignment horizontal="center"/>
      <protection hidden="1"/>
    </xf>
    <xf numFmtId="0" fontId="159" fillId="49" borderId="11" xfId="698" applyNumberFormat="1" applyFont="1" applyFill="1" applyBorder="1" applyAlignment="1" applyProtection="1">
      <alignment horizontal="center"/>
      <protection hidden="1"/>
    </xf>
    <xf numFmtId="0" fontId="159" fillId="48" borderId="11" xfId="0" applyFont="1" applyFill="1" applyBorder="1" applyAlignment="1" applyProtection="1">
      <alignment horizontal="center"/>
      <protection locked="0"/>
    </xf>
    <xf numFmtId="14" fontId="158" fillId="48" borderId="11" xfId="700" applyNumberFormat="1" applyFont="1" applyFill="1" applyBorder="1" applyAlignment="1" applyProtection="1">
      <alignment horizontal="center"/>
      <protection locked="0"/>
    </xf>
    <xf numFmtId="168" fontId="159" fillId="48" borderId="11" xfId="700" applyNumberFormat="1" applyFont="1" applyFill="1" applyBorder="1" applyAlignment="1" applyProtection="1">
      <alignment horizontal="center"/>
      <protection locked="0"/>
    </xf>
    <xf numFmtId="9" fontId="159" fillId="48" borderId="11" xfId="1022" applyFont="1" applyFill="1" applyBorder="1" applyAlignment="1" applyProtection="1">
      <alignment horizontal="center"/>
      <protection locked="0"/>
    </xf>
    <xf numFmtId="44" fontId="158" fillId="48" borderId="11" xfId="700" applyFont="1" applyFill="1" applyBorder="1" applyAlignment="1" applyProtection="1">
      <alignment horizontal="center"/>
      <protection locked="0"/>
    </xf>
    <xf numFmtId="0" fontId="157" fillId="47" borderId="65" xfId="8733" applyFont="1" applyFill="1" applyBorder="1" applyAlignment="1">
      <alignment horizontal="center"/>
    </xf>
    <xf numFmtId="0" fontId="157" fillId="47" borderId="29" xfId="8733" applyFont="1" applyFill="1" applyBorder="1" applyAlignment="1">
      <alignment horizontal="center"/>
    </xf>
    <xf numFmtId="0" fontId="15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56" fillId="47" borderId="66" xfId="8733" applyFont="1" applyFill="1" applyBorder="1" applyAlignment="1">
      <alignment horizontal="center"/>
    </xf>
    <xf numFmtId="0" fontId="156" fillId="47" borderId="0" xfId="8733" applyFont="1" applyFill="1" applyAlignment="1">
      <alignment horizontal="center"/>
    </xf>
    <xf numFmtId="0" fontId="156" fillId="47" borderId="41" xfId="8733" applyFont="1" applyFill="1" applyBorder="1" applyAlignment="1">
      <alignment horizontal="center"/>
    </xf>
    <xf numFmtId="0" fontId="92" fillId="47" borderId="66" xfId="8733" applyFont="1" applyFill="1" applyBorder="1" applyAlignment="1">
      <alignment horizontal="center"/>
    </xf>
    <xf numFmtId="0" fontId="92" fillId="47" borderId="41" xfId="8733" applyFont="1" applyFill="1" applyBorder="1" applyAlignment="1">
      <alignment horizontal="center"/>
    </xf>
    <xf numFmtId="0" fontId="92" fillId="47" borderId="0" xfId="8733" applyFont="1" applyFill="1" applyAlignment="1">
      <alignment horizontal="left"/>
    </xf>
    <xf numFmtId="43" fontId="156" fillId="49" borderId="72" xfId="698" applyFont="1" applyFill="1" applyBorder="1" applyAlignment="1" applyProtection="1">
      <alignment horizontal="right"/>
      <protection hidden="1"/>
    </xf>
    <xf numFmtId="43" fontId="156" fillId="49" borderId="11" xfId="698" applyFont="1" applyFill="1" applyBorder="1" applyAlignment="1" applyProtection="1">
      <alignment horizontal="right"/>
      <protection hidden="1"/>
    </xf>
    <xf numFmtId="44" fontId="156" fillId="0" borderId="11" xfId="700" applyFont="1" applyBorder="1" applyAlignment="1" applyProtection="1">
      <alignment horizontal="center"/>
      <protection hidden="1"/>
    </xf>
    <xf numFmtId="168" fontId="156" fillId="0" borderId="11" xfId="700" applyNumberFormat="1" applyFont="1" applyBorder="1" applyAlignment="1" applyProtection="1">
      <alignment horizontal="center"/>
      <protection hidden="1"/>
    </xf>
    <xf numFmtId="9" fontId="156" fillId="0" borderId="11" xfId="4494" applyFont="1" applyBorder="1" applyAlignment="1" applyProtection="1">
      <alignment horizontal="center"/>
      <protection hidden="1"/>
    </xf>
    <xf numFmtId="43" fontId="156" fillId="49" borderId="3" xfId="698" applyFont="1" applyFill="1" applyBorder="1" applyAlignment="1" applyProtection="1">
      <alignment horizontal="center"/>
      <protection hidden="1"/>
    </xf>
    <xf numFmtId="43" fontId="156" fillId="49" borderId="4" xfId="698" applyFont="1" applyFill="1" applyBorder="1" applyAlignment="1" applyProtection="1">
      <alignment horizontal="center"/>
      <protection hidden="1"/>
    </xf>
    <xf numFmtId="43" fontId="156" fillId="49" borderId="81" xfId="698" applyFont="1" applyFill="1" applyBorder="1" applyAlignment="1" applyProtection="1">
      <alignment horizontal="center"/>
      <protection hidden="1"/>
    </xf>
    <xf numFmtId="0" fontId="9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55" fillId="44" borderId="0" xfId="8733" applyFont="1" applyFill="1" applyAlignment="1">
      <alignment horizontal="left" vertical="top"/>
    </xf>
    <xf numFmtId="0" fontId="9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56" fillId="47" borderId="0" xfId="8733" applyFont="1" applyFill="1" applyAlignment="1">
      <alignment horizontal="left" vertical="top" wrapText="1"/>
    </xf>
    <xf numFmtId="0" fontId="9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168" fontId="17" fillId="0" borderId="5" xfId="569" applyNumberFormat="1" applyBorder="1" applyAlignment="1">
      <alignment horizontal="center"/>
    </xf>
    <xf numFmtId="168" fontId="17" fillId="0" borderId="11" xfId="569" applyNumberFormat="1" applyBorder="1" applyAlignment="1">
      <alignment horizontal="center"/>
    </xf>
    <xf numFmtId="168" fontId="17" fillId="0" borderId="3" xfId="569" applyNumberFormat="1" applyBorder="1" applyAlignment="1">
      <alignment horizontal="center"/>
    </xf>
    <xf numFmtId="168" fontId="17" fillId="0" borderId="4" xfId="569" applyNumberFormat="1" applyBorder="1" applyAlignment="1">
      <alignment horizontal="center"/>
    </xf>
    <xf numFmtId="179" fontId="24" fillId="0" borderId="0" xfId="569" applyNumberFormat="1" applyFont="1" applyAlignment="1">
      <alignment horizontal="center" wrapText="1"/>
    </xf>
    <xf numFmtId="0" fontId="24" fillId="0" borderId="16" xfId="271" applyFont="1" applyBorder="1" applyAlignment="1">
      <alignment horizontal="center"/>
    </xf>
    <xf numFmtId="164" fontId="24" fillId="0" borderId="0" xfId="569" applyNumberFormat="1" applyFont="1" applyAlignment="1">
      <alignment horizontal="center"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46" fillId="0" borderId="0" xfId="569" applyFont="1" applyAlignment="1">
      <alignment horizontal="left"/>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9" fontId="17" fillId="0" borderId="5" xfId="569" applyNumberFormat="1" applyBorder="1" applyAlignment="1">
      <alignment horizontal="center"/>
    </xf>
    <xf numFmtId="9" fontId="17" fillId="0" borderId="11"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0" fontId="24" fillId="0" borderId="11" xfId="569" applyFont="1" applyBorder="1" applyAlignment="1">
      <alignment horizontal="center" wrapText="1"/>
    </xf>
    <xf numFmtId="168" fontId="17" fillId="0" borderId="7" xfId="569" applyNumberFormat="1" applyBorder="1" applyAlignment="1">
      <alignment horizontal="center"/>
    </xf>
    <xf numFmtId="168" fontId="17" fillId="0" borderId="15" xfId="569" applyNumberFormat="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0" borderId="11" xfId="569" applyNumberFormat="1" applyBorder="1" applyAlignment="1">
      <alignment horizontal="right"/>
    </xf>
    <xf numFmtId="0" fontId="24" fillId="0" borderId="6" xfId="569" applyFon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97" fillId="0" borderId="0" xfId="569" applyFont="1" applyAlignment="1">
      <alignment horizontal="left"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9" fontId="17" fillId="0" borderId="15" xfId="569" applyNumberFormat="1" applyBorder="1" applyAlignment="1">
      <alignment horizontal="center"/>
    </xf>
    <xf numFmtId="0" fontId="17" fillId="0" borderId="11" xfId="569" applyBorder="1" applyAlignment="1">
      <alignment horizontal="center"/>
    </xf>
    <xf numFmtId="0" fontId="97" fillId="0" borderId="0" xfId="0" applyFont="1" applyAlignment="1">
      <alignment horizontal="left" vertical="top" wrapText="1"/>
    </xf>
    <xf numFmtId="0" fontId="24" fillId="0" borderId="0" xfId="4495" applyFont="1" applyAlignment="1">
      <alignment horizontal="left" wrapText="1"/>
    </xf>
    <xf numFmtId="0" fontId="17" fillId="0" borderId="0" xfId="4495" applyFont="1" applyAlignment="1">
      <alignment wrapText="1"/>
    </xf>
    <xf numFmtId="0" fontId="17" fillId="0" borderId="0" xfId="4495" applyFont="1" applyAlignment="1">
      <alignment horizontal="left"/>
    </xf>
    <xf numFmtId="0" fontId="17" fillId="5" borderId="6" xfId="4495" applyFont="1" applyFill="1" applyBorder="1" applyAlignment="1" applyProtection="1">
      <alignment horizontal="center"/>
      <protection locked="0"/>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0" fontId="17" fillId="45" borderId="11" xfId="4495" applyFont="1" applyFill="1" applyBorder="1" applyAlignment="1">
      <alignment horizontal="center"/>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12" fillId="0" borderId="3" xfId="4496" applyNumberFormat="1" applyFont="1" applyBorder="1" applyAlignment="1">
      <alignment horizontal="center" vertical="top" wrapText="1"/>
    </xf>
    <xf numFmtId="165" fontId="112" fillId="0" borderId="4" xfId="4496" applyNumberFormat="1" applyFont="1" applyBorder="1" applyAlignment="1">
      <alignment horizontal="center" vertical="top" wrapText="1"/>
    </xf>
    <xf numFmtId="165" fontId="11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168" fontId="17" fillId="0" borderId="0" xfId="1192" applyNumberFormat="1" applyAlignment="1">
      <alignment horizontal="right"/>
    </xf>
    <xf numFmtId="0" fontId="132" fillId="0" borderId="0" xfId="1192" applyFont="1" applyAlignment="1">
      <alignment horizontal="center"/>
    </xf>
    <xf numFmtId="168" fontId="17" fillId="43" borderId="6" xfId="543" applyNumberFormat="1" applyFill="1" applyBorder="1" applyAlignment="1" applyProtection="1">
      <alignment horizontal="center"/>
      <protection locked="0"/>
    </xf>
    <xf numFmtId="168" fontId="17" fillId="5" borderId="4" xfId="1192" applyNumberFormat="1" applyFill="1" applyBorder="1" applyAlignment="1" applyProtection="1">
      <alignment horizontal="center"/>
      <protection locked="0"/>
    </xf>
    <xf numFmtId="4" fontId="25" fillId="0" borderId="6" xfId="4495" applyNumberFormat="1" applyFont="1" applyBorder="1" applyAlignment="1">
      <alignment horizontal="center"/>
    </xf>
    <xf numFmtId="1" fontId="17" fillId="5" borderId="2" xfId="1192" applyNumberFormat="1" applyFill="1" applyBorder="1" applyAlignment="1" applyProtection="1">
      <alignment horizontal="center"/>
      <protection locked="0"/>
    </xf>
    <xf numFmtId="168" fontId="17" fillId="0" borderId="6" xfId="1192" applyNumberFormat="1" applyBorder="1" applyAlignment="1">
      <alignment horizontal="right"/>
    </xf>
    <xf numFmtId="168" fontId="17" fillId="0" borderId="4" xfId="1192" applyNumberFormat="1" applyBorder="1" applyAlignment="1">
      <alignment horizontal="right"/>
    </xf>
    <xf numFmtId="4" fontId="25" fillId="0" borderId="0" xfId="4495" applyNumberFormat="1" applyFont="1" applyAlignment="1">
      <alignment horizontal="center"/>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168" fontId="17" fillId="0" borderId="6" xfId="4496" applyNumberFormat="1" applyFont="1" applyBorder="1" applyAlignment="1">
      <alignment horizontal="center"/>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58" xfId="4495" applyFont="1" applyBorder="1" applyAlignment="1">
      <alignment horizontal="left" vertical="top" wrapText="1"/>
    </xf>
    <xf numFmtId="10" fontId="25" fillId="0" borderId="2" xfId="4495" applyNumberFormat="1" applyFont="1" applyBorder="1" applyAlignment="1">
      <alignment horizontal="center"/>
    </xf>
    <xf numFmtId="0" fontId="25" fillId="0" borderId="0" xfId="4495" applyFont="1" applyAlignment="1">
      <alignment horizontal="center"/>
    </xf>
    <xf numFmtId="9" fontId="25" fillId="5" borderId="6" xfId="4495" applyNumberFormat="1" applyFont="1" applyFill="1" applyBorder="1" applyAlignment="1">
      <alignment horizontal="left"/>
    </xf>
    <xf numFmtId="0" fontId="120" fillId="0" borderId="0" xfId="4495" applyFont="1" applyAlignment="1">
      <alignment horizontal="left" vertical="top" wrapText="1"/>
    </xf>
    <xf numFmtId="0" fontId="33" fillId="42" borderId="2" xfId="4495" applyFont="1" applyFill="1" applyBorder="1" applyAlignment="1">
      <alignment horizontal="center"/>
    </xf>
    <xf numFmtId="0" fontId="33" fillId="42" borderId="6" xfId="4495" applyFont="1" applyFill="1" applyBorder="1" applyAlignment="1">
      <alignment horizontal="center"/>
    </xf>
    <xf numFmtId="0" fontId="24" fillId="0" borderId="11" xfId="4495" applyFont="1" applyBorder="1" applyAlignment="1">
      <alignment horizontal="center"/>
    </xf>
    <xf numFmtId="0" fontId="110" fillId="5" borderId="55" xfId="4495" applyFill="1" applyBorder="1" applyAlignment="1" applyProtection="1">
      <alignment horizontal="center"/>
      <protection locked="0"/>
    </xf>
    <xf numFmtId="0" fontId="110" fillId="5" borderId="6"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17" fillId="5" borderId="6" xfId="4495" applyFont="1" applyFill="1" applyBorder="1" applyAlignment="1" applyProtection="1">
      <alignment horizontal="center" vertical="center" wrapText="1" shrinkToFit="1"/>
      <protection locked="0"/>
    </xf>
    <xf numFmtId="0" fontId="108" fillId="0" borderId="4" xfId="1192" applyFont="1" applyBorder="1" applyAlignment="1">
      <alignment horizontal="left"/>
    </xf>
    <xf numFmtId="0" fontId="132" fillId="0" borderId="6" xfId="1192" applyFont="1" applyBorder="1" applyAlignment="1">
      <alignment horizontal="center"/>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110" fillId="5" borderId="50" xfId="4495" applyFill="1" applyBorder="1" applyAlignment="1">
      <alignment horizontal="center"/>
    </xf>
    <xf numFmtId="0" fontId="110" fillId="5" borderId="51" xfId="4495" applyFill="1" applyBorder="1" applyAlignment="1">
      <alignment horizontal="center"/>
    </xf>
    <xf numFmtId="0" fontId="46" fillId="0" borderId="51" xfId="4495" applyFont="1" applyBorder="1" applyAlignment="1">
      <alignment horizontal="left" vertical="top" wrapText="1"/>
    </xf>
    <xf numFmtId="0" fontId="46" fillId="0" borderId="0" xfId="4495" applyFont="1" applyAlignment="1">
      <alignment horizontal="left" vertical="top" wrapText="1"/>
    </xf>
    <xf numFmtId="9" fontId="25" fillId="5" borderId="58" xfId="4495" applyNumberFormat="1" applyFont="1" applyFill="1" applyBorder="1" applyAlignment="1">
      <alignment horizontal="left"/>
    </xf>
    <xf numFmtId="0" fontId="110" fillId="0" borderId="0" xfId="4495" applyAlignment="1">
      <alignment horizontal="center"/>
    </xf>
    <xf numFmtId="0" fontId="25" fillId="5" borderId="6" xfId="4495" applyFont="1" applyFill="1" applyBorder="1" applyAlignment="1">
      <alignment horizontal="left"/>
    </xf>
    <xf numFmtId="0" fontId="110" fillId="5" borderId="62" xfId="4495" applyFill="1" applyBorder="1" applyAlignment="1">
      <alignment horizontal="center"/>
    </xf>
    <xf numFmtId="0" fontId="110" fillId="5" borderId="63" xfId="4495" applyFill="1" applyBorder="1" applyAlignment="1">
      <alignment horizontal="center"/>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24" fillId="0" borderId="0" xfId="4495" applyFont="1" applyAlignment="1">
      <alignment horizontal="right"/>
    </xf>
    <xf numFmtId="0" fontId="17" fillId="0" borderId="6" xfId="1192" applyBorder="1" applyAlignment="1">
      <alignment horizontal="right"/>
    </xf>
    <xf numFmtId="9" fontId="17" fillId="5" borderId="4" xfId="1192" applyNumberFormat="1" applyFill="1" applyBorder="1" applyAlignment="1" applyProtection="1">
      <alignment horizontal="left"/>
      <protection locked="0"/>
    </xf>
    <xf numFmtId="0" fontId="112" fillId="0" borderId="50" xfId="4496" applyFont="1" applyBorder="1" applyAlignment="1">
      <alignment horizontal="left" wrapText="1"/>
    </xf>
    <xf numFmtId="0" fontId="112" fillId="0" borderId="51" xfId="4496" applyFont="1" applyBorder="1" applyAlignment="1">
      <alignment horizontal="left" wrapText="1"/>
    </xf>
    <xf numFmtId="0" fontId="112" fillId="0" borderId="52" xfId="4496" applyFont="1" applyBorder="1" applyAlignment="1">
      <alignment horizontal="left" wrapText="1"/>
    </xf>
    <xf numFmtId="0" fontId="112" fillId="0" borderId="57" xfId="4496" applyFont="1" applyBorder="1" applyAlignment="1">
      <alignment horizontal="left" wrapText="1"/>
    </xf>
    <xf numFmtId="0" fontId="112" fillId="0" borderId="58" xfId="4496" applyFont="1" applyBorder="1" applyAlignment="1">
      <alignment horizontal="left" wrapText="1"/>
    </xf>
    <xf numFmtId="0" fontId="112" fillId="0" borderId="59" xfId="4496" applyFont="1" applyBorder="1" applyAlignment="1">
      <alignment horizontal="left" wrapText="1"/>
    </xf>
    <xf numFmtId="0" fontId="110" fillId="0" borderId="53" xfId="4495" applyBorder="1" applyAlignment="1">
      <alignment horizontal="center"/>
    </xf>
    <xf numFmtId="0" fontId="25" fillId="5" borderId="0" xfId="4495" applyFont="1" applyFill="1" applyAlignment="1">
      <alignment horizontal="left" vertical="top"/>
    </xf>
    <xf numFmtId="0" fontId="24" fillId="0" borderId="4" xfId="4495" applyFont="1" applyBorder="1" applyAlignment="1">
      <alignment horizontal="left"/>
    </xf>
    <xf numFmtId="0" fontId="24" fillId="0" borderId="5" xfId="4495" applyFont="1" applyBorder="1" applyAlignment="1">
      <alignment horizontal="left"/>
    </xf>
    <xf numFmtId="1" fontId="24" fillId="0" borderId="11" xfId="4495" applyNumberFormat="1" applyFont="1" applyBorder="1" applyAlignment="1">
      <alignment horizontal="center"/>
    </xf>
    <xf numFmtId="0" fontId="24" fillId="0" borderId="3" xfId="4495"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17" fillId="0" borderId="4" xfId="4495" applyFont="1" applyBorder="1" applyAlignment="1">
      <alignment horizontal="left"/>
    </xf>
    <xf numFmtId="0" fontId="17" fillId="0" borderId="5" xfId="4495" applyFont="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1" fontId="17" fillId="46" borderId="11" xfId="4495" applyNumberFormat="1" applyFont="1" applyFill="1" applyBorder="1" applyAlignment="1">
      <alignment horizontal="center"/>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164" fontId="55" fillId="0" borderId="1" xfId="4495" applyNumberFormat="1" applyFont="1" applyBorder="1" applyAlignment="1">
      <alignment horizontal="right" vertical="center"/>
    </xf>
    <xf numFmtId="164" fontId="55" fillId="0" borderId="2" xfId="4495" applyNumberFormat="1" applyFont="1" applyBorder="1" applyAlignment="1">
      <alignment horizontal="right" vertical="center"/>
    </xf>
    <xf numFmtId="164" fontId="55" fillId="0" borderId="7" xfId="4495" applyNumberFormat="1" applyFont="1" applyBorder="1" applyAlignment="1">
      <alignment horizontal="right" vertical="center"/>
    </xf>
    <xf numFmtId="164" fontId="55" fillId="0" borderId="9" xfId="4495" applyNumberFormat="1" applyFont="1" applyBorder="1" applyAlignment="1">
      <alignment horizontal="right" vertical="center"/>
    </xf>
    <xf numFmtId="164" fontId="55" fillId="0" borderId="6" xfId="4495" applyNumberFormat="1" applyFont="1" applyBorder="1" applyAlignment="1">
      <alignment horizontal="right" vertical="center"/>
    </xf>
    <xf numFmtId="164" fontId="55" fillId="0" borderId="10" xfId="4495" applyNumberFormat="1" applyFont="1" applyBorder="1" applyAlignment="1">
      <alignment horizontal="right" vertical="center"/>
    </xf>
    <xf numFmtId="180" fontId="55" fillId="0" borderId="1" xfId="4495" applyNumberFormat="1" applyFont="1" applyBorder="1" applyAlignment="1">
      <alignment horizontal="center" vertical="center"/>
    </xf>
    <xf numFmtId="180" fontId="55" fillId="0" borderId="2" xfId="4495" applyNumberFormat="1" applyFont="1" applyBorder="1" applyAlignment="1">
      <alignment horizontal="center" vertical="center"/>
    </xf>
    <xf numFmtId="180" fontId="55" fillId="0" borderId="7" xfId="4495" applyNumberFormat="1" applyFont="1" applyBorder="1" applyAlignment="1">
      <alignment horizontal="center" vertical="center"/>
    </xf>
    <xf numFmtId="180" fontId="55" fillId="0" borderId="9" xfId="4495" applyNumberFormat="1" applyFont="1" applyBorder="1" applyAlignment="1">
      <alignment horizontal="center" vertical="center"/>
    </xf>
    <xf numFmtId="180" fontId="55" fillId="0" borderId="6" xfId="4495" applyNumberFormat="1" applyFont="1" applyBorder="1" applyAlignment="1">
      <alignment horizontal="center" vertical="center"/>
    </xf>
    <xf numFmtId="180" fontId="55" fillId="0" borderId="10" xfId="4495" applyNumberFormat="1" applyFont="1" applyBorder="1" applyAlignment="1">
      <alignment horizontal="center" vertical="center"/>
    </xf>
    <xf numFmtId="1" fontId="24" fillId="0" borderId="4" xfId="4495" applyNumberFormat="1"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0" fontId="24" fillId="0" borderId="0" xfId="4495" applyFont="1" applyAlignment="1">
      <alignment horizontal="center" vertical="top"/>
    </xf>
    <xf numFmtId="0" fontId="110" fillId="5" borderId="53" xfId="4495" applyFill="1" applyBorder="1" applyAlignment="1">
      <alignment horizontal="center"/>
    </xf>
    <xf numFmtId="0" fontId="110" fillId="5" borderId="0" xfId="4495" applyFill="1" applyAlignment="1">
      <alignment horizontal="center"/>
    </xf>
    <xf numFmtId="0" fontId="110" fillId="5" borderId="55" xfId="4495" applyFill="1" applyBorder="1" applyAlignment="1">
      <alignment horizontal="center"/>
    </xf>
    <xf numFmtId="0" fontId="11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46" fillId="0" borderId="51" xfId="4495" applyFont="1" applyBorder="1" applyAlignment="1">
      <alignment horizontal="left" wrapText="1"/>
    </xf>
    <xf numFmtId="0" fontId="46" fillId="0" borderId="0" xfId="4495" applyFont="1" applyAlignment="1">
      <alignment horizontal="left" wrapText="1"/>
    </xf>
    <xf numFmtId="0" fontId="24" fillId="0" borderId="54" xfId="4495" applyFont="1" applyBorder="1" applyAlignment="1">
      <alignment horizontal="center" vertical="top"/>
    </xf>
    <xf numFmtId="0" fontId="120" fillId="0" borderId="0" xfId="4495" applyFont="1" applyAlignment="1">
      <alignment horizontal="left" vertical="center" wrapText="1"/>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47" fillId="0" borderId="0" xfId="0" applyFont="1" applyAlignment="1" applyProtection="1">
      <alignment horizontal="left"/>
      <protection locked="0"/>
    </xf>
    <xf numFmtId="168" fontId="146" fillId="0" borderId="0" xfId="0" applyNumberFormat="1" applyFont="1" applyAlignment="1">
      <alignment horizontal="center" vertical="top" wrapText="1"/>
    </xf>
    <xf numFmtId="168" fontId="146" fillId="0" borderId="12" xfId="0" applyNumberFormat="1" applyFont="1" applyBorder="1" applyAlignment="1">
      <alignment horizontal="center" vertical="top" wrapText="1"/>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10" fillId="5" borderId="62" xfId="4495" applyFill="1" applyBorder="1" applyAlignment="1" applyProtection="1">
      <alignment horizontal="center"/>
      <protection locked="0"/>
    </xf>
    <xf numFmtId="0" fontId="110" fillId="5" borderId="63" xfId="4495" applyFill="1" applyBorder="1" applyAlignment="1" applyProtection="1">
      <alignment horizontal="center"/>
      <protection locked="0"/>
    </xf>
    <xf numFmtId="0" fontId="17" fillId="0" borderId="59" xfId="4495" applyFont="1" applyBorder="1" applyAlignment="1">
      <alignment horizontal="left" vertical="top" wrapText="1"/>
    </xf>
    <xf numFmtId="0" fontId="17" fillId="0" borderId="4" xfId="4496" applyFont="1" applyBorder="1" applyAlignment="1">
      <alignment horizontal="center"/>
    </xf>
    <xf numFmtId="0" fontId="17" fillId="0" borderId="5" xfId="4496" applyFont="1" applyBorder="1" applyAlignment="1">
      <alignment horizontal="center"/>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24" fillId="0" borderId="0" xfId="4495" applyFont="1" applyAlignment="1">
      <alignment horizontal="left" vertical="top"/>
    </xf>
    <xf numFmtId="0" fontId="110" fillId="0" borderId="0" xfId="4495" applyAlignment="1" applyProtection="1">
      <alignment horizontal="center"/>
      <protection locked="0"/>
    </xf>
    <xf numFmtId="9" fontId="17" fillId="0" borderId="4" xfId="543" applyNumberFormat="1" applyBorder="1" applyAlignment="1">
      <alignment horizontal="center"/>
    </xf>
    <xf numFmtId="168" fontId="17" fillId="0" borderId="6" xfId="4495" applyNumberFormat="1" applyFont="1" applyBorder="1" applyAlignment="1">
      <alignment horizontal="right"/>
    </xf>
    <xf numFmtId="168" fontId="108" fillId="0" borderId="6" xfId="4495" applyNumberFormat="1" applyFont="1" applyBorder="1" applyAlignment="1">
      <alignment horizontal="right"/>
    </xf>
    <xf numFmtId="168" fontId="17" fillId="43" borderId="6" xfId="4495" applyNumberFormat="1" applyFont="1" applyFill="1" applyBorder="1" applyAlignment="1" applyProtection="1">
      <alignment horizontal="right"/>
      <protection locked="0"/>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0" fontId="17" fillId="5" borderId="6" xfId="1192" applyFill="1" applyBorder="1" applyAlignment="1" applyProtection="1">
      <alignment horizontal="left"/>
      <protection locked="0"/>
    </xf>
    <xf numFmtId="165" fontId="17" fillId="0" borderId="0" xfId="1192" applyNumberFormat="1" applyAlignment="1">
      <alignment horizontal="right"/>
    </xf>
    <xf numFmtId="2" fontId="17" fillId="0" borderId="0" xfId="1192" applyNumberFormat="1" applyAlignment="1">
      <alignment horizontal="right"/>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25"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left"/>
      <protection locked="0"/>
    </xf>
    <xf numFmtId="0" fontId="46" fillId="5" borderId="6" xfId="4495" applyFont="1" applyFill="1" applyBorder="1" applyAlignment="1" applyProtection="1">
      <alignment horizontal="left"/>
      <protection locked="0"/>
    </xf>
    <xf numFmtId="0" fontId="17" fillId="44" borderId="6" xfId="4495" applyFont="1" applyFill="1" applyBorder="1" applyAlignment="1">
      <alignment horizontal="left"/>
    </xf>
    <xf numFmtId="0" fontId="17" fillId="0" borderId="0" xfId="1192" applyAlignment="1">
      <alignment horizontal="right"/>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4" xfId="1192" applyNumberFormat="1" applyFill="1" applyBorder="1" applyAlignment="1" applyProtection="1">
      <alignment horizontal="center"/>
      <protection locked="0"/>
    </xf>
    <xf numFmtId="0" fontId="17" fillId="0" borderId="6" xfId="1192" applyBorder="1" applyAlignment="1">
      <alignment horizontal="left"/>
    </xf>
    <xf numFmtId="1" fontId="112" fillId="0" borderId="55" xfId="4496" applyNumberFormat="1" applyFont="1" applyBorder="1" applyAlignment="1">
      <alignment horizontal="center" vertical="top" wrapText="1"/>
    </xf>
    <xf numFmtId="1" fontId="112" fillId="0" borderId="6" xfId="4496" applyNumberFormat="1" applyFont="1" applyBorder="1" applyAlignment="1">
      <alignment horizontal="center" vertical="top" wrapText="1"/>
    </xf>
    <xf numFmtId="165" fontId="112" fillId="0" borderId="55" xfId="4496" applyNumberFormat="1" applyFont="1" applyBorder="1" applyAlignment="1">
      <alignment horizontal="center" vertical="top" wrapText="1"/>
    </xf>
    <xf numFmtId="165" fontId="112" fillId="0" borderId="6" xfId="4496" applyNumberFormat="1" applyFont="1" applyBorder="1" applyAlignment="1">
      <alignment horizontal="center" vertical="top" wrapText="1"/>
    </xf>
    <xf numFmtId="168" fontId="112" fillId="43" borderId="55" xfId="4496" applyNumberFormat="1" applyFont="1" applyFill="1" applyBorder="1" applyAlignment="1" applyProtection="1">
      <alignment horizontal="center" vertical="top" wrapText="1"/>
      <protection locked="0"/>
    </xf>
    <xf numFmtId="168" fontId="112" fillId="43" borderId="6" xfId="4496" applyNumberFormat="1" applyFont="1" applyFill="1" applyBorder="1" applyAlignment="1" applyProtection="1">
      <alignment horizontal="center" vertical="top" wrapText="1"/>
      <protection locked="0"/>
    </xf>
    <xf numFmtId="0" fontId="112" fillId="0" borderId="50" xfId="4496" applyFont="1" applyBorder="1" applyAlignment="1">
      <alignment horizontal="left" vertical="top" wrapText="1"/>
    </xf>
    <xf numFmtId="0" fontId="112" fillId="0" borderId="51" xfId="4496" applyFont="1" applyBorder="1" applyAlignment="1">
      <alignment horizontal="left" vertical="top" wrapText="1"/>
    </xf>
    <xf numFmtId="0" fontId="112" fillId="0" borderId="52" xfId="4496" applyFont="1" applyBorder="1" applyAlignment="1">
      <alignment horizontal="left" vertical="top" wrapText="1"/>
    </xf>
    <xf numFmtId="0" fontId="112" fillId="0" borderId="53" xfId="4496" applyFont="1" applyBorder="1" applyAlignment="1">
      <alignment horizontal="left" vertical="top" wrapText="1"/>
    </xf>
    <xf numFmtId="0" fontId="112" fillId="0" borderId="0" xfId="4496" applyFont="1" applyAlignment="1">
      <alignment horizontal="left" vertical="top" wrapText="1"/>
    </xf>
    <xf numFmtId="0" fontId="112" fillId="0" borderId="54" xfId="4496" applyFont="1" applyBorder="1" applyAlignment="1">
      <alignment horizontal="left" vertical="top" wrapText="1"/>
    </xf>
    <xf numFmtId="168" fontId="112" fillId="0" borderId="55" xfId="4496" applyNumberFormat="1" applyFont="1" applyBorder="1" applyAlignment="1">
      <alignment horizontal="center" vertical="top"/>
    </xf>
    <xf numFmtId="168" fontId="112" fillId="0" borderId="6" xfId="4496" applyNumberFormat="1" applyFont="1" applyBorder="1" applyAlignment="1">
      <alignment horizontal="center" vertical="top"/>
    </xf>
    <xf numFmtId="0" fontId="112" fillId="5" borderId="6" xfId="4496" applyFont="1" applyFill="1" applyBorder="1" applyAlignment="1" applyProtection="1">
      <alignment horizontal="center"/>
      <protection locked="0"/>
    </xf>
    <xf numFmtId="10" fontId="112" fillId="0" borderId="3" xfId="4496" applyNumberFormat="1" applyFont="1" applyBorder="1" applyAlignment="1">
      <alignment horizontal="center" vertical="top" wrapText="1"/>
    </xf>
    <xf numFmtId="10" fontId="112" fillId="0" borderId="4" xfId="4496" applyNumberFormat="1" applyFont="1" applyBorder="1" applyAlignment="1">
      <alignment horizontal="center" vertical="top" wrapText="1"/>
    </xf>
    <xf numFmtId="10" fontId="112" fillId="0" borderId="5" xfId="4496" applyNumberFormat="1" applyFont="1" applyBorder="1" applyAlignment="1">
      <alignment horizontal="center" vertical="top" wrapText="1"/>
    </xf>
    <xf numFmtId="0" fontId="112" fillId="0" borderId="55" xfId="4496" applyFont="1" applyBorder="1" applyAlignment="1">
      <alignment horizontal="center" vertical="top" wrapText="1"/>
    </xf>
    <xf numFmtId="0" fontId="11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12" fillId="43" borderId="55" xfId="4496" applyFont="1" applyFill="1" applyBorder="1" applyAlignment="1" applyProtection="1">
      <alignment horizontal="left" vertical="top" wrapText="1"/>
      <protection locked="0"/>
    </xf>
    <xf numFmtId="0" fontId="112" fillId="43" borderId="6" xfId="4496" applyFont="1" applyFill="1" applyBorder="1" applyAlignment="1" applyProtection="1">
      <alignment horizontal="left" vertical="top" wrapText="1"/>
      <protection locked="0"/>
    </xf>
    <xf numFmtId="0" fontId="112" fillId="43" borderId="56" xfId="4496" applyFont="1" applyFill="1" applyBorder="1" applyAlignment="1" applyProtection="1">
      <alignment horizontal="left" vertical="top" wrapText="1"/>
      <protection locked="0"/>
    </xf>
    <xf numFmtId="165" fontId="112" fillId="0" borderId="60" xfId="4496" applyNumberFormat="1" applyFont="1" applyBorder="1" applyAlignment="1">
      <alignment horizontal="center" vertical="top" wrapText="1"/>
    </xf>
    <xf numFmtId="0" fontId="112" fillId="5" borderId="60" xfId="4496" applyFont="1" applyFill="1" applyBorder="1" applyAlignment="1" applyProtection="1">
      <alignment horizontal="center"/>
      <protection locked="0"/>
    </xf>
    <xf numFmtId="0" fontId="112" fillId="5" borderId="4" xfId="4496" applyFont="1" applyFill="1" applyBorder="1" applyAlignment="1" applyProtection="1">
      <alignment horizontal="center"/>
      <protection locked="0"/>
    </xf>
    <xf numFmtId="0" fontId="112" fillId="0" borderId="57" xfId="4496" applyFont="1" applyBorder="1" applyAlignment="1">
      <alignment horizontal="left" vertical="top" wrapText="1"/>
    </xf>
    <xf numFmtId="0" fontId="112" fillId="0" borderId="58" xfId="4496" applyFont="1" applyBorder="1" applyAlignment="1">
      <alignment horizontal="left" vertical="top" wrapText="1"/>
    </xf>
    <xf numFmtId="0" fontId="112" fillId="0" borderId="59" xfId="4496" applyFont="1" applyBorder="1" applyAlignment="1">
      <alignment horizontal="left" vertical="top" wrapText="1"/>
    </xf>
    <xf numFmtId="0" fontId="112" fillId="5" borderId="55" xfId="4496" applyFont="1" applyFill="1" applyBorder="1" applyAlignment="1" applyProtection="1">
      <alignment horizontal="center"/>
      <protection locked="0"/>
    </xf>
    <xf numFmtId="0" fontId="112" fillId="0" borderId="47" xfId="4496" applyFont="1" applyBorder="1"/>
    <xf numFmtId="0" fontId="112" fillId="0" borderId="48" xfId="4496" applyFont="1" applyBorder="1"/>
    <xf numFmtId="0" fontId="11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88" fillId="0" borderId="3" xfId="4496" applyFont="1" applyBorder="1" applyAlignment="1">
      <alignment horizontal="left" indent="2"/>
    </xf>
    <xf numFmtId="0" fontId="88" fillId="0" borderId="4" xfId="4496" applyFont="1" applyBorder="1" applyAlignment="1">
      <alignment horizontal="left" indent="2"/>
    </xf>
    <xf numFmtId="0" fontId="88" fillId="0" borderId="5" xfId="4496" applyFont="1" applyBorder="1" applyAlignment="1">
      <alignment horizontal="left" indent="2"/>
    </xf>
    <xf numFmtId="9" fontId="127" fillId="45" borderId="3" xfId="4499" applyFont="1" applyFill="1" applyBorder="1" applyAlignment="1" applyProtection="1">
      <alignment horizontal="center" vertical="center"/>
    </xf>
    <xf numFmtId="9" fontId="127" fillId="45" borderId="4" xfId="4499" applyFont="1" applyFill="1" applyBorder="1" applyAlignment="1" applyProtection="1">
      <alignment horizontal="center" vertical="center"/>
    </xf>
    <xf numFmtId="9" fontId="127" fillId="45" borderId="5" xfId="4499" applyFont="1" applyFill="1" applyBorder="1" applyAlignment="1" applyProtection="1">
      <alignment horizontal="center" vertical="center"/>
    </xf>
    <xf numFmtId="0" fontId="88" fillId="0" borderId="0" xfId="4496" applyFont="1" applyAlignment="1">
      <alignment wrapText="1"/>
    </xf>
    <xf numFmtId="49" fontId="88" fillId="45" borderId="15" xfId="4496" applyNumberFormat="1" applyFont="1" applyFill="1" applyBorder="1" applyAlignment="1">
      <alignment horizontal="center" vertical="center" wrapText="1"/>
    </xf>
    <xf numFmtId="49" fontId="88" fillId="45" borderId="13" xfId="4496" applyNumberFormat="1" applyFont="1" applyFill="1" applyBorder="1" applyAlignment="1">
      <alignment horizontal="center" vertical="center" wrapText="1"/>
    </xf>
    <xf numFmtId="0" fontId="127" fillId="0" borderId="75" xfId="4496" applyFont="1" applyBorder="1" applyAlignment="1">
      <alignment horizontal="center" vertical="top" wrapText="1"/>
    </xf>
    <xf numFmtId="0" fontId="127" fillId="0" borderId="74" xfId="4496" applyFont="1" applyBorder="1" applyAlignment="1">
      <alignment horizontal="center" vertical="top" wrapText="1"/>
    </xf>
    <xf numFmtId="0" fontId="88" fillId="0" borderId="0" xfId="4496" applyFont="1" applyAlignment="1">
      <alignment horizontal="left" wrapText="1"/>
    </xf>
    <xf numFmtId="0" fontId="88" fillId="0" borderId="0" xfId="4496" applyFont="1" applyAlignment="1">
      <alignment horizontal="center" vertical="center" wrapText="1"/>
    </xf>
    <xf numFmtId="0" fontId="88" fillId="43" borderId="0" xfId="4496" applyFont="1" applyFill="1" applyAlignment="1" applyProtection="1">
      <alignment horizontal="left" vertical="top" wrapText="1"/>
      <protection locked="0"/>
    </xf>
    <xf numFmtId="0" fontId="88" fillId="43" borderId="6" xfId="4496" applyFont="1" applyFill="1" applyBorder="1" applyAlignment="1" applyProtection="1">
      <alignment horizontal="left" vertical="top" wrapText="1"/>
      <protection locked="0"/>
    </xf>
    <xf numFmtId="168" fontId="88" fillId="0" borderId="13" xfId="4499" applyNumberFormat="1" applyFont="1" applyFill="1" applyBorder="1" applyAlignment="1" applyProtection="1">
      <alignment horizontal="left" vertical="center" indent="1"/>
    </xf>
    <xf numFmtId="168" fontId="88" fillId="0" borderId="11" xfId="4499" applyNumberFormat="1" applyFont="1" applyFill="1" applyBorder="1" applyAlignment="1" applyProtection="1">
      <alignment horizontal="left" vertical="center" indent="1"/>
    </xf>
    <xf numFmtId="0" fontId="88" fillId="0" borderId="3" xfId="4496" applyFont="1" applyBorder="1" applyAlignment="1">
      <alignment horizontal="left" indent="1"/>
    </xf>
    <xf numFmtId="0" fontId="88" fillId="0" borderId="4" xfId="4496" applyFont="1" applyBorder="1" applyAlignment="1">
      <alignment horizontal="left" indent="1"/>
    </xf>
    <xf numFmtId="0" fontId="88" fillId="0" borderId="5" xfId="4496" applyFont="1" applyBorder="1" applyAlignment="1">
      <alignment horizontal="left" indent="1"/>
    </xf>
    <xf numFmtId="0" fontId="88" fillId="0" borderId="67" xfId="4496" applyFont="1" applyBorder="1" applyAlignment="1">
      <alignment horizontal="right"/>
    </xf>
    <xf numFmtId="0" fontId="88" fillId="0" borderId="68" xfId="4496" applyFont="1" applyBorder="1" applyAlignment="1">
      <alignment horizontal="right"/>
    </xf>
    <xf numFmtId="0" fontId="88" fillId="0" borderId="0" xfId="4496" applyFont="1" applyAlignment="1">
      <alignment horizontal="left" wrapText="1" indent="1"/>
    </xf>
    <xf numFmtId="49" fontId="126" fillId="3" borderId="0" xfId="1192" applyNumberFormat="1" applyFont="1" applyFill="1" applyAlignment="1">
      <alignment horizontal="center" vertical="center"/>
    </xf>
    <xf numFmtId="0" fontId="88" fillId="0" borderId="11" xfId="4496" applyFont="1" applyBorder="1" applyAlignment="1">
      <alignment horizontal="left" indent="1"/>
    </xf>
    <xf numFmtId="0" fontId="88" fillId="0" borderId="11" xfId="4496" applyFont="1" applyBorder="1" applyAlignment="1">
      <alignment horizontal="left" indent="2"/>
    </xf>
    <xf numFmtId="0" fontId="127" fillId="45" borderId="3" xfId="4496" applyFont="1" applyFill="1" applyBorder="1" applyAlignment="1">
      <alignment horizontal="center" vertical="center"/>
    </xf>
    <xf numFmtId="0" fontId="127" fillId="45" borderId="4" xfId="4496" applyFont="1" applyFill="1" applyBorder="1" applyAlignment="1">
      <alignment horizontal="center" vertical="center"/>
    </xf>
    <xf numFmtId="0" fontId="127" fillId="45" borderId="5" xfId="4496" applyFont="1" applyFill="1" applyBorder="1" applyAlignment="1">
      <alignment horizontal="center" vertical="center"/>
    </xf>
    <xf numFmtId="0" fontId="127" fillId="0" borderId="68" xfId="4496" applyFont="1" applyBorder="1" applyAlignment="1">
      <alignment horizontal="left" indent="1"/>
    </xf>
    <xf numFmtId="168" fontId="88" fillId="0" borderId="70" xfId="4499" applyNumberFormat="1" applyFont="1" applyFill="1" applyBorder="1" applyAlignment="1" applyProtection="1">
      <alignment horizontal="left" vertical="center" indent="1"/>
    </xf>
    <xf numFmtId="0" fontId="88" fillId="0" borderId="72" xfId="4496" applyFont="1" applyBorder="1" applyAlignment="1">
      <alignment horizontal="right"/>
    </xf>
    <xf numFmtId="0" fontId="88" fillId="0" borderId="11" xfId="4496" applyFont="1" applyBorder="1" applyAlignment="1">
      <alignment horizontal="right"/>
    </xf>
    <xf numFmtId="0" fontId="88" fillId="0" borderId="69" xfId="4496" applyFont="1" applyBorder="1" applyAlignment="1">
      <alignment horizontal="right"/>
    </xf>
    <xf numFmtId="0" fontId="88" fillId="0" borderId="70" xfId="4496" applyFont="1" applyBorder="1" applyAlignment="1">
      <alignment horizontal="right"/>
    </xf>
    <xf numFmtId="0" fontId="88" fillId="0" borderId="11" xfId="4496" applyFont="1" applyBorder="1"/>
    <xf numFmtId="0" fontId="88" fillId="0" borderId="76" xfId="4496" applyFont="1" applyBorder="1"/>
    <xf numFmtId="0" fontId="88" fillId="0" borderId="70" xfId="4496" applyFont="1" applyBorder="1"/>
    <xf numFmtId="0" fontId="88" fillId="0" borderId="77" xfId="4496" applyFont="1" applyBorder="1"/>
    <xf numFmtId="0" fontId="88" fillId="0" borderId="68" xfId="4496" applyFont="1" applyBorder="1"/>
    <xf numFmtId="0" fontId="88" fillId="0" borderId="71" xfId="4496" applyFont="1" applyBorder="1"/>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0" fontId="17" fillId="43" borderId="0" xfId="0" applyFont="1" applyFill="1" applyAlignment="1">
      <alignment horizontal="left"/>
    </xf>
  </cellXfs>
  <cellStyles count="34066">
    <cellStyle name="20% - Accent1" xfId="1" builtinId="30" customBuiltin="1"/>
    <cellStyle name="20% - Accent1 10" xfId="4504" xr:uid="{00000000-0005-0000-0000-000001000000}"/>
    <cellStyle name="20% - Accent1 10 2" xfId="29843" xr:uid="{674210A1-0B7F-4D62-B634-472FE6CD77E3}"/>
    <cellStyle name="20% - Accent1 10 3" xfId="21402" xr:uid="{F26F2B10-AE57-41F9-A24D-0347217276AB}"/>
    <cellStyle name="20% - Accent1 10 4" xfId="12954" xr:uid="{3719D324-786B-4162-BE49-BF97A13E9DAF}"/>
    <cellStyle name="20% - Accent1 11" xfId="25625" xr:uid="{BFC619F9-5A2D-4C6F-8649-27D9253B3E8D}"/>
    <cellStyle name="20% - Accent1 12" xfId="17184" xr:uid="{BC193529-DC58-4877-ABBE-6B2EA79A8381}"/>
    <cellStyle name="20% - Accent1 13" xfId="8736" xr:uid="{DF176D83-DB0F-4F59-8898-D0558C1B049A}"/>
    <cellStyle name="20% - Accent1 2" xfId="2" xr:uid="{00000000-0005-0000-0000-000002000000}"/>
    <cellStyle name="20% - Accent1 2 10" xfId="25626" xr:uid="{035D8D62-0965-4579-BD13-2A681D31EB39}"/>
    <cellStyle name="20% - Accent1 2 11" xfId="17185" xr:uid="{B924E555-ADD7-4CC7-9FEE-316FD1E96F08}"/>
    <cellStyle name="20% - Accent1 2 12" xfId="8737" xr:uid="{0DAF4B92-4563-4669-8A7F-9215C922C553}"/>
    <cellStyle name="20% - Accent1 2 2" xfId="3" xr:uid="{00000000-0005-0000-0000-000003000000}"/>
    <cellStyle name="20% - Accent1 2 2 10" xfId="17186" xr:uid="{125CD68F-9308-4FBE-899E-B847003188B9}"/>
    <cellStyle name="20% - Accent1 2 2 11" xfId="8738" xr:uid="{FF20F31F-4A9E-4208-B19D-283F75E7FCCD}"/>
    <cellStyle name="20% - Accent1 2 2 2" xfId="4" xr:uid="{00000000-0005-0000-0000-000004000000}"/>
    <cellStyle name="20% - Accent1 2 2 2 10" xfId="8739" xr:uid="{17FB18D9-7F21-4572-A1B3-397636298A53}"/>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32405" xr:uid="{4B9FC967-78A9-4342-9FF3-05D5209C3828}"/>
    <cellStyle name="20% - Accent1 2 2 2 2 2 2 3" xfId="23964" xr:uid="{DCA048A6-C377-490E-A486-1D8BD4E7E66A}"/>
    <cellStyle name="20% - Accent1 2 2 2 2 2 2 4" xfId="15516" xr:uid="{8D698945-F7C0-4BAE-9556-2FD0010BEF35}"/>
    <cellStyle name="20% - Accent1 2 2 2 2 2 3" xfId="28187" xr:uid="{D858326D-7FA9-41C9-87CB-07BE896E22AB}"/>
    <cellStyle name="20% - Accent1 2 2 2 2 2 4" xfId="19746" xr:uid="{509D9226-D27A-48BB-8C08-B0B26C122671}"/>
    <cellStyle name="20% - Accent1 2 2 2 2 2 5" xfId="11298" xr:uid="{37C37725-6518-4461-B6FF-E01B0D7F3170}"/>
    <cellStyle name="20% - Accent1 2 2 2 2 3" xfId="4921" xr:uid="{00000000-0005-0000-0000-000008000000}"/>
    <cellStyle name="20% - Accent1 2 2 2 2 3 2" xfId="30260" xr:uid="{FCC85CCE-D3A1-4B9A-81E1-5081D3937309}"/>
    <cellStyle name="20% - Accent1 2 2 2 2 3 3" xfId="21819" xr:uid="{9FF4E642-9579-40A6-AAA3-D56D0EC1D80C}"/>
    <cellStyle name="20% - Accent1 2 2 2 2 3 4" xfId="13371" xr:uid="{A2F16A2B-585B-4288-96A3-B7551631B645}"/>
    <cellStyle name="20% - Accent1 2 2 2 2 4" xfId="26042" xr:uid="{1A271D0D-4C9C-4315-A333-E55C2794DDF8}"/>
    <cellStyle name="20% - Accent1 2 2 2 2 5" xfId="17601" xr:uid="{43EEB076-B9F3-4000-87B5-21E62D4F48C3}"/>
    <cellStyle name="20% - Accent1 2 2 2 2 6" xfId="9153" xr:uid="{77F7B502-3B69-4FFC-8559-C75CD08FF512}"/>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32818" xr:uid="{53D742FC-A526-4F27-9BB5-335BB0BEC2C8}"/>
    <cellStyle name="20% - Accent1 2 2 2 3 2 2 3" xfId="24377" xr:uid="{3D36CA5E-37F2-4B20-9349-D1BF61B3643F}"/>
    <cellStyle name="20% - Accent1 2 2 2 3 2 2 4" xfId="15929" xr:uid="{8BFE4BAD-DE38-40AB-B137-03CA244F2B22}"/>
    <cellStyle name="20% - Accent1 2 2 2 3 2 3" xfId="28600" xr:uid="{0F2A28D7-0CEF-411F-8EFA-70E17A13A9EB}"/>
    <cellStyle name="20% - Accent1 2 2 2 3 2 4" xfId="20159" xr:uid="{DC3ABBFC-EA16-4443-8139-B5125B2C6195}"/>
    <cellStyle name="20% - Accent1 2 2 2 3 2 5" xfId="11711" xr:uid="{86A47925-C396-428F-B5A5-E6F9595EA42E}"/>
    <cellStyle name="20% - Accent1 2 2 2 3 3" xfId="5334" xr:uid="{00000000-0005-0000-0000-00000C000000}"/>
    <cellStyle name="20% - Accent1 2 2 2 3 3 2" xfId="30673" xr:uid="{B87C3BFB-C443-4F52-A77D-AD5F0BF5396F}"/>
    <cellStyle name="20% - Accent1 2 2 2 3 3 3" xfId="22232" xr:uid="{B92D104A-1F81-40F0-8927-2535F5F398C1}"/>
    <cellStyle name="20% - Accent1 2 2 2 3 3 4" xfId="13784" xr:uid="{D0F48656-5E92-4543-B074-EA93EB4C08A6}"/>
    <cellStyle name="20% - Accent1 2 2 2 3 4" xfId="26455" xr:uid="{B7B9499A-2571-41FE-AB18-8B93C8EDBB76}"/>
    <cellStyle name="20% - Accent1 2 2 2 3 5" xfId="18014" xr:uid="{DC3B6F64-B596-4E67-955C-84F4DB3EF944}"/>
    <cellStyle name="20% - Accent1 2 2 2 3 6" xfId="9566" xr:uid="{8CAE9F32-6084-4B8D-A8CC-A7DA0A504CAE}"/>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33231" xr:uid="{733098F1-19A5-49F4-97F1-1933FC6BF87C}"/>
    <cellStyle name="20% - Accent1 2 2 2 4 2 2 3" xfId="24790" xr:uid="{A06912AA-AE6A-40D9-879F-9EC4094C32B5}"/>
    <cellStyle name="20% - Accent1 2 2 2 4 2 2 4" xfId="16342" xr:uid="{A03A54F5-F035-4BEA-B813-4CF579A805D4}"/>
    <cellStyle name="20% - Accent1 2 2 2 4 2 3" xfId="29013" xr:uid="{FFADFA7D-05D6-4927-AA72-EC5543936177}"/>
    <cellStyle name="20% - Accent1 2 2 2 4 2 4" xfId="20572" xr:uid="{214A2249-8B7C-429A-AC84-6A5E299C9300}"/>
    <cellStyle name="20% - Accent1 2 2 2 4 2 5" xfId="12124" xr:uid="{B9FD267E-3A78-4C56-80EC-71A77B230F03}"/>
    <cellStyle name="20% - Accent1 2 2 2 4 3" xfId="5747" xr:uid="{00000000-0005-0000-0000-000010000000}"/>
    <cellStyle name="20% - Accent1 2 2 2 4 3 2" xfId="31086" xr:uid="{DF87DD19-580F-4F71-BBBF-B223F2A2C988}"/>
    <cellStyle name="20% - Accent1 2 2 2 4 3 3" xfId="22645" xr:uid="{492C975F-95C6-4CD6-BA7A-013A333DE98C}"/>
    <cellStyle name="20% - Accent1 2 2 2 4 3 4" xfId="14197" xr:uid="{FD1580C5-D85C-4CB2-B83C-37175C498A94}"/>
    <cellStyle name="20% - Accent1 2 2 2 4 4" xfId="26868" xr:uid="{50021372-3DC1-4C03-9815-CC9A619C3EFA}"/>
    <cellStyle name="20% - Accent1 2 2 2 4 5" xfId="18427" xr:uid="{03412A53-D8D0-465C-87AB-CCDA6ADB29E6}"/>
    <cellStyle name="20% - Accent1 2 2 2 4 6" xfId="9979" xr:uid="{8191923F-E1EF-4E87-8CE1-ADDE2BF49808}"/>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33644" xr:uid="{67207C5E-21DF-4CA3-A2F4-145EADF610E1}"/>
    <cellStyle name="20% - Accent1 2 2 2 5 2 2 3" xfId="25203" xr:uid="{CF835721-69FD-4D63-A139-F2BF58BFFD9D}"/>
    <cellStyle name="20% - Accent1 2 2 2 5 2 2 4" xfId="16755" xr:uid="{77AA597B-4F1F-47F3-9D08-D5E372C93235}"/>
    <cellStyle name="20% - Accent1 2 2 2 5 2 3" xfId="29426" xr:uid="{DCA99037-EC22-4FC3-8F5E-21F4619EEA55}"/>
    <cellStyle name="20% - Accent1 2 2 2 5 2 4" xfId="20985" xr:uid="{E06D7391-3A98-47F7-8F69-50F88B94DDC9}"/>
    <cellStyle name="20% - Accent1 2 2 2 5 2 5" xfId="12537" xr:uid="{1EA9D347-964C-455D-BE3C-71DDCAC8E42F}"/>
    <cellStyle name="20% - Accent1 2 2 2 5 3" xfId="6160" xr:uid="{00000000-0005-0000-0000-000014000000}"/>
    <cellStyle name="20% - Accent1 2 2 2 5 3 2" xfId="31499" xr:uid="{48F2DA63-640E-4703-B2F4-663FCF422190}"/>
    <cellStyle name="20% - Accent1 2 2 2 5 3 3" xfId="23058" xr:uid="{3F6985D0-1985-43FA-AE74-374036248D47}"/>
    <cellStyle name="20% - Accent1 2 2 2 5 3 4" xfId="14610" xr:uid="{9D9F2957-E1D6-41DF-9F3E-CAB24858FB86}"/>
    <cellStyle name="20% - Accent1 2 2 2 5 4" xfId="27281" xr:uid="{1C791D6F-E7C2-4DD5-B9C2-E36822DB8501}"/>
    <cellStyle name="20% - Accent1 2 2 2 5 5" xfId="18840" xr:uid="{3CA0F92B-63F7-40D0-BAC0-3CD5A02587D4}"/>
    <cellStyle name="20% - Accent1 2 2 2 5 6" xfId="10392" xr:uid="{2AEAC0E9-84F6-4201-A735-0BF707DDC0E8}"/>
    <cellStyle name="20% - Accent1 2 2 2 6" xfId="2267" xr:uid="{00000000-0005-0000-0000-000015000000}"/>
    <cellStyle name="20% - Accent1 2 2 2 6 2" xfId="6573" xr:uid="{00000000-0005-0000-0000-000016000000}"/>
    <cellStyle name="20% - Accent1 2 2 2 6 2 2" xfId="31912" xr:uid="{236E4BB1-D773-4A76-BD69-18C4F63F646B}"/>
    <cellStyle name="20% - Accent1 2 2 2 6 2 3" xfId="23471" xr:uid="{1E8263C0-A182-414C-B04E-950BDF142776}"/>
    <cellStyle name="20% - Accent1 2 2 2 6 2 4" xfId="15023" xr:uid="{B4BBE896-8553-4258-9B33-0C76A9218FD3}"/>
    <cellStyle name="20% - Accent1 2 2 2 6 3" xfId="27694" xr:uid="{AD8593D4-5617-446B-A0DC-8CA8963BEAEE}"/>
    <cellStyle name="20% - Accent1 2 2 2 6 4" xfId="19253" xr:uid="{9B7873F1-034F-4CB4-B47C-69D049622AE9}"/>
    <cellStyle name="20% - Accent1 2 2 2 6 5" xfId="10805" xr:uid="{B74FF9F4-20E4-42AB-8757-6D5A6C9F29F6}"/>
    <cellStyle name="20% - Accent1 2 2 2 7" xfId="4507" xr:uid="{00000000-0005-0000-0000-000017000000}"/>
    <cellStyle name="20% - Accent1 2 2 2 7 2" xfId="29846" xr:uid="{28176DAC-6A14-4C85-BB02-11865C0AD6CD}"/>
    <cellStyle name="20% - Accent1 2 2 2 7 3" xfId="21405" xr:uid="{3DE7FC5A-B5DE-4096-A54B-475543830AA3}"/>
    <cellStyle name="20% - Accent1 2 2 2 7 4" xfId="12957" xr:uid="{7C09FB81-5DF3-4D79-BE3A-9B1C5D6C3AED}"/>
    <cellStyle name="20% - Accent1 2 2 2 8" xfId="25628" xr:uid="{DB172486-DD6A-4A69-B3D4-F2AA27DE72B1}"/>
    <cellStyle name="20% - Accent1 2 2 2 9" xfId="17187" xr:uid="{B0BAB8A6-C91C-4990-814A-5952D6FFE93C}"/>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32404" xr:uid="{8801DE48-735B-47D5-AB72-6534B0CB5808}"/>
    <cellStyle name="20% - Accent1 2 2 3 2 2 3" xfId="23963" xr:uid="{32B3EF0D-98D4-4081-8FBE-F16535EE4CBD}"/>
    <cellStyle name="20% - Accent1 2 2 3 2 2 4" xfId="15515" xr:uid="{C39976CF-C899-4663-B184-B41D7CDBDE9F}"/>
    <cellStyle name="20% - Accent1 2 2 3 2 3" xfId="28186" xr:uid="{20D5FD49-3DBC-4E59-992A-7FBF735F5D7B}"/>
    <cellStyle name="20% - Accent1 2 2 3 2 4" xfId="19745" xr:uid="{913441A3-0989-4660-8696-A7772D3B9FDE}"/>
    <cellStyle name="20% - Accent1 2 2 3 2 5" xfId="11297" xr:uid="{2A0EB157-7FE6-4581-9A49-C9DC4DCF22F3}"/>
    <cellStyle name="20% - Accent1 2 2 3 3" xfId="4920" xr:uid="{00000000-0005-0000-0000-00001B000000}"/>
    <cellStyle name="20% - Accent1 2 2 3 3 2" xfId="30259" xr:uid="{288696CC-AD04-48FD-9167-1D594B6948BC}"/>
    <cellStyle name="20% - Accent1 2 2 3 3 3" xfId="21818" xr:uid="{F11EAD8D-17CD-451E-90E3-ED6DF8DC3613}"/>
    <cellStyle name="20% - Accent1 2 2 3 3 4" xfId="13370" xr:uid="{B0DF6A4B-4540-4FA8-B5CA-2E9EC230DF7C}"/>
    <cellStyle name="20% - Accent1 2 2 3 4" xfId="26041" xr:uid="{4546C4BE-8C9B-4E4D-98DE-19A4B5CB23E9}"/>
    <cellStyle name="20% - Accent1 2 2 3 5" xfId="17600" xr:uid="{D3F5E278-F973-4B26-B47D-404C2AF1C728}"/>
    <cellStyle name="20% - Accent1 2 2 3 6" xfId="9152" xr:uid="{7652FF68-8E4B-460E-96B4-4A7C9D0B78C2}"/>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32817" xr:uid="{E025A4A3-0D76-4ED3-8DC1-2A36F8D20900}"/>
    <cellStyle name="20% - Accent1 2 2 4 2 2 3" xfId="24376" xr:uid="{8C1D40E1-5482-4F4E-8EBC-9ACB96548CF8}"/>
    <cellStyle name="20% - Accent1 2 2 4 2 2 4" xfId="15928" xr:uid="{899B8C32-B33A-46E6-BDE0-060AA4328387}"/>
    <cellStyle name="20% - Accent1 2 2 4 2 3" xfId="28599" xr:uid="{09B08CD1-16A9-443A-82EC-114A658944BA}"/>
    <cellStyle name="20% - Accent1 2 2 4 2 4" xfId="20158" xr:uid="{456995B1-549C-4EA3-82BE-B9AC343C03C9}"/>
    <cellStyle name="20% - Accent1 2 2 4 2 5" xfId="11710" xr:uid="{00C189BF-62DB-43CC-8E7E-E6E23321532C}"/>
    <cellStyle name="20% - Accent1 2 2 4 3" xfId="5333" xr:uid="{00000000-0005-0000-0000-00001F000000}"/>
    <cellStyle name="20% - Accent1 2 2 4 3 2" xfId="30672" xr:uid="{B761FBE7-3D5A-4EE2-81D0-250272C67911}"/>
    <cellStyle name="20% - Accent1 2 2 4 3 3" xfId="22231" xr:uid="{39FA568F-B3CA-4FCB-891B-B93D6DF49044}"/>
    <cellStyle name="20% - Accent1 2 2 4 3 4" xfId="13783" xr:uid="{FD15BF72-AD2F-4367-9956-F44273729431}"/>
    <cellStyle name="20% - Accent1 2 2 4 4" xfId="26454" xr:uid="{E111544D-7EE4-495C-9B51-B0DDF280C625}"/>
    <cellStyle name="20% - Accent1 2 2 4 5" xfId="18013" xr:uid="{63FDD36C-84C1-4B68-9FDE-17282F1351D8}"/>
    <cellStyle name="20% - Accent1 2 2 4 6" xfId="9565" xr:uid="{C167FFB1-C625-4626-A950-59240A7D8160}"/>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33230" xr:uid="{4277D24E-93BB-4D89-B383-77834B3B91DD}"/>
    <cellStyle name="20% - Accent1 2 2 5 2 2 3" xfId="24789" xr:uid="{A71E0731-E6D8-499B-905A-E09D0875A3D6}"/>
    <cellStyle name="20% - Accent1 2 2 5 2 2 4" xfId="16341" xr:uid="{66EE0F93-E810-4D97-9D28-D99584A97A98}"/>
    <cellStyle name="20% - Accent1 2 2 5 2 3" xfId="29012" xr:uid="{3157F946-BC6E-4B8C-94FB-5B62F199674D}"/>
    <cellStyle name="20% - Accent1 2 2 5 2 4" xfId="20571" xr:uid="{F9A617A3-9F6E-49ED-B6B8-708AA0B7D045}"/>
    <cellStyle name="20% - Accent1 2 2 5 2 5" xfId="12123" xr:uid="{76FA8469-D4AC-4ECD-9B24-567FEA6F8DA8}"/>
    <cellStyle name="20% - Accent1 2 2 5 3" xfId="5746" xr:uid="{00000000-0005-0000-0000-000023000000}"/>
    <cellStyle name="20% - Accent1 2 2 5 3 2" xfId="31085" xr:uid="{4EC38E31-54CA-436B-BA02-94D283026D76}"/>
    <cellStyle name="20% - Accent1 2 2 5 3 3" xfId="22644" xr:uid="{C526EC26-4B17-47A4-A442-36184455EFE3}"/>
    <cellStyle name="20% - Accent1 2 2 5 3 4" xfId="14196" xr:uid="{A40C0F75-599C-4B79-8F16-1E693C6D5F66}"/>
    <cellStyle name="20% - Accent1 2 2 5 4" xfId="26867" xr:uid="{4323D37A-1958-4FF1-AFC4-36536D252707}"/>
    <cellStyle name="20% - Accent1 2 2 5 5" xfId="18426" xr:uid="{55872F77-3D00-4B77-A714-4FF71E519961}"/>
    <cellStyle name="20% - Accent1 2 2 5 6" xfId="9978" xr:uid="{F5803DBC-802D-431B-A8BB-D6BE165B39EE}"/>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33643" xr:uid="{5BA2255B-4AE3-4D85-A744-31F64CB3F2E8}"/>
    <cellStyle name="20% - Accent1 2 2 6 2 2 3" xfId="25202" xr:uid="{6118840E-F953-45D0-B369-65822A7D0854}"/>
    <cellStyle name="20% - Accent1 2 2 6 2 2 4" xfId="16754" xr:uid="{932153EC-70A7-4298-8156-4F6535CF57A7}"/>
    <cellStyle name="20% - Accent1 2 2 6 2 3" xfId="29425" xr:uid="{DF48B300-1D24-456A-8571-2B6027595E52}"/>
    <cellStyle name="20% - Accent1 2 2 6 2 4" xfId="20984" xr:uid="{930C54B3-B2D1-43E2-B95F-85E07A94C874}"/>
    <cellStyle name="20% - Accent1 2 2 6 2 5" xfId="12536" xr:uid="{9FFC92EE-5CEF-4E9D-A01E-E312D4E7E09A}"/>
    <cellStyle name="20% - Accent1 2 2 6 3" xfId="6159" xr:uid="{00000000-0005-0000-0000-000027000000}"/>
    <cellStyle name="20% - Accent1 2 2 6 3 2" xfId="31498" xr:uid="{9D243134-6A28-4439-968E-201F088E328F}"/>
    <cellStyle name="20% - Accent1 2 2 6 3 3" xfId="23057" xr:uid="{52CA4966-CFA4-4546-85D3-D55A02B63B65}"/>
    <cellStyle name="20% - Accent1 2 2 6 3 4" xfId="14609" xr:uid="{3854C24C-339A-45E3-B70C-B323C89B65AE}"/>
    <cellStyle name="20% - Accent1 2 2 6 4" xfId="27280" xr:uid="{965424B1-A34B-4EF4-B12D-9101F4636F48}"/>
    <cellStyle name="20% - Accent1 2 2 6 5" xfId="18839" xr:uid="{37172983-796A-4C89-A35A-16DA80B57DB7}"/>
    <cellStyle name="20% - Accent1 2 2 6 6" xfId="10391" xr:uid="{47EBE24B-B3D4-4655-B701-136923AFC4B4}"/>
    <cellStyle name="20% - Accent1 2 2 7" xfId="2266" xr:uid="{00000000-0005-0000-0000-000028000000}"/>
    <cellStyle name="20% - Accent1 2 2 7 2" xfId="6572" xr:uid="{00000000-0005-0000-0000-000029000000}"/>
    <cellStyle name="20% - Accent1 2 2 7 2 2" xfId="31911" xr:uid="{9521F49E-FDF4-45D7-9038-7B33D9A18110}"/>
    <cellStyle name="20% - Accent1 2 2 7 2 3" xfId="23470" xr:uid="{FD72EC31-77EF-4F82-A09B-897D2F46382E}"/>
    <cellStyle name="20% - Accent1 2 2 7 2 4" xfId="15022" xr:uid="{11C82A96-B4F4-4A3E-BEA0-17FE34F2A9A1}"/>
    <cellStyle name="20% - Accent1 2 2 7 3" xfId="27693" xr:uid="{0850A13A-85D8-421F-80A5-1781F0C5D4DF}"/>
    <cellStyle name="20% - Accent1 2 2 7 4" xfId="19252" xr:uid="{F08CE999-642D-4731-81A5-9A2DB720B9BA}"/>
    <cellStyle name="20% - Accent1 2 2 7 5" xfId="10804" xr:uid="{3F61A431-CE32-42C1-8A0E-32DF66883959}"/>
    <cellStyle name="20% - Accent1 2 2 8" xfId="4506" xr:uid="{00000000-0005-0000-0000-00002A000000}"/>
    <cellStyle name="20% - Accent1 2 2 8 2" xfId="29845" xr:uid="{A24816E3-C4BB-4221-9364-950EA3ADD1F4}"/>
    <cellStyle name="20% - Accent1 2 2 8 3" xfId="21404" xr:uid="{9B9C6618-64BC-4001-B65F-86C17347C5B5}"/>
    <cellStyle name="20% - Accent1 2 2 8 4" xfId="12956" xr:uid="{7ACCE1E3-E4FE-4262-97D2-CE6E1DE7F847}"/>
    <cellStyle name="20% - Accent1 2 2 9" xfId="25627" xr:uid="{C567D05C-31B5-4FBD-9588-2D5EE28E5A4A}"/>
    <cellStyle name="20% - Accent1 2 3" xfId="5" xr:uid="{00000000-0005-0000-0000-00002B000000}"/>
    <cellStyle name="20% - Accent1 2 3 10" xfId="8740" xr:uid="{67C1A245-179B-4530-A4A2-A8E94F9038DD}"/>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32406" xr:uid="{A262D33D-3260-4650-B1D1-5F80A8E5FE30}"/>
    <cellStyle name="20% - Accent1 2 3 2 2 2 3" xfId="23965" xr:uid="{5F223E06-CCD5-487E-9978-C5A51FB4361C}"/>
    <cellStyle name="20% - Accent1 2 3 2 2 2 4" xfId="15517" xr:uid="{6BA7D83B-7526-4BDF-8A68-C75FBB91CFC7}"/>
    <cellStyle name="20% - Accent1 2 3 2 2 3" xfId="28188" xr:uid="{4DBE1713-772C-4869-BAB7-504C2DB771B6}"/>
    <cellStyle name="20% - Accent1 2 3 2 2 4" xfId="19747" xr:uid="{44B8635A-7C79-4A19-96C6-3192AD03DE4B}"/>
    <cellStyle name="20% - Accent1 2 3 2 2 5" xfId="11299" xr:uid="{1DA96226-7B50-4796-BCE0-AFBC2D670F77}"/>
    <cellStyle name="20% - Accent1 2 3 2 3" xfId="4922" xr:uid="{00000000-0005-0000-0000-00002F000000}"/>
    <cellStyle name="20% - Accent1 2 3 2 3 2" xfId="30261" xr:uid="{51269DF0-9DF9-4909-BA2E-5943574CA834}"/>
    <cellStyle name="20% - Accent1 2 3 2 3 3" xfId="21820" xr:uid="{BE9A0C51-2FDC-48F9-8B74-D9C2752527A9}"/>
    <cellStyle name="20% - Accent1 2 3 2 3 4" xfId="13372" xr:uid="{4E5FB410-1B4C-4CFC-A88F-F10452C84BE1}"/>
    <cellStyle name="20% - Accent1 2 3 2 4" xfId="26043" xr:uid="{7E66F177-6A6F-4518-9D38-F4B1C92C33E5}"/>
    <cellStyle name="20% - Accent1 2 3 2 5" xfId="17602" xr:uid="{5751FB2C-CED3-4D36-8BD7-AD6171110147}"/>
    <cellStyle name="20% - Accent1 2 3 2 6" xfId="9154" xr:uid="{4CAF3915-8ACA-44EE-909C-8FEFE4602979}"/>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32819" xr:uid="{4F1F764C-1C81-4681-B821-0E8989C3D9F9}"/>
    <cellStyle name="20% - Accent1 2 3 3 2 2 3" xfId="24378" xr:uid="{D57E9116-D4AF-45DE-82B3-30E3697AA82B}"/>
    <cellStyle name="20% - Accent1 2 3 3 2 2 4" xfId="15930" xr:uid="{846DDF4A-DF04-415B-9B1D-32DAE186BDA8}"/>
    <cellStyle name="20% - Accent1 2 3 3 2 3" xfId="28601" xr:uid="{4056C39F-7C92-488F-8121-D8AABC3B88BD}"/>
    <cellStyle name="20% - Accent1 2 3 3 2 4" xfId="20160" xr:uid="{0A0F6DAC-216F-43E1-AF36-D8E088DDBD6B}"/>
    <cellStyle name="20% - Accent1 2 3 3 2 5" xfId="11712" xr:uid="{A6F156B2-6CFB-43AA-9A6D-ED91D4BB9B10}"/>
    <cellStyle name="20% - Accent1 2 3 3 3" xfId="5335" xr:uid="{00000000-0005-0000-0000-000033000000}"/>
    <cellStyle name="20% - Accent1 2 3 3 3 2" xfId="30674" xr:uid="{BDFA1A17-4EBC-47C4-9F06-9B7C5BF1DD30}"/>
    <cellStyle name="20% - Accent1 2 3 3 3 3" xfId="22233" xr:uid="{084CB1E6-8CF9-43D7-8B1A-B007F617EF1E}"/>
    <cellStyle name="20% - Accent1 2 3 3 3 4" xfId="13785" xr:uid="{4BE2086F-4B7D-4DBE-A1EA-89C36F4F1563}"/>
    <cellStyle name="20% - Accent1 2 3 3 4" xfId="26456" xr:uid="{A60945D1-9C8B-4C69-B725-F2E250EF773B}"/>
    <cellStyle name="20% - Accent1 2 3 3 5" xfId="18015" xr:uid="{38258970-C404-49D3-BA9A-6A7C69E078B1}"/>
    <cellStyle name="20% - Accent1 2 3 3 6" xfId="9567" xr:uid="{0003AFEB-282C-4B1A-8077-0B59F52E3C16}"/>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33232" xr:uid="{6842C24E-DEB7-4211-B8A6-86FC802C796D}"/>
    <cellStyle name="20% - Accent1 2 3 4 2 2 3" xfId="24791" xr:uid="{F25DADF6-DB8B-4207-A24E-051865D642EC}"/>
    <cellStyle name="20% - Accent1 2 3 4 2 2 4" xfId="16343" xr:uid="{7F24301E-3E0C-4B73-BCEA-401673B0C099}"/>
    <cellStyle name="20% - Accent1 2 3 4 2 3" xfId="29014" xr:uid="{B0CC2B27-F133-4193-BC90-1350AB5EF43E}"/>
    <cellStyle name="20% - Accent1 2 3 4 2 4" xfId="20573" xr:uid="{EE7F823E-F58E-4897-9AA3-599E28E9911A}"/>
    <cellStyle name="20% - Accent1 2 3 4 2 5" xfId="12125" xr:uid="{7CB75041-E4DC-44B1-9AA0-1125ADB9A682}"/>
    <cellStyle name="20% - Accent1 2 3 4 3" xfId="5748" xr:uid="{00000000-0005-0000-0000-000037000000}"/>
    <cellStyle name="20% - Accent1 2 3 4 3 2" xfId="31087" xr:uid="{9636648A-F03F-4D84-8741-DD784B0F6E25}"/>
    <cellStyle name="20% - Accent1 2 3 4 3 3" xfId="22646" xr:uid="{14B538B8-7A09-4D83-B44F-48D5C51D2498}"/>
    <cellStyle name="20% - Accent1 2 3 4 3 4" xfId="14198" xr:uid="{916EEB6E-C1FF-4581-846E-AA4C88528426}"/>
    <cellStyle name="20% - Accent1 2 3 4 4" xfId="26869" xr:uid="{598FA3C7-ED1D-4489-B1D7-B5887B10080B}"/>
    <cellStyle name="20% - Accent1 2 3 4 5" xfId="18428" xr:uid="{9DC38CA6-B4CB-4877-9436-8D96EE8716FF}"/>
    <cellStyle name="20% - Accent1 2 3 4 6" xfId="9980" xr:uid="{F10BBD52-4BEC-418F-80A8-B590C7ED2DDC}"/>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33645" xr:uid="{ECA3ABA5-543F-459E-9B68-CD2CABA64041}"/>
    <cellStyle name="20% - Accent1 2 3 5 2 2 3" xfId="25204" xr:uid="{0DEA931D-AFA1-4F86-B87B-C2ECD4C534FF}"/>
    <cellStyle name="20% - Accent1 2 3 5 2 2 4" xfId="16756" xr:uid="{7E3FAE02-860D-4441-930A-8C2735D47C02}"/>
    <cellStyle name="20% - Accent1 2 3 5 2 3" xfId="29427" xr:uid="{9A839027-3C6C-4C39-B69D-1CFA99D62298}"/>
    <cellStyle name="20% - Accent1 2 3 5 2 4" xfId="20986" xr:uid="{239C6D64-03AE-46AA-A705-B43006485589}"/>
    <cellStyle name="20% - Accent1 2 3 5 2 5" xfId="12538" xr:uid="{379DA29C-938F-4E7F-B39C-23F7AECA9299}"/>
    <cellStyle name="20% - Accent1 2 3 5 3" xfId="6161" xr:uid="{00000000-0005-0000-0000-00003B000000}"/>
    <cellStyle name="20% - Accent1 2 3 5 3 2" xfId="31500" xr:uid="{B69B6108-90F8-48C2-A660-DDA72422ABC9}"/>
    <cellStyle name="20% - Accent1 2 3 5 3 3" xfId="23059" xr:uid="{31D3F998-1FF7-48DB-8D70-73D27458D533}"/>
    <cellStyle name="20% - Accent1 2 3 5 3 4" xfId="14611" xr:uid="{7D0F1F7E-A22E-4776-B38E-CF0596C14A58}"/>
    <cellStyle name="20% - Accent1 2 3 5 4" xfId="27282" xr:uid="{7A3AC410-EC17-439E-A72E-E6A8A9167A52}"/>
    <cellStyle name="20% - Accent1 2 3 5 5" xfId="18841" xr:uid="{52C43F72-E0FB-4DDB-B5FD-01D55D396A5B}"/>
    <cellStyle name="20% - Accent1 2 3 5 6" xfId="10393" xr:uid="{B3BEB2D9-D4BB-49AB-AA3F-C7B309D323DE}"/>
    <cellStyle name="20% - Accent1 2 3 6" xfId="2268" xr:uid="{00000000-0005-0000-0000-00003C000000}"/>
    <cellStyle name="20% - Accent1 2 3 6 2" xfId="6574" xr:uid="{00000000-0005-0000-0000-00003D000000}"/>
    <cellStyle name="20% - Accent1 2 3 6 2 2" xfId="31913" xr:uid="{C658307F-BEB8-4535-96B8-0F54D758B778}"/>
    <cellStyle name="20% - Accent1 2 3 6 2 3" xfId="23472" xr:uid="{003EBC42-EE03-4571-AE70-AE6770046E5C}"/>
    <cellStyle name="20% - Accent1 2 3 6 2 4" xfId="15024" xr:uid="{00E37136-B9CA-4D29-B8D2-0E16FC17E90A}"/>
    <cellStyle name="20% - Accent1 2 3 6 3" xfId="27695" xr:uid="{0C20FD86-B104-4C99-9915-C2B14995B410}"/>
    <cellStyle name="20% - Accent1 2 3 6 4" xfId="19254" xr:uid="{99EDFD7B-D481-4770-A051-65DC5313A028}"/>
    <cellStyle name="20% - Accent1 2 3 6 5" xfId="10806" xr:uid="{93FF18E3-0C2A-4950-8BA1-02FECB890EEC}"/>
    <cellStyle name="20% - Accent1 2 3 7" xfId="4508" xr:uid="{00000000-0005-0000-0000-00003E000000}"/>
    <cellStyle name="20% - Accent1 2 3 7 2" xfId="29847" xr:uid="{5F8C4336-CBA3-40BB-86DF-4527001FD99A}"/>
    <cellStyle name="20% - Accent1 2 3 7 3" xfId="21406" xr:uid="{DE5D1604-3BA9-49D2-A255-28494D1CB8DE}"/>
    <cellStyle name="20% - Accent1 2 3 7 4" xfId="12958" xr:uid="{A2194EB7-8E39-42BC-B252-8D7BAF1B84CE}"/>
    <cellStyle name="20% - Accent1 2 3 8" xfId="25629" xr:uid="{5563E3FD-18A8-457C-9441-E7B530467BE7}"/>
    <cellStyle name="20% - Accent1 2 3 9" xfId="17188" xr:uid="{B004BE58-BBC1-48AC-B198-036A7F063C58}"/>
    <cellStyle name="20% - Accent1 2 4" xfId="571" xr:uid="{00000000-0005-0000-0000-00003F000000}"/>
    <cellStyle name="20% - Accent1 2 4 2" xfId="2842" xr:uid="{00000000-0005-0000-0000-000040000000}"/>
    <cellStyle name="20% - Accent1 2 4 2 2" xfId="7064" xr:uid="{00000000-0005-0000-0000-000041000000}"/>
    <cellStyle name="20% - Accent1 2 4 2 2 2" xfId="32403" xr:uid="{2396531D-9FCB-4441-87F4-BFDC5F1FA0E1}"/>
    <cellStyle name="20% - Accent1 2 4 2 2 3" xfId="23962" xr:uid="{498A466D-0612-4ECF-B8FA-43FA39F9968D}"/>
    <cellStyle name="20% - Accent1 2 4 2 2 4" xfId="15514" xr:uid="{F694AD30-EF82-4A8C-A966-33FCCD1FAABE}"/>
    <cellStyle name="20% - Accent1 2 4 2 3" xfId="28185" xr:uid="{8ACC19FC-FBDF-4BE9-8E81-3BB631EB39C8}"/>
    <cellStyle name="20% - Accent1 2 4 2 4" xfId="19744" xr:uid="{27D22A45-A997-4FE8-8185-59646D2D0A19}"/>
    <cellStyle name="20% - Accent1 2 4 2 5" xfId="11296" xr:uid="{16FD8E55-7C49-4974-9008-DDD6A7680EE8}"/>
    <cellStyle name="20% - Accent1 2 4 3" xfId="4919" xr:uid="{00000000-0005-0000-0000-000042000000}"/>
    <cellStyle name="20% - Accent1 2 4 3 2" xfId="30258" xr:uid="{5E67E86F-4F89-4308-B3A3-B7C21AF4959F}"/>
    <cellStyle name="20% - Accent1 2 4 3 3" xfId="21817" xr:uid="{A7F23F7E-04E0-4134-B93A-35A830C5DEBF}"/>
    <cellStyle name="20% - Accent1 2 4 3 4" xfId="13369" xr:uid="{CA46E23E-721C-4B58-9C30-8ACCAFF7E63F}"/>
    <cellStyle name="20% - Accent1 2 4 4" xfId="26040" xr:uid="{3BA12FDD-A4F3-43B9-B811-F6E4B59DF17A}"/>
    <cellStyle name="20% - Accent1 2 4 5" xfId="17599" xr:uid="{3031A52A-B1BA-4082-9A8D-806AAEDDFCD6}"/>
    <cellStyle name="20% - Accent1 2 4 6" xfId="9151" xr:uid="{CB05CCA1-C41F-451F-A848-D74E301743B6}"/>
    <cellStyle name="20% - Accent1 2 5" xfId="1024" xr:uid="{00000000-0005-0000-0000-000043000000}"/>
    <cellStyle name="20% - Accent1 2 5 2" xfId="3255" xr:uid="{00000000-0005-0000-0000-000044000000}"/>
    <cellStyle name="20% - Accent1 2 5 2 2" xfId="7477" xr:uid="{00000000-0005-0000-0000-000045000000}"/>
    <cellStyle name="20% - Accent1 2 5 2 2 2" xfId="32816" xr:uid="{6432EC43-CB6C-43C7-AB67-9EC424CDCAC5}"/>
    <cellStyle name="20% - Accent1 2 5 2 2 3" xfId="24375" xr:uid="{2F5F5175-7BA3-4DAF-86CB-5BA7EBBA556D}"/>
    <cellStyle name="20% - Accent1 2 5 2 2 4" xfId="15927" xr:uid="{69B1F5BA-E569-4837-8AD4-D2885D124A9D}"/>
    <cellStyle name="20% - Accent1 2 5 2 3" xfId="28598" xr:uid="{9C534280-5AB7-4612-AA06-90F647833548}"/>
    <cellStyle name="20% - Accent1 2 5 2 4" xfId="20157" xr:uid="{897F06A1-796E-4595-839C-4E1DF3A9E1C6}"/>
    <cellStyle name="20% - Accent1 2 5 2 5" xfId="11709" xr:uid="{CBFB7849-2D18-47A2-8017-135530B15A6B}"/>
    <cellStyle name="20% - Accent1 2 5 3" xfId="5332" xr:uid="{00000000-0005-0000-0000-000046000000}"/>
    <cellStyle name="20% - Accent1 2 5 3 2" xfId="30671" xr:uid="{009DE1C2-184A-4796-8FBA-586B9971E4BC}"/>
    <cellStyle name="20% - Accent1 2 5 3 3" xfId="22230" xr:uid="{B2867E8E-6807-456F-9E50-BB764C8A8EBA}"/>
    <cellStyle name="20% - Accent1 2 5 3 4" xfId="13782" xr:uid="{CE23D773-6B2E-48B8-8400-6A8A4A62BF04}"/>
    <cellStyle name="20% - Accent1 2 5 4" xfId="26453" xr:uid="{E2E953FC-0D1D-4FDE-B49B-1DFE6AABCB28}"/>
    <cellStyle name="20% - Accent1 2 5 5" xfId="18012" xr:uid="{83B2B639-5F9D-415A-954A-62047AAA7946}"/>
    <cellStyle name="20% - Accent1 2 5 6" xfId="9564" xr:uid="{0B10E7B0-1200-4CCB-B062-AE8B64F1B0CA}"/>
    <cellStyle name="20% - Accent1 2 6" xfId="1438" xr:uid="{00000000-0005-0000-0000-000047000000}"/>
    <cellStyle name="20% - Accent1 2 6 2" xfId="3668" xr:uid="{00000000-0005-0000-0000-000048000000}"/>
    <cellStyle name="20% - Accent1 2 6 2 2" xfId="7890" xr:uid="{00000000-0005-0000-0000-000049000000}"/>
    <cellStyle name="20% - Accent1 2 6 2 2 2" xfId="33229" xr:uid="{9D83D63F-0D45-4CE8-9B53-5A8710F88D63}"/>
    <cellStyle name="20% - Accent1 2 6 2 2 3" xfId="24788" xr:uid="{D1AA21D4-9E2D-497F-BBD9-02BA84F7600F}"/>
    <cellStyle name="20% - Accent1 2 6 2 2 4" xfId="16340" xr:uid="{0337B116-CE98-4362-B7C0-D0F162DD0456}"/>
    <cellStyle name="20% - Accent1 2 6 2 3" xfId="29011" xr:uid="{763918EA-4CC8-4B90-9249-93B2CDDF9BB9}"/>
    <cellStyle name="20% - Accent1 2 6 2 4" xfId="20570" xr:uid="{805134DC-BC3C-40D3-B559-3678676CF070}"/>
    <cellStyle name="20% - Accent1 2 6 2 5" xfId="12122" xr:uid="{9D1CF93E-EA95-4157-A5C2-7DA6DBFD0AAF}"/>
    <cellStyle name="20% - Accent1 2 6 3" xfId="5745" xr:uid="{00000000-0005-0000-0000-00004A000000}"/>
    <cellStyle name="20% - Accent1 2 6 3 2" xfId="31084" xr:uid="{C06FB163-8068-4D16-B8E6-B1E7876AFEB0}"/>
    <cellStyle name="20% - Accent1 2 6 3 3" xfId="22643" xr:uid="{1A6C552A-BF2B-4269-BE55-D63F662235EC}"/>
    <cellStyle name="20% - Accent1 2 6 3 4" xfId="14195" xr:uid="{131D5086-6615-49A7-9C11-05E0E3883C91}"/>
    <cellStyle name="20% - Accent1 2 6 4" xfId="26866" xr:uid="{33C2DE1B-B719-475C-9CB6-3EC1E70C1D42}"/>
    <cellStyle name="20% - Accent1 2 6 5" xfId="18425" xr:uid="{EB095052-EA08-4048-9C14-2A398104223B}"/>
    <cellStyle name="20% - Accent1 2 6 6" xfId="9977" xr:uid="{77D55C49-C1F0-477A-B22B-83CE1315E147}"/>
    <cellStyle name="20% - Accent1 2 7" xfId="1852" xr:uid="{00000000-0005-0000-0000-00004B000000}"/>
    <cellStyle name="20% - Accent1 2 7 2" xfId="4081" xr:uid="{00000000-0005-0000-0000-00004C000000}"/>
    <cellStyle name="20% - Accent1 2 7 2 2" xfId="8303" xr:uid="{00000000-0005-0000-0000-00004D000000}"/>
    <cellStyle name="20% - Accent1 2 7 2 2 2" xfId="33642" xr:uid="{441ED86F-88ED-4104-870D-6E2705D15A12}"/>
    <cellStyle name="20% - Accent1 2 7 2 2 3" xfId="25201" xr:uid="{C099D86F-E4B7-4623-B512-99DC57F5BC8B}"/>
    <cellStyle name="20% - Accent1 2 7 2 2 4" xfId="16753" xr:uid="{0F4FB628-BABA-4B8E-9BAA-42E10C746F52}"/>
    <cellStyle name="20% - Accent1 2 7 2 3" xfId="29424" xr:uid="{4B5AC5BF-0E20-4AC3-A8F1-FE530D6D19DA}"/>
    <cellStyle name="20% - Accent1 2 7 2 4" xfId="20983" xr:uid="{8D8B719A-6728-4026-89B5-7EDB127FB4E1}"/>
    <cellStyle name="20% - Accent1 2 7 2 5" xfId="12535" xr:uid="{83105CBB-3A53-4C5B-BD19-3B16EFCA7CC8}"/>
    <cellStyle name="20% - Accent1 2 7 3" xfId="6158" xr:uid="{00000000-0005-0000-0000-00004E000000}"/>
    <cellStyle name="20% - Accent1 2 7 3 2" xfId="31497" xr:uid="{D5FBE540-C8D6-4FC5-94C2-8343CF137448}"/>
    <cellStyle name="20% - Accent1 2 7 3 3" xfId="23056" xr:uid="{C3E8245A-0383-4331-B3FD-F395D0840EA6}"/>
    <cellStyle name="20% - Accent1 2 7 3 4" xfId="14608" xr:uid="{81066389-44FE-4790-8AAA-D3153CDE7792}"/>
    <cellStyle name="20% - Accent1 2 7 4" xfId="27279" xr:uid="{1D1EAC30-0B20-488E-8B98-B6E6C2D0D465}"/>
    <cellStyle name="20% - Accent1 2 7 5" xfId="18838" xr:uid="{7DDF2720-0D0B-47BB-821F-E398ACF2E0D5}"/>
    <cellStyle name="20% - Accent1 2 7 6" xfId="10390" xr:uid="{1D04F98D-2934-4FBB-998B-1D10AD6B65B1}"/>
    <cellStyle name="20% - Accent1 2 8" xfId="2265" xr:uid="{00000000-0005-0000-0000-00004F000000}"/>
    <cellStyle name="20% - Accent1 2 8 2" xfId="6571" xr:uid="{00000000-0005-0000-0000-000050000000}"/>
    <cellStyle name="20% - Accent1 2 8 2 2" xfId="31910" xr:uid="{40E03CC1-35B3-444E-9725-AF605C5B8D97}"/>
    <cellStyle name="20% - Accent1 2 8 2 3" xfId="23469" xr:uid="{525F3508-A402-4A21-A00D-597184D0AA0A}"/>
    <cellStyle name="20% - Accent1 2 8 2 4" xfId="15021" xr:uid="{407C3BC1-DD55-455B-A01C-216659CEED2E}"/>
    <cellStyle name="20% - Accent1 2 8 3" xfId="27692" xr:uid="{D8D82677-58C6-4CAA-960E-E9E7982B2F96}"/>
    <cellStyle name="20% - Accent1 2 8 4" xfId="19251" xr:uid="{C3FA86B8-D314-4B02-9E9A-5E4FBCF37A95}"/>
    <cellStyle name="20% - Accent1 2 8 5" xfId="10803" xr:uid="{0A4687EB-48F6-476B-B461-3419ABABA8A6}"/>
    <cellStyle name="20% - Accent1 2 9" xfId="4505" xr:uid="{00000000-0005-0000-0000-000051000000}"/>
    <cellStyle name="20% - Accent1 2 9 2" xfId="29844" xr:uid="{A70A47D9-D0F1-4FCE-9DC3-BB6CD80A3BBA}"/>
    <cellStyle name="20% - Accent1 2 9 3" xfId="21403" xr:uid="{5976D36B-C15A-4BBA-9184-BC063ADCB972}"/>
    <cellStyle name="20% - Accent1 2 9 4" xfId="12955" xr:uid="{BF3BAC9C-8427-4263-9C9D-9330961BF684}"/>
    <cellStyle name="20% - Accent1 3" xfId="6" xr:uid="{00000000-0005-0000-0000-000052000000}"/>
    <cellStyle name="20% - Accent1 3 10" xfId="17189" xr:uid="{21C92F86-E120-4571-B137-29C82A7E3FBC}"/>
    <cellStyle name="20% - Accent1 3 11" xfId="8741" xr:uid="{C40DCB9D-1031-4D89-BA2D-FB5C27050002}"/>
    <cellStyle name="20% - Accent1 3 2" xfId="7" xr:uid="{00000000-0005-0000-0000-000053000000}"/>
    <cellStyle name="20% - Accent1 3 2 10" xfId="8742" xr:uid="{CE76A9C6-55F7-4253-B9BF-1E4110988753}"/>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32408" xr:uid="{DAC10BCD-DA14-4032-AA85-A2320B036B0A}"/>
    <cellStyle name="20% - Accent1 3 2 2 2 2 3" xfId="23967" xr:uid="{B5453B15-7506-4572-9C40-B0B0885C5FF6}"/>
    <cellStyle name="20% - Accent1 3 2 2 2 2 4" xfId="15519" xr:uid="{A20410C4-0A1B-43CF-B799-7630633F6FAD}"/>
    <cellStyle name="20% - Accent1 3 2 2 2 3" xfId="28190" xr:uid="{AAEDE8B9-5B47-45E7-8993-BB35791EF420}"/>
    <cellStyle name="20% - Accent1 3 2 2 2 4" xfId="19749" xr:uid="{B664541F-48AE-48C8-A837-CD1981818A41}"/>
    <cellStyle name="20% - Accent1 3 2 2 2 5" xfId="11301" xr:uid="{19234668-489D-4A26-8818-AAEE2ED1F6BC}"/>
    <cellStyle name="20% - Accent1 3 2 2 3" xfId="4924" xr:uid="{00000000-0005-0000-0000-000057000000}"/>
    <cellStyle name="20% - Accent1 3 2 2 3 2" xfId="30263" xr:uid="{03650170-F4CD-4601-AD00-C6152C871980}"/>
    <cellStyle name="20% - Accent1 3 2 2 3 3" xfId="21822" xr:uid="{C00AF960-C89A-4297-92D5-6CBFDE081017}"/>
    <cellStyle name="20% - Accent1 3 2 2 3 4" xfId="13374" xr:uid="{480DD4BB-D5E4-4652-A35B-931E17196CE2}"/>
    <cellStyle name="20% - Accent1 3 2 2 4" xfId="26045" xr:uid="{E2331C98-0DFB-4784-816A-8C43E3AFEB70}"/>
    <cellStyle name="20% - Accent1 3 2 2 5" xfId="17604" xr:uid="{60338120-E648-4C3E-B18B-85AF532A76B1}"/>
    <cellStyle name="20% - Accent1 3 2 2 6" xfId="9156" xr:uid="{138DBE8B-3CB4-4CC2-8C6E-AAB2AA94F697}"/>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32821" xr:uid="{3AAC3980-F50A-46A1-9C55-F8F7E466C274}"/>
    <cellStyle name="20% - Accent1 3 2 3 2 2 3" xfId="24380" xr:uid="{383BE23C-3593-4F77-80CF-B7CCF0D70101}"/>
    <cellStyle name="20% - Accent1 3 2 3 2 2 4" xfId="15932" xr:uid="{A05D1470-D9C0-41BC-8B0B-EB9C031909AC}"/>
    <cellStyle name="20% - Accent1 3 2 3 2 3" xfId="28603" xr:uid="{12CB6645-1CF3-40B3-AB4F-BB0E85716DE4}"/>
    <cellStyle name="20% - Accent1 3 2 3 2 4" xfId="20162" xr:uid="{858E0174-DB00-44F9-BAE7-DE06579C71AB}"/>
    <cellStyle name="20% - Accent1 3 2 3 2 5" xfId="11714" xr:uid="{ED4AC5D1-DEC9-425C-944E-AB59937DD30D}"/>
    <cellStyle name="20% - Accent1 3 2 3 3" xfId="5337" xr:uid="{00000000-0005-0000-0000-00005B000000}"/>
    <cellStyle name="20% - Accent1 3 2 3 3 2" xfId="30676" xr:uid="{13AC3363-48E4-4547-A0A9-0F44186872E4}"/>
    <cellStyle name="20% - Accent1 3 2 3 3 3" xfId="22235" xr:uid="{4682B255-8C1F-4A6C-912D-BA6505CC6B88}"/>
    <cellStyle name="20% - Accent1 3 2 3 3 4" xfId="13787" xr:uid="{019D9510-6D55-42D0-8D7E-EDA36615F20F}"/>
    <cellStyle name="20% - Accent1 3 2 3 4" xfId="26458" xr:uid="{5BA104BC-74E6-4A12-8E5B-471621796CF8}"/>
    <cellStyle name="20% - Accent1 3 2 3 5" xfId="18017" xr:uid="{18E1F0F3-2FA8-4EC4-B557-345FDFCCA2F9}"/>
    <cellStyle name="20% - Accent1 3 2 3 6" xfId="9569" xr:uid="{D212F894-BE6D-4C13-9408-AB44418A0C20}"/>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33234" xr:uid="{43B3C9C1-E12B-44DF-AE06-0BB531DFC65F}"/>
    <cellStyle name="20% - Accent1 3 2 4 2 2 3" xfId="24793" xr:uid="{AF0126A7-33A4-42AE-BFDF-FA3B25541477}"/>
    <cellStyle name="20% - Accent1 3 2 4 2 2 4" xfId="16345" xr:uid="{832A60B7-5FC1-48F3-AE4D-1FA2409C16BF}"/>
    <cellStyle name="20% - Accent1 3 2 4 2 3" xfId="29016" xr:uid="{D4E44EEC-C571-4509-BCC3-E89D48DBD7A3}"/>
    <cellStyle name="20% - Accent1 3 2 4 2 4" xfId="20575" xr:uid="{34E61B7E-0565-4228-A63F-DC44671B7768}"/>
    <cellStyle name="20% - Accent1 3 2 4 2 5" xfId="12127" xr:uid="{2C0E0A2C-5377-489B-9FC4-B4F3340B40E0}"/>
    <cellStyle name="20% - Accent1 3 2 4 3" xfId="5750" xr:uid="{00000000-0005-0000-0000-00005F000000}"/>
    <cellStyle name="20% - Accent1 3 2 4 3 2" xfId="31089" xr:uid="{74AA6346-E1BF-4F14-9C02-E633BCDA1315}"/>
    <cellStyle name="20% - Accent1 3 2 4 3 3" xfId="22648" xr:uid="{7BD8D225-AF37-42F8-96E5-DE76DA7E637C}"/>
    <cellStyle name="20% - Accent1 3 2 4 3 4" xfId="14200" xr:uid="{A88F9C20-0537-4493-930B-7416F715AA12}"/>
    <cellStyle name="20% - Accent1 3 2 4 4" xfId="26871" xr:uid="{AA1A429B-90FB-48A4-8A50-916C201131E0}"/>
    <cellStyle name="20% - Accent1 3 2 4 5" xfId="18430" xr:uid="{95654034-AB9C-4761-8677-6CD6DB3090A1}"/>
    <cellStyle name="20% - Accent1 3 2 4 6" xfId="9982" xr:uid="{150CC61D-CF9C-49C6-8D5D-B16A2CAD22E4}"/>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33647" xr:uid="{6AB65ADA-8BDE-4734-9689-BD5510A1181B}"/>
    <cellStyle name="20% - Accent1 3 2 5 2 2 3" xfId="25206" xr:uid="{98171423-F445-42B8-9E29-C6087FF862F8}"/>
    <cellStyle name="20% - Accent1 3 2 5 2 2 4" xfId="16758" xr:uid="{563F0757-8448-404B-BB87-9A906018062A}"/>
    <cellStyle name="20% - Accent1 3 2 5 2 3" xfId="29429" xr:uid="{9B2383E3-442D-4C40-952F-4D7CF94C18AB}"/>
    <cellStyle name="20% - Accent1 3 2 5 2 4" xfId="20988" xr:uid="{1AB5CB6B-CACF-4645-B7BA-038B8E9A6F61}"/>
    <cellStyle name="20% - Accent1 3 2 5 2 5" xfId="12540" xr:uid="{3DA64F17-9D64-4CC2-8B2E-E002F1AA33E9}"/>
    <cellStyle name="20% - Accent1 3 2 5 3" xfId="6163" xr:uid="{00000000-0005-0000-0000-000063000000}"/>
    <cellStyle name="20% - Accent1 3 2 5 3 2" xfId="31502" xr:uid="{21B384BB-7C65-47DF-88EA-FB6F67EFD16D}"/>
    <cellStyle name="20% - Accent1 3 2 5 3 3" xfId="23061" xr:uid="{404531C3-3EC2-4011-9602-197E197B4840}"/>
    <cellStyle name="20% - Accent1 3 2 5 3 4" xfId="14613" xr:uid="{EC9C5C9B-E74D-4D2E-8286-B0CCBE645BE4}"/>
    <cellStyle name="20% - Accent1 3 2 5 4" xfId="27284" xr:uid="{C8565DFA-05B8-41A6-A776-115096E87A36}"/>
    <cellStyle name="20% - Accent1 3 2 5 5" xfId="18843" xr:uid="{7802A688-CE1A-4A2A-9415-3D3D27DA3F62}"/>
    <cellStyle name="20% - Accent1 3 2 5 6" xfId="10395" xr:uid="{99F9AD41-F5BC-40E3-A31A-92E812AC93E1}"/>
    <cellStyle name="20% - Accent1 3 2 6" xfId="2270" xr:uid="{00000000-0005-0000-0000-000064000000}"/>
    <cellStyle name="20% - Accent1 3 2 6 2" xfId="6576" xr:uid="{00000000-0005-0000-0000-000065000000}"/>
    <cellStyle name="20% - Accent1 3 2 6 2 2" xfId="31915" xr:uid="{C3998E67-C143-475D-B2B5-7B33FF9CD57C}"/>
    <cellStyle name="20% - Accent1 3 2 6 2 3" xfId="23474" xr:uid="{67474458-FCF5-4B99-8D47-29AFBAD2D90F}"/>
    <cellStyle name="20% - Accent1 3 2 6 2 4" xfId="15026" xr:uid="{3E3EE8C9-8F14-4AF9-803C-065AF267ED31}"/>
    <cellStyle name="20% - Accent1 3 2 6 3" xfId="27697" xr:uid="{30EB44A1-994D-4FE4-963D-197C3492D05C}"/>
    <cellStyle name="20% - Accent1 3 2 6 4" xfId="19256" xr:uid="{74280183-9B3C-4AB4-B046-BB755E6EB84E}"/>
    <cellStyle name="20% - Accent1 3 2 6 5" xfId="10808" xr:uid="{A869FB83-F45B-4EAB-AD0F-5DDB720522F2}"/>
    <cellStyle name="20% - Accent1 3 2 7" xfId="4510" xr:uid="{00000000-0005-0000-0000-000066000000}"/>
    <cellStyle name="20% - Accent1 3 2 7 2" xfId="29849" xr:uid="{DDAE6537-F243-4962-ADE7-B2D4E3BEC09C}"/>
    <cellStyle name="20% - Accent1 3 2 7 3" xfId="21408" xr:uid="{20341273-438D-424E-9972-71AF41867ED5}"/>
    <cellStyle name="20% - Accent1 3 2 7 4" xfId="12960" xr:uid="{9C621B44-2AF9-43D8-8E3A-E41FE55D8D73}"/>
    <cellStyle name="20% - Accent1 3 2 8" xfId="25631" xr:uid="{A21B0545-9FB4-4DE8-BAD7-C14AE113DA24}"/>
    <cellStyle name="20% - Accent1 3 2 9" xfId="17190" xr:uid="{33F030AC-B31E-4E59-858C-06A2F3C5590C}"/>
    <cellStyle name="20% - Accent1 3 3" xfId="575" xr:uid="{00000000-0005-0000-0000-000067000000}"/>
    <cellStyle name="20% - Accent1 3 3 2" xfId="2846" xr:uid="{00000000-0005-0000-0000-000068000000}"/>
    <cellStyle name="20% - Accent1 3 3 2 2" xfId="7068" xr:uid="{00000000-0005-0000-0000-000069000000}"/>
    <cellStyle name="20% - Accent1 3 3 2 2 2" xfId="32407" xr:uid="{AFF0DB66-6BB9-4CDC-A4FF-A6CA5FE72BCE}"/>
    <cellStyle name="20% - Accent1 3 3 2 2 3" xfId="23966" xr:uid="{C375D802-432D-4BD3-BF79-27B2BE4C2F4B}"/>
    <cellStyle name="20% - Accent1 3 3 2 2 4" xfId="15518" xr:uid="{60B5F7E1-DE66-4507-8D30-0483B7187B09}"/>
    <cellStyle name="20% - Accent1 3 3 2 3" xfId="28189" xr:uid="{584234DB-3810-4C82-BB10-CDD7846DBE8E}"/>
    <cellStyle name="20% - Accent1 3 3 2 4" xfId="19748" xr:uid="{2CF77929-51CF-4543-B743-3D1CAD9AA535}"/>
    <cellStyle name="20% - Accent1 3 3 2 5" xfId="11300" xr:uid="{4854F2D9-79A6-40E2-9200-A044C9EFA7D4}"/>
    <cellStyle name="20% - Accent1 3 3 3" xfId="4923" xr:uid="{00000000-0005-0000-0000-00006A000000}"/>
    <cellStyle name="20% - Accent1 3 3 3 2" xfId="30262" xr:uid="{4FA5C8AC-98F6-4B79-B889-33DD638F870F}"/>
    <cellStyle name="20% - Accent1 3 3 3 3" xfId="21821" xr:uid="{EB771A7B-1572-48D9-8D51-C1F30286AD20}"/>
    <cellStyle name="20% - Accent1 3 3 3 4" xfId="13373" xr:uid="{4143BD64-D1FC-4EBA-AB7D-C623BA24E1DE}"/>
    <cellStyle name="20% - Accent1 3 3 4" xfId="26044" xr:uid="{20DC28B6-5C59-4017-9DDF-231ABF3F9083}"/>
    <cellStyle name="20% - Accent1 3 3 5" xfId="17603" xr:uid="{07B62F66-EE95-404F-BD14-479CACA5844A}"/>
    <cellStyle name="20% - Accent1 3 3 6" xfId="9155" xr:uid="{77C99D87-8732-4A81-B752-A1DE21A50158}"/>
    <cellStyle name="20% - Accent1 3 4" xfId="1028" xr:uid="{00000000-0005-0000-0000-00006B000000}"/>
    <cellStyle name="20% - Accent1 3 4 2" xfId="3259" xr:uid="{00000000-0005-0000-0000-00006C000000}"/>
    <cellStyle name="20% - Accent1 3 4 2 2" xfId="7481" xr:uid="{00000000-0005-0000-0000-00006D000000}"/>
    <cellStyle name="20% - Accent1 3 4 2 2 2" xfId="32820" xr:uid="{2843955D-6BE5-427A-AC59-71B82A23276D}"/>
    <cellStyle name="20% - Accent1 3 4 2 2 3" xfId="24379" xr:uid="{533DED08-813C-4267-A719-851CA60FBE42}"/>
    <cellStyle name="20% - Accent1 3 4 2 2 4" xfId="15931" xr:uid="{83784EA3-69A2-45A6-8D94-9ADC86307F74}"/>
    <cellStyle name="20% - Accent1 3 4 2 3" xfId="28602" xr:uid="{0E493316-413A-4D82-ADEA-15261408C911}"/>
    <cellStyle name="20% - Accent1 3 4 2 4" xfId="20161" xr:uid="{C4702CE3-F16E-451C-8D2D-A99D52D4F0E9}"/>
    <cellStyle name="20% - Accent1 3 4 2 5" xfId="11713" xr:uid="{FA1DF1DC-FFEB-4D94-A5C7-3D7E0DE2575E}"/>
    <cellStyle name="20% - Accent1 3 4 3" xfId="5336" xr:uid="{00000000-0005-0000-0000-00006E000000}"/>
    <cellStyle name="20% - Accent1 3 4 3 2" xfId="30675" xr:uid="{0989DFE8-2822-4D38-96CA-7FFEFC64A671}"/>
    <cellStyle name="20% - Accent1 3 4 3 3" xfId="22234" xr:uid="{FCE0A3D3-2AED-4FAF-9D0C-7229B10E7B4B}"/>
    <cellStyle name="20% - Accent1 3 4 3 4" xfId="13786" xr:uid="{D734C683-B43C-430D-A3FF-F91100C8A9FE}"/>
    <cellStyle name="20% - Accent1 3 4 4" xfId="26457" xr:uid="{14D5E46E-24F3-45E2-BE09-71DF5D6C9C10}"/>
    <cellStyle name="20% - Accent1 3 4 5" xfId="18016" xr:uid="{B15DA748-8281-44F7-AA7D-85C0A02DCE91}"/>
    <cellStyle name="20% - Accent1 3 4 6" xfId="9568" xr:uid="{AA1B9B7B-97C5-4C48-B579-3FAC0A5C053E}"/>
    <cellStyle name="20% - Accent1 3 5" xfId="1442" xr:uid="{00000000-0005-0000-0000-00006F000000}"/>
    <cellStyle name="20% - Accent1 3 5 2" xfId="3672" xr:uid="{00000000-0005-0000-0000-000070000000}"/>
    <cellStyle name="20% - Accent1 3 5 2 2" xfId="7894" xr:uid="{00000000-0005-0000-0000-000071000000}"/>
    <cellStyle name="20% - Accent1 3 5 2 2 2" xfId="33233" xr:uid="{75DC2238-8DF4-4257-AF51-26E4DB431EA9}"/>
    <cellStyle name="20% - Accent1 3 5 2 2 3" xfId="24792" xr:uid="{EB0812EC-2B3C-413E-9C72-DB7E0FAAF473}"/>
    <cellStyle name="20% - Accent1 3 5 2 2 4" xfId="16344" xr:uid="{08F7F22C-D063-4677-9AB9-83E437211677}"/>
    <cellStyle name="20% - Accent1 3 5 2 3" xfId="29015" xr:uid="{E6CAD394-2E99-4A3D-8DD6-185E8DECF9E5}"/>
    <cellStyle name="20% - Accent1 3 5 2 4" xfId="20574" xr:uid="{E3FE2616-792A-4843-96D2-0B9057C2C4EA}"/>
    <cellStyle name="20% - Accent1 3 5 2 5" xfId="12126" xr:uid="{1BB4EA81-CA57-434C-81C0-DBB4C35C23A5}"/>
    <cellStyle name="20% - Accent1 3 5 3" xfId="5749" xr:uid="{00000000-0005-0000-0000-000072000000}"/>
    <cellStyle name="20% - Accent1 3 5 3 2" xfId="31088" xr:uid="{BE44EEEF-44E7-4311-AF89-CB3F1424D94E}"/>
    <cellStyle name="20% - Accent1 3 5 3 3" xfId="22647" xr:uid="{6B8CDF37-140D-4DAB-AA28-2624FAB5357B}"/>
    <cellStyle name="20% - Accent1 3 5 3 4" xfId="14199" xr:uid="{41E20F87-DB54-4DBC-A4A8-695B01992C6A}"/>
    <cellStyle name="20% - Accent1 3 5 4" xfId="26870" xr:uid="{43E84BB4-CE28-4483-835C-94B004107C52}"/>
    <cellStyle name="20% - Accent1 3 5 5" xfId="18429" xr:uid="{C71AB045-F1AF-421A-AB70-76749AAE9D95}"/>
    <cellStyle name="20% - Accent1 3 5 6" xfId="9981" xr:uid="{19849A61-2C67-4493-A1A7-C3F08AB01BB2}"/>
    <cellStyle name="20% - Accent1 3 6" xfId="1856" xr:uid="{00000000-0005-0000-0000-000073000000}"/>
    <cellStyle name="20% - Accent1 3 6 2" xfId="4085" xr:uid="{00000000-0005-0000-0000-000074000000}"/>
    <cellStyle name="20% - Accent1 3 6 2 2" xfId="8307" xr:uid="{00000000-0005-0000-0000-000075000000}"/>
    <cellStyle name="20% - Accent1 3 6 2 2 2" xfId="33646" xr:uid="{D9F2E110-BE69-4AB8-9BA4-9962CB2D3EB2}"/>
    <cellStyle name="20% - Accent1 3 6 2 2 3" xfId="25205" xr:uid="{C364C9F6-C790-43E4-84F2-D6127F40D50C}"/>
    <cellStyle name="20% - Accent1 3 6 2 2 4" xfId="16757" xr:uid="{5870EAA0-7648-4532-8130-BBABFDB6CE5B}"/>
    <cellStyle name="20% - Accent1 3 6 2 3" xfId="29428" xr:uid="{ACD4AC83-4AE0-4B1A-8EE5-CEB668919243}"/>
    <cellStyle name="20% - Accent1 3 6 2 4" xfId="20987" xr:uid="{945931CA-10C6-45F7-84BD-C5A74057C567}"/>
    <cellStyle name="20% - Accent1 3 6 2 5" xfId="12539" xr:uid="{8FE8598E-E0D2-422C-8554-FFC82E7961E4}"/>
    <cellStyle name="20% - Accent1 3 6 3" xfId="6162" xr:uid="{00000000-0005-0000-0000-000076000000}"/>
    <cellStyle name="20% - Accent1 3 6 3 2" xfId="31501" xr:uid="{28EDFCC6-D4E7-472E-BC4B-E1DF8B062C50}"/>
    <cellStyle name="20% - Accent1 3 6 3 3" xfId="23060" xr:uid="{2A18610B-1EDC-4700-863F-C05568B35EDE}"/>
    <cellStyle name="20% - Accent1 3 6 3 4" xfId="14612" xr:uid="{5885AA8A-5757-4F1B-AC1C-12BCB7A5E178}"/>
    <cellStyle name="20% - Accent1 3 6 4" xfId="27283" xr:uid="{5CCB2CA7-E480-4A22-9709-D1B84538CDF9}"/>
    <cellStyle name="20% - Accent1 3 6 5" xfId="18842" xr:uid="{2FF1F37D-D54A-43D0-8C80-0821DD2E986F}"/>
    <cellStyle name="20% - Accent1 3 6 6" xfId="10394" xr:uid="{8D695862-C38E-413B-ABC7-7C270174D1D6}"/>
    <cellStyle name="20% - Accent1 3 7" xfId="2269" xr:uid="{00000000-0005-0000-0000-000077000000}"/>
    <cellStyle name="20% - Accent1 3 7 2" xfId="6575" xr:uid="{00000000-0005-0000-0000-000078000000}"/>
    <cellStyle name="20% - Accent1 3 7 2 2" xfId="31914" xr:uid="{5A9F8A34-A570-4DB1-AD27-463D76E00F79}"/>
    <cellStyle name="20% - Accent1 3 7 2 3" xfId="23473" xr:uid="{CC8CEBD0-7787-4605-A786-5D46C782F20F}"/>
    <cellStyle name="20% - Accent1 3 7 2 4" xfId="15025" xr:uid="{D18DD4DE-6935-430C-A317-A199D93BCBEC}"/>
    <cellStyle name="20% - Accent1 3 7 3" xfId="27696" xr:uid="{1CCB6D5D-0725-4258-A94B-819E73C29292}"/>
    <cellStyle name="20% - Accent1 3 7 4" xfId="19255" xr:uid="{BD111144-F9EC-4DEF-818E-493CE2479491}"/>
    <cellStyle name="20% - Accent1 3 7 5" xfId="10807" xr:uid="{FC1F3E95-3981-4802-B044-6B1C1C904CFB}"/>
    <cellStyle name="20% - Accent1 3 8" xfId="4509" xr:uid="{00000000-0005-0000-0000-000079000000}"/>
    <cellStyle name="20% - Accent1 3 8 2" xfId="29848" xr:uid="{3B1D51B1-74B5-4451-8AA4-DDED47AD3CA9}"/>
    <cellStyle name="20% - Accent1 3 8 3" xfId="21407" xr:uid="{CF3D0BBC-658E-4AF5-B176-264EB7E1C05C}"/>
    <cellStyle name="20% - Accent1 3 8 4" xfId="12959" xr:uid="{8676B9C6-830D-4F37-80B0-775032F27433}"/>
    <cellStyle name="20% - Accent1 3 9" xfId="25630" xr:uid="{6B3296DE-5E08-4100-A111-A9E49F8D7D84}"/>
    <cellStyle name="20% - Accent1 4" xfId="8" xr:uid="{00000000-0005-0000-0000-00007A000000}"/>
    <cellStyle name="20% - Accent1 4 10" xfId="8743" xr:uid="{4F8C8976-BBD0-4FFE-9C03-5C98AAC5CA10}"/>
    <cellStyle name="20% - Accent1 4 2" xfId="577" xr:uid="{00000000-0005-0000-0000-00007B000000}"/>
    <cellStyle name="20% - Accent1 4 2 2" xfId="2848" xr:uid="{00000000-0005-0000-0000-00007C000000}"/>
    <cellStyle name="20% - Accent1 4 2 2 2" xfId="7070" xr:uid="{00000000-0005-0000-0000-00007D000000}"/>
    <cellStyle name="20% - Accent1 4 2 2 2 2" xfId="32409" xr:uid="{C116F1CA-3143-46FB-A82F-436657242EFF}"/>
    <cellStyle name="20% - Accent1 4 2 2 2 3" xfId="23968" xr:uid="{2BD56563-7F3E-480A-A6B6-585CD4170735}"/>
    <cellStyle name="20% - Accent1 4 2 2 2 4" xfId="15520" xr:uid="{A40F099B-18EB-4BE3-A352-6ED70390764C}"/>
    <cellStyle name="20% - Accent1 4 2 2 3" xfId="28191" xr:uid="{1977F38B-9FB0-4DD7-BD48-54D42C3BE83B}"/>
    <cellStyle name="20% - Accent1 4 2 2 4" xfId="19750" xr:uid="{5FF6F378-FDA4-454E-9C1B-B1668346DA2F}"/>
    <cellStyle name="20% - Accent1 4 2 2 5" xfId="11302" xr:uid="{9ED23FA4-D6AD-4FD1-AFE1-84A679B29F8C}"/>
    <cellStyle name="20% - Accent1 4 2 3" xfId="4925" xr:uid="{00000000-0005-0000-0000-00007E000000}"/>
    <cellStyle name="20% - Accent1 4 2 3 2" xfId="30264" xr:uid="{A8133A95-AE42-4353-94ED-2E5FE565B852}"/>
    <cellStyle name="20% - Accent1 4 2 3 3" xfId="21823" xr:uid="{6F4E9DB4-196E-4F96-88E2-3B792EF41FC4}"/>
    <cellStyle name="20% - Accent1 4 2 3 4" xfId="13375" xr:uid="{E0560E7E-D772-4922-BE1F-0B2B70B34522}"/>
    <cellStyle name="20% - Accent1 4 2 4" xfId="26046" xr:uid="{6FA9771E-D226-4AA4-A88C-4D11030B3382}"/>
    <cellStyle name="20% - Accent1 4 2 5" xfId="17605" xr:uid="{145A8238-1424-4BF8-B820-E2CBC9C45E1D}"/>
    <cellStyle name="20% - Accent1 4 2 6" xfId="9157" xr:uid="{66E6FED4-5510-4868-81FB-5BC9EF977072}"/>
    <cellStyle name="20% - Accent1 4 3" xfId="1030" xr:uid="{00000000-0005-0000-0000-00007F000000}"/>
    <cellStyle name="20% - Accent1 4 3 2" xfId="3261" xr:uid="{00000000-0005-0000-0000-000080000000}"/>
    <cellStyle name="20% - Accent1 4 3 2 2" xfId="7483" xr:uid="{00000000-0005-0000-0000-000081000000}"/>
    <cellStyle name="20% - Accent1 4 3 2 2 2" xfId="32822" xr:uid="{E5C8AB22-827F-4BFD-A0DB-CEFEBD9731CD}"/>
    <cellStyle name="20% - Accent1 4 3 2 2 3" xfId="24381" xr:uid="{B86D6764-171F-4DA7-8BBD-FE9F903DEFF7}"/>
    <cellStyle name="20% - Accent1 4 3 2 2 4" xfId="15933" xr:uid="{58AC07F5-34B0-436E-AB25-0F25890083AB}"/>
    <cellStyle name="20% - Accent1 4 3 2 3" xfId="28604" xr:uid="{E60C45B3-E3F7-4FED-AB05-E89949702B39}"/>
    <cellStyle name="20% - Accent1 4 3 2 4" xfId="20163" xr:uid="{1C43A305-1700-4C61-B6E1-6475EF78EB3D}"/>
    <cellStyle name="20% - Accent1 4 3 2 5" xfId="11715" xr:uid="{0D5CE62D-EB62-4F83-8FF4-74472F71AE46}"/>
    <cellStyle name="20% - Accent1 4 3 3" xfId="5338" xr:uid="{00000000-0005-0000-0000-000082000000}"/>
    <cellStyle name="20% - Accent1 4 3 3 2" xfId="30677" xr:uid="{EA3715AA-7793-4973-8777-FE00FA13A9BF}"/>
    <cellStyle name="20% - Accent1 4 3 3 3" xfId="22236" xr:uid="{749AFC27-58F8-4F54-8779-9DC2514503D3}"/>
    <cellStyle name="20% - Accent1 4 3 3 4" xfId="13788" xr:uid="{8207A823-E8D8-4F0E-8DC8-DE41469E0943}"/>
    <cellStyle name="20% - Accent1 4 3 4" xfId="26459" xr:uid="{6E1CF042-FB88-4EBF-8F45-4777A4C0539A}"/>
    <cellStyle name="20% - Accent1 4 3 5" xfId="18018" xr:uid="{3791346F-6BD2-4B57-9DD2-9EA555084953}"/>
    <cellStyle name="20% - Accent1 4 3 6" xfId="9570" xr:uid="{68271F85-2F9E-4853-BD54-9228D67852E9}"/>
    <cellStyle name="20% - Accent1 4 4" xfId="1444" xr:uid="{00000000-0005-0000-0000-000083000000}"/>
    <cellStyle name="20% - Accent1 4 4 2" xfId="3674" xr:uid="{00000000-0005-0000-0000-000084000000}"/>
    <cellStyle name="20% - Accent1 4 4 2 2" xfId="7896" xr:uid="{00000000-0005-0000-0000-000085000000}"/>
    <cellStyle name="20% - Accent1 4 4 2 2 2" xfId="33235" xr:uid="{AA81ED80-412E-42DE-8196-66F193C8570F}"/>
    <cellStyle name="20% - Accent1 4 4 2 2 3" xfId="24794" xr:uid="{6BB94CC7-2861-4125-86AD-E1726FC176C3}"/>
    <cellStyle name="20% - Accent1 4 4 2 2 4" xfId="16346" xr:uid="{5A9CDD60-AD53-43EF-8BC5-9D4CA2E9A343}"/>
    <cellStyle name="20% - Accent1 4 4 2 3" xfId="29017" xr:uid="{43EB9DC4-9AF2-4676-9E91-D38DB7713B00}"/>
    <cellStyle name="20% - Accent1 4 4 2 4" xfId="20576" xr:uid="{5B96B8E3-0D56-4B1B-8142-1D4ACA09EC99}"/>
    <cellStyle name="20% - Accent1 4 4 2 5" xfId="12128" xr:uid="{A1A19A4A-451D-4253-AFCF-B852CFADFD9D}"/>
    <cellStyle name="20% - Accent1 4 4 3" xfId="5751" xr:uid="{00000000-0005-0000-0000-000086000000}"/>
    <cellStyle name="20% - Accent1 4 4 3 2" xfId="31090" xr:uid="{CEC659BF-394C-43F3-8693-9B62C0E85EEE}"/>
    <cellStyle name="20% - Accent1 4 4 3 3" xfId="22649" xr:uid="{320E5977-498E-4C2A-BFD1-F335228BFBD9}"/>
    <cellStyle name="20% - Accent1 4 4 3 4" xfId="14201" xr:uid="{CA7EF573-D446-43A6-830B-6CF12544471A}"/>
    <cellStyle name="20% - Accent1 4 4 4" xfId="26872" xr:uid="{DE473300-1A8A-4EF1-BD36-6A5309824C30}"/>
    <cellStyle name="20% - Accent1 4 4 5" xfId="18431" xr:uid="{E9C3EDDA-C6C6-4867-A6F0-21C05B18231C}"/>
    <cellStyle name="20% - Accent1 4 4 6" xfId="9983" xr:uid="{605B4AAE-E543-4FF4-B8E9-310B91D25AAC}"/>
    <cellStyle name="20% - Accent1 4 5" xfId="1858" xr:uid="{00000000-0005-0000-0000-000087000000}"/>
    <cellStyle name="20% - Accent1 4 5 2" xfId="4087" xr:uid="{00000000-0005-0000-0000-000088000000}"/>
    <cellStyle name="20% - Accent1 4 5 2 2" xfId="8309" xr:uid="{00000000-0005-0000-0000-000089000000}"/>
    <cellStyle name="20% - Accent1 4 5 2 2 2" xfId="33648" xr:uid="{CA3AFDD8-CABC-445E-9E23-EB213E6F865D}"/>
    <cellStyle name="20% - Accent1 4 5 2 2 3" xfId="25207" xr:uid="{B9A11695-11F4-4048-9D35-C43F6CDFB621}"/>
    <cellStyle name="20% - Accent1 4 5 2 2 4" xfId="16759" xr:uid="{BFB73425-809C-4160-82FC-565C3A0F88F3}"/>
    <cellStyle name="20% - Accent1 4 5 2 3" xfId="29430" xr:uid="{F4C3F5A5-8333-434B-A804-DFBC597E454C}"/>
    <cellStyle name="20% - Accent1 4 5 2 4" xfId="20989" xr:uid="{5034407F-26F4-43DF-9A40-D28174DA9889}"/>
    <cellStyle name="20% - Accent1 4 5 2 5" xfId="12541" xr:uid="{227CCE90-8A78-49C4-B569-EE9714A8C7AF}"/>
    <cellStyle name="20% - Accent1 4 5 3" xfId="6164" xr:uid="{00000000-0005-0000-0000-00008A000000}"/>
    <cellStyle name="20% - Accent1 4 5 3 2" xfId="31503" xr:uid="{09C47A29-37A5-43A6-A6D2-94C871E45CCC}"/>
    <cellStyle name="20% - Accent1 4 5 3 3" xfId="23062" xr:uid="{CAF00D4F-CBC2-40C2-B85E-94F799F82133}"/>
    <cellStyle name="20% - Accent1 4 5 3 4" xfId="14614" xr:uid="{7E4D81A5-3C93-4139-804F-E7DD6B3C2690}"/>
    <cellStyle name="20% - Accent1 4 5 4" xfId="27285" xr:uid="{1F381BD3-D679-4C09-AA69-009CC5A76A5A}"/>
    <cellStyle name="20% - Accent1 4 5 5" xfId="18844" xr:uid="{4DCD8219-A639-4A45-A488-FF7419E7484E}"/>
    <cellStyle name="20% - Accent1 4 5 6" xfId="10396" xr:uid="{190A5559-487C-42B8-BD62-6A7954C0EE46}"/>
    <cellStyle name="20% - Accent1 4 6" xfId="2271" xr:uid="{00000000-0005-0000-0000-00008B000000}"/>
    <cellStyle name="20% - Accent1 4 6 2" xfId="6577" xr:uid="{00000000-0005-0000-0000-00008C000000}"/>
    <cellStyle name="20% - Accent1 4 6 2 2" xfId="31916" xr:uid="{04C963F4-A877-4737-A4E0-C5E0F458AFC7}"/>
    <cellStyle name="20% - Accent1 4 6 2 3" xfId="23475" xr:uid="{D04F862A-825A-437A-81B6-A3C5A70CEEB0}"/>
    <cellStyle name="20% - Accent1 4 6 2 4" xfId="15027" xr:uid="{54E9006C-B3BD-4EF6-A8AD-8C427D8CCA0D}"/>
    <cellStyle name="20% - Accent1 4 6 3" xfId="27698" xr:uid="{536B76C0-A81D-45A4-B4EF-BBFB19CCED5E}"/>
    <cellStyle name="20% - Accent1 4 6 4" xfId="19257" xr:uid="{09953EA9-7F92-41F6-8E9B-1DEFA1ADFC50}"/>
    <cellStyle name="20% - Accent1 4 6 5" xfId="10809" xr:uid="{A64184FC-BDEA-4CCA-AF74-CA797EE4A136}"/>
    <cellStyle name="20% - Accent1 4 7" xfId="4511" xr:uid="{00000000-0005-0000-0000-00008D000000}"/>
    <cellStyle name="20% - Accent1 4 7 2" xfId="29850" xr:uid="{5CA09AB8-382E-434D-AF42-483ED678AECF}"/>
    <cellStyle name="20% - Accent1 4 7 3" xfId="21409" xr:uid="{706A1571-F282-4DFB-B722-FD60A85470D2}"/>
    <cellStyle name="20% - Accent1 4 7 4" xfId="12961" xr:uid="{76E64F4B-6811-4521-8F27-1AC2ED72FFDE}"/>
    <cellStyle name="20% - Accent1 4 8" xfId="25632" xr:uid="{9057DF0A-C379-4992-98F2-70E11916A251}"/>
    <cellStyle name="20% - Accent1 4 9" xfId="17191" xr:uid="{23784136-A931-4E22-A75B-59A5E1A1DB92}"/>
    <cellStyle name="20% - Accent1 5" xfId="570" xr:uid="{00000000-0005-0000-0000-00008E000000}"/>
    <cellStyle name="20% - Accent1 5 2" xfId="2841" xr:uid="{00000000-0005-0000-0000-00008F000000}"/>
    <cellStyle name="20% - Accent1 5 2 2" xfId="7063" xr:uid="{00000000-0005-0000-0000-000090000000}"/>
    <cellStyle name="20% - Accent1 5 2 2 2" xfId="32402" xr:uid="{52DC9908-8E34-4DCA-B4BB-1E8E29EF42EA}"/>
    <cellStyle name="20% - Accent1 5 2 2 3" xfId="23961" xr:uid="{E7D596B0-A8C3-4DAF-B1DD-7DD1D8826F7E}"/>
    <cellStyle name="20% - Accent1 5 2 2 4" xfId="15513" xr:uid="{886C4740-F7F8-482A-A9E9-261CED167732}"/>
    <cellStyle name="20% - Accent1 5 2 3" xfId="28184" xr:uid="{7DE38C6B-01BC-46A8-A1F3-B3C8619CBAD3}"/>
    <cellStyle name="20% - Accent1 5 2 4" xfId="19743" xr:uid="{2A697CA7-76A7-49EE-9D68-8FDEE22B73CE}"/>
    <cellStyle name="20% - Accent1 5 2 5" xfId="11295" xr:uid="{41BDF0AD-C284-4E1C-8EE2-043287C43239}"/>
    <cellStyle name="20% - Accent1 5 3" xfId="4918" xr:uid="{00000000-0005-0000-0000-000091000000}"/>
    <cellStyle name="20% - Accent1 5 3 2" xfId="30257" xr:uid="{4859F81A-A284-46AB-9F84-51E206470EBC}"/>
    <cellStyle name="20% - Accent1 5 3 3" xfId="21816" xr:uid="{8BBD6975-A69F-447F-AA06-BD04A00110DF}"/>
    <cellStyle name="20% - Accent1 5 3 4" xfId="13368" xr:uid="{1AA15232-A5F6-4F3D-B43E-B109C9243C8B}"/>
    <cellStyle name="20% - Accent1 5 4" xfId="26039" xr:uid="{B742F70D-F458-46E8-A5B6-20D0CEB3C848}"/>
    <cellStyle name="20% - Accent1 5 5" xfId="17598" xr:uid="{860BF233-4393-4352-AEC1-0DD412095FF2}"/>
    <cellStyle name="20% - Accent1 5 6" xfId="9150" xr:uid="{F0987065-EA77-4838-AC63-EF27F864A377}"/>
    <cellStyle name="20% - Accent1 6" xfId="1023" xr:uid="{00000000-0005-0000-0000-000092000000}"/>
    <cellStyle name="20% - Accent1 6 2" xfId="3254" xr:uid="{00000000-0005-0000-0000-000093000000}"/>
    <cellStyle name="20% - Accent1 6 2 2" xfId="7476" xr:uid="{00000000-0005-0000-0000-000094000000}"/>
    <cellStyle name="20% - Accent1 6 2 2 2" xfId="32815" xr:uid="{BE9452A4-142A-4974-B9C3-00D3FF54709D}"/>
    <cellStyle name="20% - Accent1 6 2 2 3" xfId="24374" xr:uid="{D9B3F268-FDA7-4D92-972D-82E723A92261}"/>
    <cellStyle name="20% - Accent1 6 2 2 4" xfId="15926" xr:uid="{61CAD310-D3D7-4F0A-ACAD-BFBD9402B2E0}"/>
    <cellStyle name="20% - Accent1 6 2 3" xfId="28597" xr:uid="{B74B333D-0D8D-48C4-8271-B5DC7A643DF2}"/>
    <cellStyle name="20% - Accent1 6 2 4" xfId="20156" xr:uid="{BBCD40B6-7590-4BF5-98EA-5DDBF325630F}"/>
    <cellStyle name="20% - Accent1 6 2 5" xfId="11708" xr:uid="{1D9E5640-DE70-435E-BD90-C82EF0E17D6E}"/>
    <cellStyle name="20% - Accent1 6 3" xfId="5331" xr:uid="{00000000-0005-0000-0000-000095000000}"/>
    <cellStyle name="20% - Accent1 6 3 2" xfId="30670" xr:uid="{C667AAB7-0852-4F29-9678-5D989E8D54F1}"/>
    <cellStyle name="20% - Accent1 6 3 3" xfId="22229" xr:uid="{89D08159-C540-4F8D-AE29-E4E7118FCB8E}"/>
    <cellStyle name="20% - Accent1 6 3 4" xfId="13781" xr:uid="{C9A95EBF-D2D9-46BF-9DB5-DB3F28D8FA52}"/>
    <cellStyle name="20% - Accent1 6 4" xfId="26452" xr:uid="{087F9C9F-00D9-41C5-8371-F5CD30F4C7B5}"/>
    <cellStyle name="20% - Accent1 6 5" xfId="18011" xr:uid="{BDC5C9D7-5D86-4589-BD6A-9DC527B93BAE}"/>
    <cellStyle name="20% - Accent1 6 6" xfId="9563" xr:uid="{C5560E35-5FFB-47C6-9F5A-C90ACD64EF36}"/>
    <cellStyle name="20% - Accent1 7" xfId="1437" xr:uid="{00000000-0005-0000-0000-000096000000}"/>
    <cellStyle name="20% - Accent1 7 2" xfId="3667" xr:uid="{00000000-0005-0000-0000-000097000000}"/>
    <cellStyle name="20% - Accent1 7 2 2" xfId="7889" xr:uid="{00000000-0005-0000-0000-000098000000}"/>
    <cellStyle name="20% - Accent1 7 2 2 2" xfId="33228" xr:uid="{8F6F8FF8-32B0-44AE-AC96-C221F15AF3C3}"/>
    <cellStyle name="20% - Accent1 7 2 2 3" xfId="24787" xr:uid="{1143E008-C275-42BA-A881-970F5F395ABE}"/>
    <cellStyle name="20% - Accent1 7 2 2 4" xfId="16339" xr:uid="{1CEF15AD-5B88-423E-8CF6-5134DFBE7038}"/>
    <cellStyle name="20% - Accent1 7 2 3" xfId="29010" xr:uid="{F568E888-B78A-44C6-8A97-8D08476C2718}"/>
    <cellStyle name="20% - Accent1 7 2 4" xfId="20569" xr:uid="{CED275A4-E753-4F8D-B089-C4D9950DB2AB}"/>
    <cellStyle name="20% - Accent1 7 2 5" xfId="12121" xr:uid="{6638320F-1F62-44DD-8BC9-E84928A9733B}"/>
    <cellStyle name="20% - Accent1 7 3" xfId="5744" xr:uid="{00000000-0005-0000-0000-000099000000}"/>
    <cellStyle name="20% - Accent1 7 3 2" xfId="31083" xr:uid="{87790424-544F-4C78-BE5E-E6DD5712C5FB}"/>
    <cellStyle name="20% - Accent1 7 3 3" xfId="22642" xr:uid="{76DB9419-E9F6-4F38-930E-17F9688B83BF}"/>
    <cellStyle name="20% - Accent1 7 3 4" xfId="14194" xr:uid="{CA0E040A-C847-4062-AF64-4205368C94C8}"/>
    <cellStyle name="20% - Accent1 7 4" xfId="26865" xr:uid="{38798AAA-A036-4359-93D4-742D89B8A136}"/>
    <cellStyle name="20% - Accent1 7 5" xfId="18424" xr:uid="{6114E85C-F1D7-48C7-BEEA-36E12707205C}"/>
    <cellStyle name="20% - Accent1 7 6" xfId="9976" xr:uid="{2EBB7447-0DA6-4868-B595-C5AA45C18FF1}"/>
    <cellStyle name="20% - Accent1 8" xfId="1851" xr:uid="{00000000-0005-0000-0000-00009A000000}"/>
    <cellStyle name="20% - Accent1 8 2" xfId="4080" xr:uid="{00000000-0005-0000-0000-00009B000000}"/>
    <cellStyle name="20% - Accent1 8 2 2" xfId="8302" xr:uid="{00000000-0005-0000-0000-00009C000000}"/>
    <cellStyle name="20% - Accent1 8 2 2 2" xfId="33641" xr:uid="{F1D4E284-9E55-4473-82D9-FDF6FB437785}"/>
    <cellStyle name="20% - Accent1 8 2 2 3" xfId="25200" xr:uid="{C2B3AA29-EB24-4015-991A-0D764883371A}"/>
    <cellStyle name="20% - Accent1 8 2 2 4" xfId="16752" xr:uid="{FACA8F78-97A5-463B-8329-4725563A1EAD}"/>
    <cellStyle name="20% - Accent1 8 2 3" xfId="29423" xr:uid="{A665BD72-F117-443E-B265-AE0FEB62C10C}"/>
    <cellStyle name="20% - Accent1 8 2 4" xfId="20982" xr:uid="{ED0D89A2-7170-4B76-AC4C-2A4C2DB0A851}"/>
    <cellStyle name="20% - Accent1 8 2 5" xfId="12534" xr:uid="{CA11E8F6-2224-45C6-9425-EC51BB9E6198}"/>
    <cellStyle name="20% - Accent1 8 3" xfId="6157" xr:uid="{00000000-0005-0000-0000-00009D000000}"/>
    <cellStyle name="20% - Accent1 8 3 2" xfId="31496" xr:uid="{3251F8D4-8495-40A9-AE6B-8648568FE48F}"/>
    <cellStyle name="20% - Accent1 8 3 3" xfId="23055" xr:uid="{97DE0BB5-FB4D-4CED-B404-16C886DA8E94}"/>
    <cellStyle name="20% - Accent1 8 3 4" xfId="14607" xr:uid="{FCDBDEE2-5729-4D26-B3F0-AF13CCE46BCB}"/>
    <cellStyle name="20% - Accent1 8 4" xfId="27278" xr:uid="{A596D702-B629-4CB0-9AB8-8BBB29FBF40F}"/>
    <cellStyle name="20% - Accent1 8 5" xfId="18837" xr:uid="{A4F1E4E3-924A-4BFE-8713-BF1D3F672685}"/>
    <cellStyle name="20% - Accent1 8 6" xfId="10389" xr:uid="{84132A37-8DE7-4337-85BE-4D95BB0400B2}"/>
    <cellStyle name="20% - Accent1 9" xfId="2264" xr:uid="{00000000-0005-0000-0000-00009E000000}"/>
    <cellStyle name="20% - Accent1 9 2" xfId="6570" xr:uid="{00000000-0005-0000-0000-00009F000000}"/>
    <cellStyle name="20% - Accent1 9 2 2" xfId="31909" xr:uid="{92158864-AA80-4F5F-A0C8-ED6203441FB4}"/>
    <cellStyle name="20% - Accent1 9 2 3" xfId="23468" xr:uid="{208B5912-D87D-4967-8466-C08D8E685D99}"/>
    <cellStyle name="20% - Accent1 9 2 4" xfId="15020" xr:uid="{0F0C7AFA-CC79-4CA1-9704-A79C0A36EBC7}"/>
    <cellStyle name="20% - Accent1 9 3" xfId="27691" xr:uid="{B566F493-065A-4C55-B780-87D835C72307}"/>
    <cellStyle name="20% - Accent1 9 4" xfId="19250" xr:uid="{6A4464D2-4C7C-469B-8984-FC96308F5D2A}"/>
    <cellStyle name="20% - Accent1 9 5" xfId="10802" xr:uid="{FA19D4E6-43D2-4D50-8F38-CBB83CEB22F5}"/>
    <cellStyle name="20% - Accent2" xfId="9" builtinId="34" customBuiltin="1"/>
    <cellStyle name="20% - Accent2 10" xfId="4512" xr:uid="{00000000-0005-0000-0000-0000A1000000}"/>
    <cellStyle name="20% - Accent2 10 2" xfId="29851" xr:uid="{511E8507-23D7-4FDE-A197-D6E4916B2B67}"/>
    <cellStyle name="20% - Accent2 10 3" xfId="21410" xr:uid="{C9A45FC3-E492-4CD3-982E-DD09F647C049}"/>
    <cellStyle name="20% - Accent2 10 4" xfId="12962" xr:uid="{A442DFC3-3F61-4ABF-B03A-100F7482B371}"/>
    <cellStyle name="20% - Accent2 11" xfId="25633" xr:uid="{7E7BC509-81EB-4E5B-853C-9B29FD7F53BB}"/>
    <cellStyle name="20% - Accent2 12" xfId="17192" xr:uid="{05C411C4-E315-4179-9F7D-3A59B60B52A1}"/>
    <cellStyle name="20% - Accent2 13" xfId="8744" xr:uid="{4D36C158-6B80-4F4A-A083-367B0F1E984E}"/>
    <cellStyle name="20% - Accent2 2" xfId="10" xr:uid="{00000000-0005-0000-0000-0000A2000000}"/>
    <cellStyle name="20% - Accent2 2 10" xfId="25634" xr:uid="{0932B546-B3AA-4163-B157-5E97C8335F8A}"/>
    <cellStyle name="20% - Accent2 2 11" xfId="17193" xr:uid="{4FA7B8B1-510C-469F-9AB5-C30B45F53299}"/>
    <cellStyle name="20% - Accent2 2 12" xfId="8745" xr:uid="{0919240E-D81B-4A91-9140-0C895AE565A9}"/>
    <cellStyle name="20% - Accent2 2 2" xfId="11" xr:uid="{00000000-0005-0000-0000-0000A3000000}"/>
    <cellStyle name="20% - Accent2 2 2 10" xfId="17194" xr:uid="{55347155-FA60-4749-A712-48C9B6B4881E}"/>
    <cellStyle name="20% - Accent2 2 2 11" xfId="8746" xr:uid="{28C863D0-C866-4C15-9FF1-B15CBE420735}"/>
    <cellStyle name="20% - Accent2 2 2 2" xfId="12" xr:uid="{00000000-0005-0000-0000-0000A4000000}"/>
    <cellStyle name="20% - Accent2 2 2 2 10" xfId="8747" xr:uid="{6056B66A-3334-4473-AFF9-9743F85F0FEC}"/>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32413" xr:uid="{C634FDCA-56C4-4F48-9140-A56268C6F6C6}"/>
    <cellStyle name="20% - Accent2 2 2 2 2 2 2 3" xfId="23972" xr:uid="{1FCC6C54-012F-4E48-9561-F20F1FB4A39D}"/>
    <cellStyle name="20% - Accent2 2 2 2 2 2 2 4" xfId="15524" xr:uid="{D0F5111B-4228-47C3-9076-5CD9C890D180}"/>
    <cellStyle name="20% - Accent2 2 2 2 2 2 3" xfId="28195" xr:uid="{E9FB968A-CFC0-4754-96E2-0CF7A8BB8A21}"/>
    <cellStyle name="20% - Accent2 2 2 2 2 2 4" xfId="19754" xr:uid="{D1F9C8F6-9D49-49CC-A8D6-22276C3E8C39}"/>
    <cellStyle name="20% - Accent2 2 2 2 2 2 5" xfId="11306" xr:uid="{452897FB-42BA-4EBC-A543-207FAD5955DD}"/>
    <cellStyle name="20% - Accent2 2 2 2 2 3" xfId="4929" xr:uid="{00000000-0005-0000-0000-0000A8000000}"/>
    <cellStyle name="20% - Accent2 2 2 2 2 3 2" xfId="30268" xr:uid="{D7318E71-27D0-48DB-A425-CFCF9E6E7193}"/>
    <cellStyle name="20% - Accent2 2 2 2 2 3 3" xfId="21827" xr:uid="{1A2F6CEC-F3AA-4E8B-9E36-E5FC7096B4CA}"/>
    <cellStyle name="20% - Accent2 2 2 2 2 3 4" xfId="13379" xr:uid="{784CF62E-3D01-4ED5-B192-8A86E5CD700C}"/>
    <cellStyle name="20% - Accent2 2 2 2 2 4" xfId="26050" xr:uid="{FD3B8EFF-E658-4CAA-853F-B6A268C62063}"/>
    <cellStyle name="20% - Accent2 2 2 2 2 5" xfId="17609" xr:uid="{3F84C9E0-AAB7-4DAD-9371-AC9B983695BE}"/>
    <cellStyle name="20% - Accent2 2 2 2 2 6" xfId="9161" xr:uid="{F3D8559F-122E-4334-91F3-F676E7225FFC}"/>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32826" xr:uid="{381021F2-D139-4EC0-8EC6-4295533B4CD0}"/>
    <cellStyle name="20% - Accent2 2 2 2 3 2 2 3" xfId="24385" xr:uid="{388375BC-7337-4166-96B8-2F5E0DED1BC7}"/>
    <cellStyle name="20% - Accent2 2 2 2 3 2 2 4" xfId="15937" xr:uid="{649C8BE4-1696-4250-A8D7-758AE4B06861}"/>
    <cellStyle name="20% - Accent2 2 2 2 3 2 3" xfId="28608" xr:uid="{196070EE-8C32-4931-A2E5-FC6B07AFDEC2}"/>
    <cellStyle name="20% - Accent2 2 2 2 3 2 4" xfId="20167" xr:uid="{B419C6DF-ED2F-429D-B144-D1030578C3BA}"/>
    <cellStyle name="20% - Accent2 2 2 2 3 2 5" xfId="11719" xr:uid="{9DDF2F40-2FF4-4055-87DC-B896A1AE4D07}"/>
    <cellStyle name="20% - Accent2 2 2 2 3 3" xfId="5342" xr:uid="{00000000-0005-0000-0000-0000AC000000}"/>
    <cellStyle name="20% - Accent2 2 2 2 3 3 2" xfId="30681" xr:uid="{1E726EAE-2F92-4993-8B47-A5B45B6ACAA4}"/>
    <cellStyle name="20% - Accent2 2 2 2 3 3 3" xfId="22240" xr:uid="{8F8DE83C-C787-4B1A-A932-6AC911342007}"/>
    <cellStyle name="20% - Accent2 2 2 2 3 3 4" xfId="13792" xr:uid="{EA62F4F5-7B12-4869-8545-EF715A178DC3}"/>
    <cellStyle name="20% - Accent2 2 2 2 3 4" xfId="26463" xr:uid="{E7C3F175-6E99-4964-BC7B-3A1C626F480B}"/>
    <cellStyle name="20% - Accent2 2 2 2 3 5" xfId="18022" xr:uid="{3B8D1CA5-2CC6-4F35-8EA7-402CB23BD6D7}"/>
    <cellStyle name="20% - Accent2 2 2 2 3 6" xfId="9574" xr:uid="{9DBC5BF6-9C54-462A-89FC-0E3F3C327FCF}"/>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33239" xr:uid="{8C8ABFF3-827E-42B2-8157-BE9206781008}"/>
    <cellStyle name="20% - Accent2 2 2 2 4 2 2 3" xfId="24798" xr:uid="{725C7B45-9182-4355-8BCA-FED62FD72EB8}"/>
    <cellStyle name="20% - Accent2 2 2 2 4 2 2 4" xfId="16350" xr:uid="{F27B22B3-CF7D-4485-9653-97A59D77C297}"/>
    <cellStyle name="20% - Accent2 2 2 2 4 2 3" xfId="29021" xr:uid="{995E4B83-37C5-4379-BAEC-AB8503F3B5B1}"/>
    <cellStyle name="20% - Accent2 2 2 2 4 2 4" xfId="20580" xr:uid="{245C2951-E74C-4470-AE2A-2085109478F3}"/>
    <cellStyle name="20% - Accent2 2 2 2 4 2 5" xfId="12132" xr:uid="{8EE7D600-4669-47AD-9923-A83852B16C8A}"/>
    <cellStyle name="20% - Accent2 2 2 2 4 3" xfId="5755" xr:uid="{00000000-0005-0000-0000-0000B0000000}"/>
    <cellStyle name="20% - Accent2 2 2 2 4 3 2" xfId="31094" xr:uid="{CC6765A2-6E73-4F2B-B2FC-92FBC409FDBF}"/>
    <cellStyle name="20% - Accent2 2 2 2 4 3 3" xfId="22653" xr:uid="{84A1A5AD-8B78-4375-BE03-8D0D0298D6C6}"/>
    <cellStyle name="20% - Accent2 2 2 2 4 3 4" xfId="14205" xr:uid="{F87A70B3-19EA-4A8A-AAED-951AE459C3E0}"/>
    <cellStyle name="20% - Accent2 2 2 2 4 4" xfId="26876" xr:uid="{D79C1597-8991-4B5C-B8C4-76F0BCB83CF0}"/>
    <cellStyle name="20% - Accent2 2 2 2 4 5" xfId="18435" xr:uid="{876A87C0-E99E-459A-A773-630D69B0B590}"/>
    <cellStyle name="20% - Accent2 2 2 2 4 6" xfId="9987" xr:uid="{EA8D5908-DBC0-4438-9F10-66B28C025EA7}"/>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33652" xr:uid="{5752AE43-16E3-4D2E-9BB0-E865B1C3DD48}"/>
    <cellStyle name="20% - Accent2 2 2 2 5 2 2 3" xfId="25211" xr:uid="{12AE748C-FE8F-4275-96C0-258CBD24C183}"/>
    <cellStyle name="20% - Accent2 2 2 2 5 2 2 4" xfId="16763" xr:uid="{493A2CFA-13BD-4F98-954B-6E647957D16B}"/>
    <cellStyle name="20% - Accent2 2 2 2 5 2 3" xfId="29434" xr:uid="{B7E0AAA5-E5FD-45D2-A688-CA39FC363F8F}"/>
    <cellStyle name="20% - Accent2 2 2 2 5 2 4" xfId="20993" xr:uid="{E0097C51-DD47-4930-86BE-F35FCA43F268}"/>
    <cellStyle name="20% - Accent2 2 2 2 5 2 5" xfId="12545" xr:uid="{DED651C6-46A3-432B-B2A8-E03E479609C7}"/>
    <cellStyle name="20% - Accent2 2 2 2 5 3" xfId="6168" xr:uid="{00000000-0005-0000-0000-0000B4000000}"/>
    <cellStyle name="20% - Accent2 2 2 2 5 3 2" xfId="31507" xr:uid="{C02870F8-3481-4CE4-8245-8D72F6A53E86}"/>
    <cellStyle name="20% - Accent2 2 2 2 5 3 3" xfId="23066" xr:uid="{A8B29FF9-A0EC-48D9-85FB-6C9D958E42D4}"/>
    <cellStyle name="20% - Accent2 2 2 2 5 3 4" xfId="14618" xr:uid="{B7D5EDC1-0B04-476D-BB5F-36A45D36A97C}"/>
    <cellStyle name="20% - Accent2 2 2 2 5 4" xfId="27289" xr:uid="{477C6B69-D97D-4AFA-8E4A-9F7599D356ED}"/>
    <cellStyle name="20% - Accent2 2 2 2 5 5" xfId="18848" xr:uid="{63B9B057-A87B-4DE8-AE5B-7363A0798842}"/>
    <cellStyle name="20% - Accent2 2 2 2 5 6" xfId="10400" xr:uid="{8B3C0351-5053-4E0A-B8AB-6F9BD741F29E}"/>
    <cellStyle name="20% - Accent2 2 2 2 6" xfId="2275" xr:uid="{00000000-0005-0000-0000-0000B5000000}"/>
    <cellStyle name="20% - Accent2 2 2 2 6 2" xfId="6581" xr:uid="{00000000-0005-0000-0000-0000B6000000}"/>
    <cellStyle name="20% - Accent2 2 2 2 6 2 2" xfId="31920" xr:uid="{3C467DEF-D2EE-44CC-9872-6B29A982ECC6}"/>
    <cellStyle name="20% - Accent2 2 2 2 6 2 3" xfId="23479" xr:uid="{E77A040F-2577-45E4-AD93-969A9C5939E1}"/>
    <cellStyle name="20% - Accent2 2 2 2 6 2 4" xfId="15031" xr:uid="{16353E8F-24EA-43FB-B4A3-501166D270C3}"/>
    <cellStyle name="20% - Accent2 2 2 2 6 3" xfId="27702" xr:uid="{19BDA4D1-AD5E-466D-B23B-4C7703CDC2AA}"/>
    <cellStyle name="20% - Accent2 2 2 2 6 4" xfId="19261" xr:uid="{7DD49FB5-C2B5-4F8F-B0B9-5449E984D192}"/>
    <cellStyle name="20% - Accent2 2 2 2 6 5" xfId="10813" xr:uid="{749F00C7-F3DB-4E8D-BDDB-3FAE018B4F06}"/>
    <cellStyle name="20% - Accent2 2 2 2 7" xfId="4515" xr:uid="{00000000-0005-0000-0000-0000B7000000}"/>
    <cellStyle name="20% - Accent2 2 2 2 7 2" xfId="29854" xr:uid="{1E889E42-17D2-4896-9604-882479FB04E5}"/>
    <cellStyle name="20% - Accent2 2 2 2 7 3" xfId="21413" xr:uid="{9FA643A2-CBA7-44E2-8864-079D7B1B0BB6}"/>
    <cellStyle name="20% - Accent2 2 2 2 7 4" xfId="12965" xr:uid="{5CB04FFC-23FE-4129-A3A4-8B5B01C72BAE}"/>
    <cellStyle name="20% - Accent2 2 2 2 8" xfId="25636" xr:uid="{0939ABDD-2E7C-45D4-A2F6-6B058D390024}"/>
    <cellStyle name="20% - Accent2 2 2 2 9" xfId="17195" xr:uid="{08DB01CA-1D2F-4892-A89A-7933D951327C}"/>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32412" xr:uid="{9E8253DF-16FD-4F84-BD25-51043A6361F3}"/>
    <cellStyle name="20% - Accent2 2 2 3 2 2 3" xfId="23971" xr:uid="{167C57E9-F684-4E99-B681-B5B3CC3720D2}"/>
    <cellStyle name="20% - Accent2 2 2 3 2 2 4" xfId="15523" xr:uid="{5E0DCCB1-DDA9-42A2-BDA9-F5434C91F03A}"/>
    <cellStyle name="20% - Accent2 2 2 3 2 3" xfId="28194" xr:uid="{069BEBB9-4737-411A-971D-143D5EE2AFB1}"/>
    <cellStyle name="20% - Accent2 2 2 3 2 4" xfId="19753" xr:uid="{17FE750F-1509-4118-A15E-4746DC4AE1ED}"/>
    <cellStyle name="20% - Accent2 2 2 3 2 5" xfId="11305" xr:uid="{FCC754A4-8411-4474-96B1-98CD5C9DCAB6}"/>
    <cellStyle name="20% - Accent2 2 2 3 3" xfId="4928" xr:uid="{00000000-0005-0000-0000-0000BB000000}"/>
    <cellStyle name="20% - Accent2 2 2 3 3 2" xfId="30267" xr:uid="{B2620045-6D45-4054-B75B-506EC5B3BEFF}"/>
    <cellStyle name="20% - Accent2 2 2 3 3 3" xfId="21826" xr:uid="{27628AA3-E3C0-4D37-9BFA-CC44B2A65BDA}"/>
    <cellStyle name="20% - Accent2 2 2 3 3 4" xfId="13378" xr:uid="{ACA99C52-FFC2-40D5-978E-17A80E201F94}"/>
    <cellStyle name="20% - Accent2 2 2 3 4" xfId="26049" xr:uid="{D7B9BEF7-FCDF-4C0B-AC0A-C3F74992F0A8}"/>
    <cellStyle name="20% - Accent2 2 2 3 5" xfId="17608" xr:uid="{C8D47D22-4696-46F0-AC69-22A8B59CF200}"/>
    <cellStyle name="20% - Accent2 2 2 3 6" xfId="9160" xr:uid="{D0276A27-10AD-4EDE-B660-43C0CBF54CFC}"/>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32825" xr:uid="{37CBC3A5-2C61-489C-A74F-D3190545B0C9}"/>
    <cellStyle name="20% - Accent2 2 2 4 2 2 3" xfId="24384" xr:uid="{08976F5A-1C65-4CCA-AE6C-AB2059861BAD}"/>
    <cellStyle name="20% - Accent2 2 2 4 2 2 4" xfId="15936" xr:uid="{F8EAE7E2-0996-41D3-8A43-78A87230B863}"/>
    <cellStyle name="20% - Accent2 2 2 4 2 3" xfId="28607" xr:uid="{F921C037-AA89-4E8C-B820-387C0E577988}"/>
    <cellStyle name="20% - Accent2 2 2 4 2 4" xfId="20166" xr:uid="{0191990C-545F-4FD9-B510-BA4E316F2DDF}"/>
    <cellStyle name="20% - Accent2 2 2 4 2 5" xfId="11718" xr:uid="{A7C0F0C1-5859-4242-A46F-D5078D8E8348}"/>
    <cellStyle name="20% - Accent2 2 2 4 3" xfId="5341" xr:uid="{00000000-0005-0000-0000-0000BF000000}"/>
    <cellStyle name="20% - Accent2 2 2 4 3 2" xfId="30680" xr:uid="{FA0EC540-2C05-4607-B0F3-95C04CAB1EFC}"/>
    <cellStyle name="20% - Accent2 2 2 4 3 3" xfId="22239" xr:uid="{F5025984-0A1B-4A54-9E9D-2909B7A2EB07}"/>
    <cellStyle name="20% - Accent2 2 2 4 3 4" xfId="13791" xr:uid="{43677CBA-DBB1-4421-A804-96036E0940D7}"/>
    <cellStyle name="20% - Accent2 2 2 4 4" xfId="26462" xr:uid="{81A1791A-1E43-41D4-AF8E-ACCFCC97FBFD}"/>
    <cellStyle name="20% - Accent2 2 2 4 5" xfId="18021" xr:uid="{85ED1F16-3564-4F3B-9248-71D4131EEE44}"/>
    <cellStyle name="20% - Accent2 2 2 4 6" xfId="9573" xr:uid="{507B19E0-B44C-4BAC-8D1A-28338AF59533}"/>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33238" xr:uid="{2188A675-E9D9-4B91-81C1-D642F51EA488}"/>
    <cellStyle name="20% - Accent2 2 2 5 2 2 3" xfId="24797" xr:uid="{A726A15D-FC00-4BC7-82FC-6BE6B1CFC7A7}"/>
    <cellStyle name="20% - Accent2 2 2 5 2 2 4" xfId="16349" xr:uid="{8E5577CE-F7BB-4D8C-8F63-C68C5A17330B}"/>
    <cellStyle name="20% - Accent2 2 2 5 2 3" xfId="29020" xr:uid="{39D23B3E-AABF-4CE1-8AC1-83864E5F3E43}"/>
    <cellStyle name="20% - Accent2 2 2 5 2 4" xfId="20579" xr:uid="{EF1F016A-E614-4BBF-86F0-5AE0D4A30EE0}"/>
    <cellStyle name="20% - Accent2 2 2 5 2 5" xfId="12131" xr:uid="{BA113A73-FD27-4EC7-B081-A7673BE3BB66}"/>
    <cellStyle name="20% - Accent2 2 2 5 3" xfId="5754" xr:uid="{00000000-0005-0000-0000-0000C3000000}"/>
    <cellStyle name="20% - Accent2 2 2 5 3 2" xfId="31093" xr:uid="{0C2197A3-FA5F-49E5-BE0E-50FE133AA424}"/>
    <cellStyle name="20% - Accent2 2 2 5 3 3" xfId="22652" xr:uid="{1EC1B5E4-584B-440F-8E48-3D4AD71A9056}"/>
    <cellStyle name="20% - Accent2 2 2 5 3 4" xfId="14204" xr:uid="{606DAED0-F2B5-4C42-9B7D-04A4665C2DEA}"/>
    <cellStyle name="20% - Accent2 2 2 5 4" xfId="26875" xr:uid="{DF26A11F-31CA-40E9-B36E-57D58F6B1951}"/>
    <cellStyle name="20% - Accent2 2 2 5 5" xfId="18434" xr:uid="{8865A879-1584-4AE9-BD31-2AA9AD481FCC}"/>
    <cellStyle name="20% - Accent2 2 2 5 6" xfId="9986" xr:uid="{1A9CA844-5C8A-4113-813F-E4432199088A}"/>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33651" xr:uid="{38AE6F19-FB49-4CAB-9AE6-1CF7FD4BD984}"/>
    <cellStyle name="20% - Accent2 2 2 6 2 2 3" xfId="25210" xr:uid="{CBFFC182-F470-4D29-9DBB-C8234C2B4EE1}"/>
    <cellStyle name="20% - Accent2 2 2 6 2 2 4" xfId="16762" xr:uid="{EEA21735-6417-4510-9FD7-3A5BEE90A381}"/>
    <cellStyle name="20% - Accent2 2 2 6 2 3" xfId="29433" xr:uid="{400E3A4A-CBE6-480F-B559-EA27952D4529}"/>
    <cellStyle name="20% - Accent2 2 2 6 2 4" xfId="20992" xr:uid="{63EAF489-4B6B-4F66-B825-51476DA4EC7E}"/>
    <cellStyle name="20% - Accent2 2 2 6 2 5" xfId="12544" xr:uid="{D0EC9B76-843A-4507-BB37-DD49659C8C51}"/>
    <cellStyle name="20% - Accent2 2 2 6 3" xfId="6167" xr:uid="{00000000-0005-0000-0000-0000C7000000}"/>
    <cellStyle name="20% - Accent2 2 2 6 3 2" xfId="31506" xr:uid="{2B0DFB11-495C-4A0A-8ECE-B62FE59DBA7E}"/>
    <cellStyle name="20% - Accent2 2 2 6 3 3" xfId="23065" xr:uid="{04D71D48-8B29-40EA-B8A2-479B4F563968}"/>
    <cellStyle name="20% - Accent2 2 2 6 3 4" xfId="14617" xr:uid="{FFAF6DBA-76A4-4937-8912-F4AD2D1A1801}"/>
    <cellStyle name="20% - Accent2 2 2 6 4" xfId="27288" xr:uid="{749BE801-1124-49CD-B105-5C65F1A5D2FB}"/>
    <cellStyle name="20% - Accent2 2 2 6 5" xfId="18847" xr:uid="{50FE770D-73E2-4763-BDA6-B3A5F98323FC}"/>
    <cellStyle name="20% - Accent2 2 2 6 6" xfId="10399" xr:uid="{FE1E728A-09FA-472A-8C84-161E541E851B}"/>
    <cellStyle name="20% - Accent2 2 2 7" xfId="2274" xr:uid="{00000000-0005-0000-0000-0000C8000000}"/>
    <cellStyle name="20% - Accent2 2 2 7 2" xfId="6580" xr:uid="{00000000-0005-0000-0000-0000C9000000}"/>
    <cellStyle name="20% - Accent2 2 2 7 2 2" xfId="31919" xr:uid="{04DF820C-DA83-4A27-BDFF-E23223F2C043}"/>
    <cellStyle name="20% - Accent2 2 2 7 2 3" xfId="23478" xr:uid="{2758A17F-7A64-4160-A2B5-3923600C7470}"/>
    <cellStyle name="20% - Accent2 2 2 7 2 4" xfId="15030" xr:uid="{267FDFC5-46D6-412D-9F3C-F49B449341DE}"/>
    <cellStyle name="20% - Accent2 2 2 7 3" xfId="27701" xr:uid="{89C8FB7F-3F4C-435E-8030-1DA2BFA297D2}"/>
    <cellStyle name="20% - Accent2 2 2 7 4" xfId="19260" xr:uid="{C7D69526-269F-42CC-AA0F-DC939144282D}"/>
    <cellStyle name="20% - Accent2 2 2 7 5" xfId="10812" xr:uid="{5DD49034-5D5E-4A41-ACE4-263C0E967614}"/>
    <cellStyle name="20% - Accent2 2 2 8" xfId="4514" xr:uid="{00000000-0005-0000-0000-0000CA000000}"/>
    <cellStyle name="20% - Accent2 2 2 8 2" xfId="29853" xr:uid="{1C064CD5-D53B-441F-AE10-8B904518D16C}"/>
    <cellStyle name="20% - Accent2 2 2 8 3" xfId="21412" xr:uid="{32E40F2A-DD4A-4052-8FC1-E3FB4A3C6946}"/>
    <cellStyle name="20% - Accent2 2 2 8 4" xfId="12964" xr:uid="{2C07FEEF-2159-4876-B25E-A9B34540C067}"/>
    <cellStyle name="20% - Accent2 2 2 9" xfId="25635" xr:uid="{92FDBCCE-2F4E-4EF2-B1D4-FE9152ACEC31}"/>
    <cellStyle name="20% - Accent2 2 3" xfId="13" xr:uid="{00000000-0005-0000-0000-0000CB000000}"/>
    <cellStyle name="20% - Accent2 2 3 10" xfId="8748" xr:uid="{D7ECF995-8793-4FEC-A7D9-03395704C1D9}"/>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32414" xr:uid="{47648714-466D-4FDF-AF19-98A39F2C13FF}"/>
    <cellStyle name="20% - Accent2 2 3 2 2 2 3" xfId="23973" xr:uid="{C8ED9BA6-9187-4D92-B915-E1BF17BD3334}"/>
    <cellStyle name="20% - Accent2 2 3 2 2 2 4" xfId="15525" xr:uid="{749AFCDE-46AA-469F-AF4E-2055AF6B95C8}"/>
    <cellStyle name="20% - Accent2 2 3 2 2 3" xfId="28196" xr:uid="{90CD2CCD-EC26-449B-A8D5-2117A05DF0FE}"/>
    <cellStyle name="20% - Accent2 2 3 2 2 4" xfId="19755" xr:uid="{49DB78CE-F98E-49CD-A456-910B653AE56C}"/>
    <cellStyle name="20% - Accent2 2 3 2 2 5" xfId="11307" xr:uid="{BEE49814-D28C-4080-B00E-AC88C19BCB1B}"/>
    <cellStyle name="20% - Accent2 2 3 2 3" xfId="4930" xr:uid="{00000000-0005-0000-0000-0000CF000000}"/>
    <cellStyle name="20% - Accent2 2 3 2 3 2" xfId="30269" xr:uid="{32BDAAD6-2F10-4ADD-992F-957141E08BEC}"/>
    <cellStyle name="20% - Accent2 2 3 2 3 3" xfId="21828" xr:uid="{D0E468FE-0D5E-4727-8FA0-E6B558DB0214}"/>
    <cellStyle name="20% - Accent2 2 3 2 3 4" xfId="13380" xr:uid="{87720298-AEF6-4D51-93B4-6724B5DF1CB1}"/>
    <cellStyle name="20% - Accent2 2 3 2 4" xfId="26051" xr:uid="{0AB99AAE-5698-427C-B296-4508ABB92664}"/>
    <cellStyle name="20% - Accent2 2 3 2 5" xfId="17610" xr:uid="{8D252E5A-3066-4F71-9D0A-A0C6D60FE67C}"/>
    <cellStyle name="20% - Accent2 2 3 2 6" xfId="9162" xr:uid="{86ECE2AD-F489-4F23-A748-2BFD4E0968DE}"/>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32827" xr:uid="{0D96B9A4-607E-4963-8BC9-F7DF5234B8F3}"/>
    <cellStyle name="20% - Accent2 2 3 3 2 2 3" xfId="24386" xr:uid="{CE405C5C-713A-41E6-9F37-640A356BEF69}"/>
    <cellStyle name="20% - Accent2 2 3 3 2 2 4" xfId="15938" xr:uid="{4D16D126-611F-4A9E-86A0-8ACBD52A9E21}"/>
    <cellStyle name="20% - Accent2 2 3 3 2 3" xfId="28609" xr:uid="{EAD5BE79-AABF-48DF-9341-168D0546DCAF}"/>
    <cellStyle name="20% - Accent2 2 3 3 2 4" xfId="20168" xr:uid="{4D67646E-DA33-47AD-830D-2F72CC1929F6}"/>
    <cellStyle name="20% - Accent2 2 3 3 2 5" xfId="11720" xr:uid="{31BD4E3E-A1D6-4ADB-8B54-8E014072A453}"/>
    <cellStyle name="20% - Accent2 2 3 3 3" xfId="5343" xr:uid="{00000000-0005-0000-0000-0000D3000000}"/>
    <cellStyle name="20% - Accent2 2 3 3 3 2" xfId="30682" xr:uid="{BD692FB4-1ACC-4B81-B8AA-68AE37323156}"/>
    <cellStyle name="20% - Accent2 2 3 3 3 3" xfId="22241" xr:uid="{29840E05-7703-4B47-9A06-1EDFAB895DA6}"/>
    <cellStyle name="20% - Accent2 2 3 3 3 4" xfId="13793" xr:uid="{B8F27D11-CA6E-4DAC-8007-BC0C3CCDB452}"/>
    <cellStyle name="20% - Accent2 2 3 3 4" xfId="26464" xr:uid="{8BC45D5B-45B2-4325-A0E0-4E014CF92D50}"/>
    <cellStyle name="20% - Accent2 2 3 3 5" xfId="18023" xr:uid="{84317128-ADC5-4142-B544-E47A5E3A0C46}"/>
    <cellStyle name="20% - Accent2 2 3 3 6" xfId="9575" xr:uid="{B371ED3B-474B-4CA3-B4DE-E712B8FCFF34}"/>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33240" xr:uid="{54952E9E-63C4-47B0-ADBA-C2FD51E133BC}"/>
    <cellStyle name="20% - Accent2 2 3 4 2 2 3" xfId="24799" xr:uid="{D2BA0338-95B8-4866-8254-BC44128FDCD0}"/>
    <cellStyle name="20% - Accent2 2 3 4 2 2 4" xfId="16351" xr:uid="{F7E2C84D-4985-4EC5-914A-4632018B8186}"/>
    <cellStyle name="20% - Accent2 2 3 4 2 3" xfId="29022" xr:uid="{3BDC062D-BCFC-4896-9BC2-3C6357D4E6E2}"/>
    <cellStyle name="20% - Accent2 2 3 4 2 4" xfId="20581" xr:uid="{4C508146-42DA-4A74-B57F-D78587034579}"/>
    <cellStyle name="20% - Accent2 2 3 4 2 5" xfId="12133" xr:uid="{6656E4D1-3929-4D2C-A27C-074772A24562}"/>
    <cellStyle name="20% - Accent2 2 3 4 3" xfId="5756" xr:uid="{00000000-0005-0000-0000-0000D7000000}"/>
    <cellStyle name="20% - Accent2 2 3 4 3 2" xfId="31095" xr:uid="{0A289E93-C764-4D29-9CAC-92E9ED8766CC}"/>
    <cellStyle name="20% - Accent2 2 3 4 3 3" xfId="22654" xr:uid="{0E0DAF94-0E0D-4C47-90E4-7CCF5C2B6719}"/>
    <cellStyle name="20% - Accent2 2 3 4 3 4" xfId="14206" xr:uid="{933261B3-5035-42D3-B88E-F13AE534E6B9}"/>
    <cellStyle name="20% - Accent2 2 3 4 4" xfId="26877" xr:uid="{A05AAC53-E082-41DD-B9F5-F8E149F527A2}"/>
    <cellStyle name="20% - Accent2 2 3 4 5" xfId="18436" xr:uid="{7C44D6C4-8039-4C69-BA4C-307A5797B921}"/>
    <cellStyle name="20% - Accent2 2 3 4 6" xfId="9988" xr:uid="{25AD4E45-EE2A-442F-81A6-135CB605C685}"/>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33653" xr:uid="{59420B87-D632-418A-B412-822601E97060}"/>
    <cellStyle name="20% - Accent2 2 3 5 2 2 3" xfId="25212" xr:uid="{9CCB22BA-7532-4CFA-B52F-869D818F3ECD}"/>
    <cellStyle name="20% - Accent2 2 3 5 2 2 4" xfId="16764" xr:uid="{25AE6204-E485-4EDC-8FE9-D967FDC07E8E}"/>
    <cellStyle name="20% - Accent2 2 3 5 2 3" xfId="29435" xr:uid="{B43D51DB-B2EA-4E7E-9DFF-3EC6E989C779}"/>
    <cellStyle name="20% - Accent2 2 3 5 2 4" xfId="20994" xr:uid="{A9002997-6B61-4688-9C0D-6BA8DB4665C9}"/>
    <cellStyle name="20% - Accent2 2 3 5 2 5" xfId="12546" xr:uid="{B9E63948-9450-4821-99CD-B67523D9A39C}"/>
    <cellStyle name="20% - Accent2 2 3 5 3" xfId="6169" xr:uid="{00000000-0005-0000-0000-0000DB000000}"/>
    <cellStyle name="20% - Accent2 2 3 5 3 2" xfId="31508" xr:uid="{28BEEEEB-03DD-40DC-955D-7FCBC8480F38}"/>
    <cellStyle name="20% - Accent2 2 3 5 3 3" xfId="23067" xr:uid="{97F51FD6-52BE-4F35-80D1-71E5A693CAA8}"/>
    <cellStyle name="20% - Accent2 2 3 5 3 4" xfId="14619" xr:uid="{AC804013-A3FD-4992-BF4E-16A94FF851ED}"/>
    <cellStyle name="20% - Accent2 2 3 5 4" xfId="27290" xr:uid="{B9B1D579-20D7-4FDF-9169-13644A5E3AA5}"/>
    <cellStyle name="20% - Accent2 2 3 5 5" xfId="18849" xr:uid="{4C153442-3B31-4CE3-8730-1BDCED804152}"/>
    <cellStyle name="20% - Accent2 2 3 5 6" xfId="10401" xr:uid="{E105B6A0-967E-4D22-9050-5B35296704E5}"/>
    <cellStyle name="20% - Accent2 2 3 6" xfId="2276" xr:uid="{00000000-0005-0000-0000-0000DC000000}"/>
    <cellStyle name="20% - Accent2 2 3 6 2" xfId="6582" xr:uid="{00000000-0005-0000-0000-0000DD000000}"/>
    <cellStyle name="20% - Accent2 2 3 6 2 2" xfId="31921" xr:uid="{AF5A342E-D285-42E8-877C-65FD88562C9B}"/>
    <cellStyle name="20% - Accent2 2 3 6 2 3" xfId="23480" xr:uid="{5BCCB4BF-DE74-4DB6-8BDD-786378CB3191}"/>
    <cellStyle name="20% - Accent2 2 3 6 2 4" xfId="15032" xr:uid="{A20F0908-EDFF-43FC-ACF0-D82B56BD19F2}"/>
    <cellStyle name="20% - Accent2 2 3 6 3" xfId="27703" xr:uid="{5BFD198D-8D9A-4E0C-9676-19FBE53405AA}"/>
    <cellStyle name="20% - Accent2 2 3 6 4" xfId="19262" xr:uid="{33B5143C-E85B-4E0E-BCB0-F213CEE80E0F}"/>
    <cellStyle name="20% - Accent2 2 3 6 5" xfId="10814" xr:uid="{7448FE42-AD62-4E5C-BE4E-04510FBD2DD9}"/>
    <cellStyle name="20% - Accent2 2 3 7" xfId="4516" xr:uid="{00000000-0005-0000-0000-0000DE000000}"/>
    <cellStyle name="20% - Accent2 2 3 7 2" xfId="29855" xr:uid="{2181F52D-CE5D-45F0-B266-26053D1C6C52}"/>
    <cellStyle name="20% - Accent2 2 3 7 3" xfId="21414" xr:uid="{682F73C8-2EB2-4E69-844D-3F119B2234AE}"/>
    <cellStyle name="20% - Accent2 2 3 7 4" xfId="12966" xr:uid="{02971EAF-22C1-4084-A536-2167CE86451A}"/>
    <cellStyle name="20% - Accent2 2 3 8" xfId="25637" xr:uid="{9D96E433-5A01-4C07-BA94-EE2706C1C413}"/>
    <cellStyle name="20% - Accent2 2 3 9" xfId="17196" xr:uid="{308F04F6-895B-4412-85A0-DDD9623B470F}"/>
    <cellStyle name="20% - Accent2 2 4" xfId="579" xr:uid="{00000000-0005-0000-0000-0000DF000000}"/>
    <cellStyle name="20% - Accent2 2 4 2" xfId="2850" xr:uid="{00000000-0005-0000-0000-0000E0000000}"/>
    <cellStyle name="20% - Accent2 2 4 2 2" xfId="7072" xr:uid="{00000000-0005-0000-0000-0000E1000000}"/>
    <cellStyle name="20% - Accent2 2 4 2 2 2" xfId="32411" xr:uid="{49ABDDBD-CFC8-4717-A151-FEE68589F8D3}"/>
    <cellStyle name="20% - Accent2 2 4 2 2 3" xfId="23970" xr:uid="{1E5364E3-C20C-4EDA-9612-7EECACF416C6}"/>
    <cellStyle name="20% - Accent2 2 4 2 2 4" xfId="15522" xr:uid="{17A15042-D7E2-408F-A58C-C6D70590E4F1}"/>
    <cellStyle name="20% - Accent2 2 4 2 3" xfId="28193" xr:uid="{5EC77214-D626-43DA-A833-9BE601616CF8}"/>
    <cellStyle name="20% - Accent2 2 4 2 4" xfId="19752" xr:uid="{D0BA5817-B092-4AF9-8112-9D9EB6DD0317}"/>
    <cellStyle name="20% - Accent2 2 4 2 5" xfId="11304" xr:uid="{BD7E480B-BC2E-493F-A560-7A6E0276C9A6}"/>
    <cellStyle name="20% - Accent2 2 4 3" xfId="4927" xr:uid="{00000000-0005-0000-0000-0000E2000000}"/>
    <cellStyle name="20% - Accent2 2 4 3 2" xfId="30266" xr:uid="{24D74C7E-A2B7-4027-8D8D-C7B013EC1A1A}"/>
    <cellStyle name="20% - Accent2 2 4 3 3" xfId="21825" xr:uid="{3B180E13-CF37-4165-A2B7-F2B1578A3EA2}"/>
    <cellStyle name="20% - Accent2 2 4 3 4" xfId="13377" xr:uid="{9D6AE756-896C-402B-8B48-0764E85FBA6C}"/>
    <cellStyle name="20% - Accent2 2 4 4" xfId="26048" xr:uid="{F3F01D76-AE48-4C5F-8365-B3D0604091AD}"/>
    <cellStyle name="20% - Accent2 2 4 5" xfId="17607" xr:uid="{498D9D43-5CA6-4859-9C7D-6303979F29E4}"/>
    <cellStyle name="20% - Accent2 2 4 6" xfId="9159" xr:uid="{3B69F021-B36B-40BD-A525-77EC2414202B}"/>
    <cellStyle name="20% - Accent2 2 5" xfId="1032" xr:uid="{00000000-0005-0000-0000-0000E3000000}"/>
    <cellStyle name="20% - Accent2 2 5 2" xfId="3263" xr:uid="{00000000-0005-0000-0000-0000E4000000}"/>
    <cellStyle name="20% - Accent2 2 5 2 2" xfId="7485" xr:uid="{00000000-0005-0000-0000-0000E5000000}"/>
    <cellStyle name="20% - Accent2 2 5 2 2 2" xfId="32824" xr:uid="{115AE285-5C9C-4ABC-B9BC-1C02E321A45B}"/>
    <cellStyle name="20% - Accent2 2 5 2 2 3" xfId="24383" xr:uid="{E0719543-C8EF-462C-B3A4-73EC2027ADB8}"/>
    <cellStyle name="20% - Accent2 2 5 2 2 4" xfId="15935" xr:uid="{FDB3D6B8-E5EF-4830-AE50-D9B84C1E7A91}"/>
    <cellStyle name="20% - Accent2 2 5 2 3" xfId="28606" xr:uid="{0EF1E06B-2F74-4664-88C0-9E67DF92841E}"/>
    <cellStyle name="20% - Accent2 2 5 2 4" xfId="20165" xr:uid="{7C577083-B1BD-462D-95EC-CA7A78591347}"/>
    <cellStyle name="20% - Accent2 2 5 2 5" xfId="11717" xr:uid="{DA79FA83-55A9-4205-94A1-5206170674E4}"/>
    <cellStyle name="20% - Accent2 2 5 3" xfId="5340" xr:uid="{00000000-0005-0000-0000-0000E6000000}"/>
    <cellStyle name="20% - Accent2 2 5 3 2" xfId="30679" xr:uid="{F535C39B-29FD-45A3-886B-F040BE56BEE1}"/>
    <cellStyle name="20% - Accent2 2 5 3 3" xfId="22238" xr:uid="{74A7A5B6-1F91-45CF-AFB6-280EC1F748A2}"/>
    <cellStyle name="20% - Accent2 2 5 3 4" xfId="13790" xr:uid="{7A2752C3-0766-4B64-8DF3-962E680AF876}"/>
    <cellStyle name="20% - Accent2 2 5 4" xfId="26461" xr:uid="{8979A2BE-EE2E-4540-B3AE-1A83C81A7A7B}"/>
    <cellStyle name="20% - Accent2 2 5 5" xfId="18020" xr:uid="{109D2A3C-594A-4F95-98C6-A280CF4AE830}"/>
    <cellStyle name="20% - Accent2 2 5 6" xfId="9572" xr:uid="{1570D1C8-4679-414D-A46E-CE0C801C8DFD}"/>
    <cellStyle name="20% - Accent2 2 6" xfId="1446" xr:uid="{00000000-0005-0000-0000-0000E7000000}"/>
    <cellStyle name="20% - Accent2 2 6 2" xfId="3676" xr:uid="{00000000-0005-0000-0000-0000E8000000}"/>
    <cellStyle name="20% - Accent2 2 6 2 2" xfId="7898" xr:uid="{00000000-0005-0000-0000-0000E9000000}"/>
    <cellStyle name="20% - Accent2 2 6 2 2 2" xfId="33237" xr:uid="{5B72FD0E-5A75-4282-8991-E08B038C0142}"/>
    <cellStyle name="20% - Accent2 2 6 2 2 3" xfId="24796" xr:uid="{247B52F5-AF93-4232-BAEE-BBC970FCB4BC}"/>
    <cellStyle name="20% - Accent2 2 6 2 2 4" xfId="16348" xr:uid="{32180FBE-204E-42C8-99FA-16FA9D2F86F7}"/>
    <cellStyle name="20% - Accent2 2 6 2 3" xfId="29019" xr:uid="{C54CEF39-8528-444E-81F7-E22BF5FBEC0C}"/>
    <cellStyle name="20% - Accent2 2 6 2 4" xfId="20578" xr:uid="{34306206-767E-4832-985C-C4B9225EAE2A}"/>
    <cellStyle name="20% - Accent2 2 6 2 5" xfId="12130" xr:uid="{DD2856FD-7238-4923-970A-DEDDC0305FC7}"/>
    <cellStyle name="20% - Accent2 2 6 3" xfId="5753" xr:uid="{00000000-0005-0000-0000-0000EA000000}"/>
    <cellStyle name="20% - Accent2 2 6 3 2" xfId="31092" xr:uid="{E2844AF2-1A48-443F-94DD-F84D5E7F1020}"/>
    <cellStyle name="20% - Accent2 2 6 3 3" xfId="22651" xr:uid="{441A6614-5439-441F-8371-CAB23BAF7F52}"/>
    <cellStyle name="20% - Accent2 2 6 3 4" xfId="14203" xr:uid="{7A032E44-C336-44DB-AEFC-1B001C7CA2B1}"/>
    <cellStyle name="20% - Accent2 2 6 4" xfId="26874" xr:uid="{FBAA2439-53BF-4A1B-886D-308413B45D96}"/>
    <cellStyle name="20% - Accent2 2 6 5" xfId="18433" xr:uid="{D366C40F-E5DB-4D36-81DF-7655FADDD2EA}"/>
    <cellStyle name="20% - Accent2 2 6 6" xfId="9985" xr:uid="{8CB9879C-1950-4BA5-8697-8F6461B10C5D}"/>
    <cellStyle name="20% - Accent2 2 7" xfId="1860" xr:uid="{00000000-0005-0000-0000-0000EB000000}"/>
    <cellStyle name="20% - Accent2 2 7 2" xfId="4089" xr:uid="{00000000-0005-0000-0000-0000EC000000}"/>
    <cellStyle name="20% - Accent2 2 7 2 2" xfId="8311" xr:uid="{00000000-0005-0000-0000-0000ED000000}"/>
    <cellStyle name="20% - Accent2 2 7 2 2 2" xfId="33650" xr:uid="{618E6DC7-5969-4661-96C1-1937A4126C9B}"/>
    <cellStyle name="20% - Accent2 2 7 2 2 3" xfId="25209" xr:uid="{DDF56EC0-D453-4530-AAE6-FF0FCE186649}"/>
    <cellStyle name="20% - Accent2 2 7 2 2 4" xfId="16761" xr:uid="{EE3E9976-C777-425A-8695-20CB07BD2202}"/>
    <cellStyle name="20% - Accent2 2 7 2 3" xfId="29432" xr:uid="{280FAAC6-3050-48BC-8E54-5E1A49AD52E9}"/>
    <cellStyle name="20% - Accent2 2 7 2 4" xfId="20991" xr:uid="{3BF2BD8F-BCA7-4FEC-879B-CC182C5587B9}"/>
    <cellStyle name="20% - Accent2 2 7 2 5" xfId="12543" xr:uid="{D518A259-EB87-4B47-B275-C14E0814902E}"/>
    <cellStyle name="20% - Accent2 2 7 3" xfId="6166" xr:uid="{00000000-0005-0000-0000-0000EE000000}"/>
    <cellStyle name="20% - Accent2 2 7 3 2" xfId="31505" xr:uid="{A6A9A84E-D2F9-4D94-81BB-B8470F88E9A1}"/>
    <cellStyle name="20% - Accent2 2 7 3 3" xfId="23064" xr:uid="{E07DB50E-C5A3-431C-9FD3-676F69C3E62B}"/>
    <cellStyle name="20% - Accent2 2 7 3 4" xfId="14616" xr:uid="{1A40DB55-0122-4422-8EF8-38DA4A77475C}"/>
    <cellStyle name="20% - Accent2 2 7 4" xfId="27287" xr:uid="{AE28E5FC-BFA3-4378-9A9C-3E62A7DBD1BB}"/>
    <cellStyle name="20% - Accent2 2 7 5" xfId="18846" xr:uid="{4B0A6BCE-AB2B-4006-8246-6F13AD3534EB}"/>
    <cellStyle name="20% - Accent2 2 7 6" xfId="10398" xr:uid="{B82A294B-339F-4602-9D5F-ECAC1C1F34A3}"/>
    <cellStyle name="20% - Accent2 2 8" xfId="2273" xr:uid="{00000000-0005-0000-0000-0000EF000000}"/>
    <cellStyle name="20% - Accent2 2 8 2" xfId="6579" xr:uid="{00000000-0005-0000-0000-0000F0000000}"/>
    <cellStyle name="20% - Accent2 2 8 2 2" xfId="31918" xr:uid="{52C4B25D-7200-475F-8CE9-56F15B749361}"/>
    <cellStyle name="20% - Accent2 2 8 2 3" xfId="23477" xr:uid="{7BEF56FA-1A60-4605-9EC0-4125C05F31E5}"/>
    <cellStyle name="20% - Accent2 2 8 2 4" xfId="15029" xr:uid="{ADAE898E-01B7-481C-B40D-4F44B930FA8A}"/>
    <cellStyle name="20% - Accent2 2 8 3" xfId="27700" xr:uid="{6148A904-2059-442B-94D7-2B6FC5E0DDAE}"/>
    <cellStyle name="20% - Accent2 2 8 4" xfId="19259" xr:uid="{012AF570-401B-4115-9FC9-34CB0911E158}"/>
    <cellStyle name="20% - Accent2 2 8 5" xfId="10811" xr:uid="{43D8EB48-FA02-4598-AA11-8A8AB09146DA}"/>
    <cellStyle name="20% - Accent2 2 9" xfId="4513" xr:uid="{00000000-0005-0000-0000-0000F1000000}"/>
    <cellStyle name="20% - Accent2 2 9 2" xfId="29852" xr:uid="{47E8AE5B-9183-49E0-A945-12CE818BC430}"/>
    <cellStyle name="20% - Accent2 2 9 3" xfId="21411" xr:uid="{1C02F6AB-F14C-4D98-B549-51C30BA69991}"/>
    <cellStyle name="20% - Accent2 2 9 4" xfId="12963" xr:uid="{A0412131-4FEB-43B2-BB52-2611ADABBC5D}"/>
    <cellStyle name="20% - Accent2 3" xfId="14" xr:uid="{00000000-0005-0000-0000-0000F2000000}"/>
    <cellStyle name="20% - Accent2 3 10" xfId="17197" xr:uid="{8296E624-45E1-4587-AA7A-20C01261DC25}"/>
    <cellStyle name="20% - Accent2 3 11" xfId="8749" xr:uid="{B3BD164C-1499-4905-A65B-AC3A3AEEA0DA}"/>
    <cellStyle name="20% - Accent2 3 2" xfId="15" xr:uid="{00000000-0005-0000-0000-0000F3000000}"/>
    <cellStyle name="20% - Accent2 3 2 10" xfId="8750" xr:uid="{32830292-6D58-4C40-BD11-DCED547A86F4}"/>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32416" xr:uid="{D0BEB91E-5E12-4C13-BF69-06296D731C06}"/>
    <cellStyle name="20% - Accent2 3 2 2 2 2 3" xfId="23975" xr:uid="{F78CAE52-A439-40C5-A5F9-78E9A2C42222}"/>
    <cellStyle name="20% - Accent2 3 2 2 2 2 4" xfId="15527" xr:uid="{F327ACB4-72D4-4904-B9A2-86EC0D321A0F}"/>
    <cellStyle name="20% - Accent2 3 2 2 2 3" xfId="28198" xr:uid="{1DE3DC26-C93D-4105-AED2-A7AF681C884D}"/>
    <cellStyle name="20% - Accent2 3 2 2 2 4" xfId="19757" xr:uid="{084A4B29-7BDB-4A0D-B4AF-4CA88FBBD0E9}"/>
    <cellStyle name="20% - Accent2 3 2 2 2 5" xfId="11309" xr:uid="{072E73E4-F01D-4709-94F7-4D8ED184FEA7}"/>
    <cellStyle name="20% - Accent2 3 2 2 3" xfId="4932" xr:uid="{00000000-0005-0000-0000-0000F7000000}"/>
    <cellStyle name="20% - Accent2 3 2 2 3 2" xfId="30271" xr:uid="{BECE11E5-FEE6-4F5E-B326-C54C4EF60CD3}"/>
    <cellStyle name="20% - Accent2 3 2 2 3 3" xfId="21830" xr:uid="{207722FD-55E2-428F-95C9-90765446F7E1}"/>
    <cellStyle name="20% - Accent2 3 2 2 3 4" xfId="13382" xr:uid="{1A60738D-ED12-4AA3-BA5E-91BC5C585024}"/>
    <cellStyle name="20% - Accent2 3 2 2 4" xfId="26053" xr:uid="{878B4C36-5B54-44F8-B030-256585372560}"/>
    <cellStyle name="20% - Accent2 3 2 2 5" xfId="17612" xr:uid="{B77A27E8-4E2F-4B87-8B41-0916EEF43940}"/>
    <cellStyle name="20% - Accent2 3 2 2 6" xfId="9164" xr:uid="{36E318E5-4628-4185-86E0-21052739715E}"/>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32829" xr:uid="{9C2BF81A-8EF7-445B-A3DD-70BCE5F7AB63}"/>
    <cellStyle name="20% - Accent2 3 2 3 2 2 3" xfId="24388" xr:uid="{0CC577F3-13F7-4247-AADE-D271C4E5009A}"/>
    <cellStyle name="20% - Accent2 3 2 3 2 2 4" xfId="15940" xr:uid="{6CBA03E2-C261-4F27-89DC-14BA63784315}"/>
    <cellStyle name="20% - Accent2 3 2 3 2 3" xfId="28611" xr:uid="{1F2738EE-D360-4CFB-94F5-CEE976763236}"/>
    <cellStyle name="20% - Accent2 3 2 3 2 4" xfId="20170" xr:uid="{BDC395D2-329A-4E95-B3E9-2678E687CB3C}"/>
    <cellStyle name="20% - Accent2 3 2 3 2 5" xfId="11722" xr:uid="{E573923B-CAED-4E89-9473-70FA0213023C}"/>
    <cellStyle name="20% - Accent2 3 2 3 3" xfId="5345" xr:uid="{00000000-0005-0000-0000-0000FB000000}"/>
    <cellStyle name="20% - Accent2 3 2 3 3 2" xfId="30684" xr:uid="{4D055D34-C033-495F-84EF-692F3BD4C67D}"/>
    <cellStyle name="20% - Accent2 3 2 3 3 3" xfId="22243" xr:uid="{21AE5CDB-11E9-4B42-8247-09D3F94318A6}"/>
    <cellStyle name="20% - Accent2 3 2 3 3 4" xfId="13795" xr:uid="{E3BA21E0-626A-44A2-9EC5-69D7D071D36E}"/>
    <cellStyle name="20% - Accent2 3 2 3 4" xfId="26466" xr:uid="{DB1FDFA8-78BD-49BF-BEE0-60DFE5E2B978}"/>
    <cellStyle name="20% - Accent2 3 2 3 5" xfId="18025" xr:uid="{4A3623DC-0AD0-405D-AD99-3D491118A405}"/>
    <cellStyle name="20% - Accent2 3 2 3 6" xfId="9577" xr:uid="{2E665C42-3C5A-4E9A-A6DB-CBA70D660588}"/>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33242" xr:uid="{76EDD57F-F248-4675-890A-A3938A564D92}"/>
    <cellStyle name="20% - Accent2 3 2 4 2 2 3" xfId="24801" xr:uid="{666CB8F4-596B-43AE-A24F-1E01824A717F}"/>
    <cellStyle name="20% - Accent2 3 2 4 2 2 4" xfId="16353" xr:uid="{537FD736-C868-45A7-9BB5-E8F8A7A7D820}"/>
    <cellStyle name="20% - Accent2 3 2 4 2 3" xfId="29024" xr:uid="{39F919B3-D0FE-4257-9244-CA6373A9D6BC}"/>
    <cellStyle name="20% - Accent2 3 2 4 2 4" xfId="20583" xr:uid="{87A4C8FF-4EC6-43B0-800D-174647AEFD69}"/>
    <cellStyle name="20% - Accent2 3 2 4 2 5" xfId="12135" xr:uid="{4B18F542-0A3F-46BB-9B5A-6FA5B837A115}"/>
    <cellStyle name="20% - Accent2 3 2 4 3" xfId="5758" xr:uid="{00000000-0005-0000-0000-0000FF000000}"/>
    <cellStyle name="20% - Accent2 3 2 4 3 2" xfId="31097" xr:uid="{2C119CE8-EE4D-4F09-8787-FF4E7ACAB36B}"/>
    <cellStyle name="20% - Accent2 3 2 4 3 3" xfId="22656" xr:uid="{E261FF91-1DE0-4675-A39B-131D7F4E90B6}"/>
    <cellStyle name="20% - Accent2 3 2 4 3 4" xfId="14208" xr:uid="{A617F855-A325-4FF7-9FAE-C87240542893}"/>
    <cellStyle name="20% - Accent2 3 2 4 4" xfId="26879" xr:uid="{C7575110-157F-4D69-8DFF-11DB80B8AFBC}"/>
    <cellStyle name="20% - Accent2 3 2 4 5" xfId="18438" xr:uid="{9AE3BFB9-CCB8-45F1-9EDA-89EBDE54D587}"/>
    <cellStyle name="20% - Accent2 3 2 4 6" xfId="9990" xr:uid="{554B0863-8A73-4745-BE5A-3DEB546B09FF}"/>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33655" xr:uid="{640B1722-6CA6-4F31-B000-DF1AE745D1F1}"/>
    <cellStyle name="20% - Accent2 3 2 5 2 2 3" xfId="25214" xr:uid="{D283BE30-5B56-4C6C-B092-33342E3EACB9}"/>
    <cellStyle name="20% - Accent2 3 2 5 2 2 4" xfId="16766" xr:uid="{C92F21AD-2FCC-471E-8B0D-C6E3A81682FC}"/>
    <cellStyle name="20% - Accent2 3 2 5 2 3" xfId="29437" xr:uid="{045D735C-5D7C-40DB-9927-F657293B8773}"/>
    <cellStyle name="20% - Accent2 3 2 5 2 4" xfId="20996" xr:uid="{13D8E03C-A019-4D35-A114-05007F8469FC}"/>
    <cellStyle name="20% - Accent2 3 2 5 2 5" xfId="12548" xr:uid="{97F5DE71-1D58-4A47-B099-ED237C6D5F84}"/>
    <cellStyle name="20% - Accent2 3 2 5 3" xfId="6171" xr:uid="{00000000-0005-0000-0000-000003010000}"/>
    <cellStyle name="20% - Accent2 3 2 5 3 2" xfId="31510" xr:uid="{98EBCAE4-AD52-45C0-BF71-59403AD74FC7}"/>
    <cellStyle name="20% - Accent2 3 2 5 3 3" xfId="23069" xr:uid="{890CBFF0-5D43-4716-BC62-9E72D965C6AE}"/>
    <cellStyle name="20% - Accent2 3 2 5 3 4" xfId="14621" xr:uid="{40A5F9A0-A2F5-490C-9841-08DEE2BC56E1}"/>
    <cellStyle name="20% - Accent2 3 2 5 4" xfId="27292" xr:uid="{C8FF8056-0AA8-42C5-A473-3DD72CF35D9C}"/>
    <cellStyle name="20% - Accent2 3 2 5 5" xfId="18851" xr:uid="{184ADF81-21B8-41D3-A533-82B915E3678A}"/>
    <cellStyle name="20% - Accent2 3 2 5 6" xfId="10403" xr:uid="{73815AFA-F447-45B9-BF07-14E21306B8BA}"/>
    <cellStyle name="20% - Accent2 3 2 6" xfId="2278" xr:uid="{00000000-0005-0000-0000-000004010000}"/>
    <cellStyle name="20% - Accent2 3 2 6 2" xfId="6584" xr:uid="{00000000-0005-0000-0000-000005010000}"/>
    <cellStyle name="20% - Accent2 3 2 6 2 2" xfId="31923" xr:uid="{F4A84F1E-14EB-478B-B5E5-CFFCCF4C1C99}"/>
    <cellStyle name="20% - Accent2 3 2 6 2 3" xfId="23482" xr:uid="{9B1814C8-9CDF-4937-A2DD-FF9B64DB1C1C}"/>
    <cellStyle name="20% - Accent2 3 2 6 2 4" xfId="15034" xr:uid="{430A7A41-8C69-4AF8-973B-81A2EF32575F}"/>
    <cellStyle name="20% - Accent2 3 2 6 3" xfId="27705" xr:uid="{781472E4-AD98-46EE-8218-9F12416A45AB}"/>
    <cellStyle name="20% - Accent2 3 2 6 4" xfId="19264" xr:uid="{148ABFA5-68B2-4679-9AA4-883DEB13ED0B}"/>
    <cellStyle name="20% - Accent2 3 2 6 5" xfId="10816" xr:uid="{5E6ABB1E-3821-4F78-8090-22ABE23090C9}"/>
    <cellStyle name="20% - Accent2 3 2 7" xfId="4518" xr:uid="{00000000-0005-0000-0000-000006010000}"/>
    <cellStyle name="20% - Accent2 3 2 7 2" xfId="29857" xr:uid="{F27A9293-B3CE-404E-8BCD-64E699E33655}"/>
    <cellStyle name="20% - Accent2 3 2 7 3" xfId="21416" xr:uid="{9D31636F-E2D4-40E8-B006-C16127D70710}"/>
    <cellStyle name="20% - Accent2 3 2 7 4" xfId="12968" xr:uid="{688CFE87-961E-4C68-9098-1FCE4E0DBC80}"/>
    <cellStyle name="20% - Accent2 3 2 8" xfId="25639" xr:uid="{C05841B1-81ED-4684-BD64-8943D077EBFC}"/>
    <cellStyle name="20% - Accent2 3 2 9" xfId="17198" xr:uid="{F0B286B6-D41C-4D10-8CB2-6196C5654032}"/>
    <cellStyle name="20% - Accent2 3 3" xfId="583" xr:uid="{00000000-0005-0000-0000-000007010000}"/>
    <cellStyle name="20% - Accent2 3 3 2" xfId="2854" xr:uid="{00000000-0005-0000-0000-000008010000}"/>
    <cellStyle name="20% - Accent2 3 3 2 2" xfId="7076" xr:uid="{00000000-0005-0000-0000-000009010000}"/>
    <cellStyle name="20% - Accent2 3 3 2 2 2" xfId="32415" xr:uid="{C94A7BEB-0E24-4806-9387-846E1D1B1029}"/>
    <cellStyle name="20% - Accent2 3 3 2 2 3" xfId="23974" xr:uid="{DF6ADABA-CD10-49E3-916D-B691EC6C4D7C}"/>
    <cellStyle name="20% - Accent2 3 3 2 2 4" xfId="15526" xr:uid="{BF102F3B-F2CD-41AA-91F0-3E6179A5F481}"/>
    <cellStyle name="20% - Accent2 3 3 2 3" xfId="28197" xr:uid="{54E00E0B-A361-40C1-B9A3-2F1E2F79B930}"/>
    <cellStyle name="20% - Accent2 3 3 2 4" xfId="19756" xr:uid="{FDBB8AFA-7358-491A-B2FF-9C89E9D1EC6B}"/>
    <cellStyle name="20% - Accent2 3 3 2 5" xfId="11308" xr:uid="{B4BF32D4-16E6-4D32-BD64-C449329282BA}"/>
    <cellStyle name="20% - Accent2 3 3 3" xfId="4931" xr:uid="{00000000-0005-0000-0000-00000A010000}"/>
    <cellStyle name="20% - Accent2 3 3 3 2" xfId="30270" xr:uid="{768F0E69-BC0A-41DE-8EAE-7351DD1D910C}"/>
    <cellStyle name="20% - Accent2 3 3 3 3" xfId="21829" xr:uid="{7042949D-7B41-4A46-BA77-81ADA7CF28C1}"/>
    <cellStyle name="20% - Accent2 3 3 3 4" xfId="13381" xr:uid="{36E81DFF-52EF-4FAB-843F-745FA6D8B720}"/>
    <cellStyle name="20% - Accent2 3 3 4" xfId="26052" xr:uid="{7AA81BC6-7F49-471E-AE4E-ADF3A8B412AE}"/>
    <cellStyle name="20% - Accent2 3 3 5" xfId="17611" xr:uid="{80524EAB-490E-4FB5-AEA0-B0D470657521}"/>
    <cellStyle name="20% - Accent2 3 3 6" xfId="9163" xr:uid="{58D129F7-B776-48E8-B176-5353105FBD26}"/>
    <cellStyle name="20% - Accent2 3 4" xfId="1036" xr:uid="{00000000-0005-0000-0000-00000B010000}"/>
    <cellStyle name="20% - Accent2 3 4 2" xfId="3267" xr:uid="{00000000-0005-0000-0000-00000C010000}"/>
    <cellStyle name="20% - Accent2 3 4 2 2" xfId="7489" xr:uid="{00000000-0005-0000-0000-00000D010000}"/>
    <cellStyle name="20% - Accent2 3 4 2 2 2" xfId="32828" xr:uid="{F853E259-EB98-4140-BB81-AEAC1ECA3159}"/>
    <cellStyle name="20% - Accent2 3 4 2 2 3" xfId="24387" xr:uid="{727CD903-A26B-49ED-9DB7-21D4B976DA9F}"/>
    <cellStyle name="20% - Accent2 3 4 2 2 4" xfId="15939" xr:uid="{6FEA403C-5FDA-406D-A4CD-6D9B8F2873A7}"/>
    <cellStyle name="20% - Accent2 3 4 2 3" xfId="28610" xr:uid="{FF2214D2-872B-4167-83DF-1655670CBFC9}"/>
    <cellStyle name="20% - Accent2 3 4 2 4" xfId="20169" xr:uid="{E91DD9BC-E319-4216-8BB8-C2FB1D86ABB5}"/>
    <cellStyle name="20% - Accent2 3 4 2 5" xfId="11721" xr:uid="{BA19CFFE-A72E-4783-9740-EA2E28EDA334}"/>
    <cellStyle name="20% - Accent2 3 4 3" xfId="5344" xr:uid="{00000000-0005-0000-0000-00000E010000}"/>
    <cellStyle name="20% - Accent2 3 4 3 2" xfId="30683" xr:uid="{E219DE9B-7DB6-4229-B2BE-4DA871AEC10F}"/>
    <cellStyle name="20% - Accent2 3 4 3 3" xfId="22242" xr:uid="{78526BA2-3BD7-402B-A894-2F79ACB904C3}"/>
    <cellStyle name="20% - Accent2 3 4 3 4" xfId="13794" xr:uid="{10AD304F-C1A9-4A47-8F30-E9354B64422E}"/>
    <cellStyle name="20% - Accent2 3 4 4" xfId="26465" xr:uid="{92E25A5F-EC08-4A33-AC96-45A82CF516C4}"/>
    <cellStyle name="20% - Accent2 3 4 5" xfId="18024" xr:uid="{93A5FC4E-E171-44B3-B74C-A69FD17E4BFD}"/>
    <cellStyle name="20% - Accent2 3 4 6" xfId="9576" xr:uid="{6DFC80CF-8A2D-44A8-BB06-9B1BCEE71E8A}"/>
    <cellStyle name="20% - Accent2 3 5" xfId="1450" xr:uid="{00000000-0005-0000-0000-00000F010000}"/>
    <cellStyle name="20% - Accent2 3 5 2" xfId="3680" xr:uid="{00000000-0005-0000-0000-000010010000}"/>
    <cellStyle name="20% - Accent2 3 5 2 2" xfId="7902" xr:uid="{00000000-0005-0000-0000-000011010000}"/>
    <cellStyle name="20% - Accent2 3 5 2 2 2" xfId="33241" xr:uid="{1C995A02-F150-4ACD-8AFB-ED435BDD5F3F}"/>
    <cellStyle name="20% - Accent2 3 5 2 2 3" xfId="24800" xr:uid="{D4A2F819-985B-408E-BB64-095B7EFB1CE3}"/>
    <cellStyle name="20% - Accent2 3 5 2 2 4" xfId="16352" xr:uid="{48C66315-8E16-4B8C-BB0E-3815F17C9818}"/>
    <cellStyle name="20% - Accent2 3 5 2 3" xfId="29023" xr:uid="{CC00950A-8686-40B5-9CAF-83014AB0D30E}"/>
    <cellStyle name="20% - Accent2 3 5 2 4" xfId="20582" xr:uid="{7E940C28-CC8A-46D9-ABB1-4396E33B394D}"/>
    <cellStyle name="20% - Accent2 3 5 2 5" xfId="12134" xr:uid="{26E4EC75-3FFE-4925-A08C-C9D07E972751}"/>
    <cellStyle name="20% - Accent2 3 5 3" xfId="5757" xr:uid="{00000000-0005-0000-0000-000012010000}"/>
    <cellStyle name="20% - Accent2 3 5 3 2" xfId="31096" xr:uid="{980BCD32-7FA3-4A88-9CB8-BD3774C7BB71}"/>
    <cellStyle name="20% - Accent2 3 5 3 3" xfId="22655" xr:uid="{8D2EFAD4-32CF-4E76-B5AE-2DB23761E1DC}"/>
    <cellStyle name="20% - Accent2 3 5 3 4" xfId="14207" xr:uid="{A8511676-34DF-4307-8D6E-103AF2DACA43}"/>
    <cellStyle name="20% - Accent2 3 5 4" xfId="26878" xr:uid="{5915CD10-82D9-4541-9A24-307A4B0BFCD2}"/>
    <cellStyle name="20% - Accent2 3 5 5" xfId="18437" xr:uid="{D613CAE9-ACE4-4DF0-AAFB-AFAD39F4102F}"/>
    <cellStyle name="20% - Accent2 3 5 6" xfId="9989" xr:uid="{74CFEF69-0728-487E-AFF9-55B6E3CB25CB}"/>
    <cellStyle name="20% - Accent2 3 6" xfId="1864" xr:uid="{00000000-0005-0000-0000-000013010000}"/>
    <cellStyle name="20% - Accent2 3 6 2" xfId="4093" xr:uid="{00000000-0005-0000-0000-000014010000}"/>
    <cellStyle name="20% - Accent2 3 6 2 2" xfId="8315" xr:uid="{00000000-0005-0000-0000-000015010000}"/>
    <cellStyle name="20% - Accent2 3 6 2 2 2" xfId="33654" xr:uid="{5001B96E-A73B-4720-9DA5-1A9EE702DCFD}"/>
    <cellStyle name="20% - Accent2 3 6 2 2 3" xfId="25213" xr:uid="{522E0FF9-CDD6-4477-B276-A0377047B66F}"/>
    <cellStyle name="20% - Accent2 3 6 2 2 4" xfId="16765" xr:uid="{8A5CA9C5-7359-4221-B411-EE8663AE0C75}"/>
    <cellStyle name="20% - Accent2 3 6 2 3" xfId="29436" xr:uid="{A876BA8B-E01E-4E0A-97CD-149631CFB183}"/>
    <cellStyle name="20% - Accent2 3 6 2 4" xfId="20995" xr:uid="{CDADFB7F-4DDC-4689-826F-E1E82A65BBC2}"/>
    <cellStyle name="20% - Accent2 3 6 2 5" xfId="12547" xr:uid="{D84FD467-74D3-4818-B58F-49E3130E029D}"/>
    <cellStyle name="20% - Accent2 3 6 3" xfId="6170" xr:uid="{00000000-0005-0000-0000-000016010000}"/>
    <cellStyle name="20% - Accent2 3 6 3 2" xfId="31509" xr:uid="{6A8DDE9B-95FC-4085-8C31-52D6F66ECC79}"/>
    <cellStyle name="20% - Accent2 3 6 3 3" xfId="23068" xr:uid="{9A629FA9-BC12-4D10-ABCF-6AECDB5AF24A}"/>
    <cellStyle name="20% - Accent2 3 6 3 4" xfId="14620" xr:uid="{7D355278-361E-46A1-86B6-5ABAB1ABC2C8}"/>
    <cellStyle name="20% - Accent2 3 6 4" xfId="27291" xr:uid="{087D97EA-8A8B-40E9-8DB4-06B854E1D6C5}"/>
    <cellStyle name="20% - Accent2 3 6 5" xfId="18850" xr:uid="{6F9B8657-D2E5-4309-9944-50FF4CE9B0CB}"/>
    <cellStyle name="20% - Accent2 3 6 6" xfId="10402" xr:uid="{C8914BF3-EB4B-475F-9C7B-1E775423BB85}"/>
    <cellStyle name="20% - Accent2 3 7" xfId="2277" xr:uid="{00000000-0005-0000-0000-000017010000}"/>
    <cellStyle name="20% - Accent2 3 7 2" xfId="6583" xr:uid="{00000000-0005-0000-0000-000018010000}"/>
    <cellStyle name="20% - Accent2 3 7 2 2" xfId="31922" xr:uid="{E2E55CEC-7C3D-49BD-A177-EA12E52BAB03}"/>
    <cellStyle name="20% - Accent2 3 7 2 3" xfId="23481" xr:uid="{97CBDC9D-A50A-481E-A3A9-757AF966FCAE}"/>
    <cellStyle name="20% - Accent2 3 7 2 4" xfId="15033" xr:uid="{017717D6-0AAB-4A5F-A4C9-2A3854EC8575}"/>
    <cellStyle name="20% - Accent2 3 7 3" xfId="27704" xr:uid="{081B6DC4-0FAC-4D4D-B66D-00655F26520E}"/>
    <cellStyle name="20% - Accent2 3 7 4" xfId="19263" xr:uid="{83FF759D-8E20-4D2D-B6BC-CF80A0AF50F0}"/>
    <cellStyle name="20% - Accent2 3 7 5" xfId="10815" xr:uid="{D23E775A-31DD-43E6-AEEB-6754142521EE}"/>
    <cellStyle name="20% - Accent2 3 8" xfId="4517" xr:uid="{00000000-0005-0000-0000-000019010000}"/>
    <cellStyle name="20% - Accent2 3 8 2" xfId="29856" xr:uid="{E7E115F8-7837-4F84-A785-F6B58EE688DC}"/>
    <cellStyle name="20% - Accent2 3 8 3" xfId="21415" xr:uid="{E6564F5F-B465-4282-A023-432B5CDEB27A}"/>
    <cellStyle name="20% - Accent2 3 8 4" xfId="12967" xr:uid="{98FA411D-98D6-437D-9C7C-66706F30CE47}"/>
    <cellStyle name="20% - Accent2 3 9" xfId="25638" xr:uid="{C452D8E5-2771-4C17-8F8D-1908277D2F37}"/>
    <cellStyle name="20% - Accent2 4" xfId="16" xr:uid="{00000000-0005-0000-0000-00001A010000}"/>
    <cellStyle name="20% - Accent2 4 10" xfId="8751" xr:uid="{4083E091-C06F-473F-9C4A-3C452864C9FB}"/>
    <cellStyle name="20% - Accent2 4 2" xfId="585" xr:uid="{00000000-0005-0000-0000-00001B010000}"/>
    <cellStyle name="20% - Accent2 4 2 2" xfId="2856" xr:uid="{00000000-0005-0000-0000-00001C010000}"/>
    <cellStyle name="20% - Accent2 4 2 2 2" xfId="7078" xr:uid="{00000000-0005-0000-0000-00001D010000}"/>
    <cellStyle name="20% - Accent2 4 2 2 2 2" xfId="32417" xr:uid="{2CB49993-7FF1-44EB-98DF-8B3B44B5B704}"/>
    <cellStyle name="20% - Accent2 4 2 2 2 3" xfId="23976" xr:uid="{9C3DD2EF-99F2-4848-B729-AE9E8D23135E}"/>
    <cellStyle name="20% - Accent2 4 2 2 2 4" xfId="15528" xr:uid="{B5F93B7C-E908-450C-A406-892019AF6AB4}"/>
    <cellStyle name="20% - Accent2 4 2 2 3" xfId="28199" xr:uid="{85E045D0-96F2-4450-8DF5-DA222AB86525}"/>
    <cellStyle name="20% - Accent2 4 2 2 4" xfId="19758" xr:uid="{E67D20EF-43A8-419A-9F86-87B230D59B06}"/>
    <cellStyle name="20% - Accent2 4 2 2 5" xfId="11310" xr:uid="{29D81EBD-4BE8-4B50-8BBF-6C9AA54BFB90}"/>
    <cellStyle name="20% - Accent2 4 2 3" xfId="4933" xr:uid="{00000000-0005-0000-0000-00001E010000}"/>
    <cellStyle name="20% - Accent2 4 2 3 2" xfId="30272" xr:uid="{B150CDF0-90AA-4BA9-9F11-30F6E364F0AC}"/>
    <cellStyle name="20% - Accent2 4 2 3 3" xfId="21831" xr:uid="{454DC68E-A95F-4C62-A4F2-70080FF37F31}"/>
    <cellStyle name="20% - Accent2 4 2 3 4" xfId="13383" xr:uid="{9675AC01-114A-4BDA-BB3D-718ACBEF61BC}"/>
    <cellStyle name="20% - Accent2 4 2 4" xfId="26054" xr:uid="{E25672CF-A72B-45F2-A7C1-EF14BA7F92A3}"/>
    <cellStyle name="20% - Accent2 4 2 5" xfId="17613" xr:uid="{A226E271-4D76-4BA4-B488-1F2BC43DE874}"/>
    <cellStyle name="20% - Accent2 4 2 6" xfId="9165" xr:uid="{6A4D0100-C7CF-4B56-962B-5817B2005BCC}"/>
    <cellStyle name="20% - Accent2 4 3" xfId="1038" xr:uid="{00000000-0005-0000-0000-00001F010000}"/>
    <cellStyle name="20% - Accent2 4 3 2" xfId="3269" xr:uid="{00000000-0005-0000-0000-000020010000}"/>
    <cellStyle name="20% - Accent2 4 3 2 2" xfId="7491" xr:uid="{00000000-0005-0000-0000-000021010000}"/>
    <cellStyle name="20% - Accent2 4 3 2 2 2" xfId="32830" xr:uid="{E9A7FD49-9370-4C82-951A-3C2540857027}"/>
    <cellStyle name="20% - Accent2 4 3 2 2 3" xfId="24389" xr:uid="{EAA696CA-2203-4E8C-8654-B14451CD8A3B}"/>
    <cellStyle name="20% - Accent2 4 3 2 2 4" xfId="15941" xr:uid="{FE1FC786-986A-4D27-9591-2E8BA1699723}"/>
    <cellStyle name="20% - Accent2 4 3 2 3" xfId="28612" xr:uid="{87687B2F-2CAF-478B-9958-7B1B5F8401DE}"/>
    <cellStyle name="20% - Accent2 4 3 2 4" xfId="20171" xr:uid="{EFDD15C8-F48E-4143-BB59-179D9F746F74}"/>
    <cellStyle name="20% - Accent2 4 3 2 5" xfId="11723" xr:uid="{AA09A7DB-71FA-4AC2-AC0C-359009E3B19A}"/>
    <cellStyle name="20% - Accent2 4 3 3" xfId="5346" xr:uid="{00000000-0005-0000-0000-000022010000}"/>
    <cellStyle name="20% - Accent2 4 3 3 2" xfId="30685" xr:uid="{F9DC06C6-5CE9-482C-AFFC-7D5FE30D35A4}"/>
    <cellStyle name="20% - Accent2 4 3 3 3" xfId="22244" xr:uid="{EC442226-11C8-48B7-9E77-2BC39C0CF6A7}"/>
    <cellStyle name="20% - Accent2 4 3 3 4" xfId="13796" xr:uid="{C78E317C-2ABE-4B4C-B7CC-53CAB1FCC8A1}"/>
    <cellStyle name="20% - Accent2 4 3 4" xfId="26467" xr:uid="{1914C35F-1A1E-4C1E-9215-6EAA2124C74B}"/>
    <cellStyle name="20% - Accent2 4 3 5" xfId="18026" xr:uid="{82BE589F-10DC-44FA-8E3E-2FBE70A21587}"/>
    <cellStyle name="20% - Accent2 4 3 6" xfId="9578" xr:uid="{B9920AC9-73D8-44F5-868A-1903C88F8C07}"/>
    <cellStyle name="20% - Accent2 4 4" xfId="1452" xr:uid="{00000000-0005-0000-0000-000023010000}"/>
    <cellStyle name="20% - Accent2 4 4 2" xfId="3682" xr:uid="{00000000-0005-0000-0000-000024010000}"/>
    <cellStyle name="20% - Accent2 4 4 2 2" xfId="7904" xr:uid="{00000000-0005-0000-0000-000025010000}"/>
    <cellStyle name="20% - Accent2 4 4 2 2 2" xfId="33243" xr:uid="{E267AE30-5295-40B3-9B7E-D66EE95B0AB8}"/>
    <cellStyle name="20% - Accent2 4 4 2 2 3" xfId="24802" xr:uid="{683B6325-B2DE-4CA2-9FF6-FEBCF7EAFD30}"/>
    <cellStyle name="20% - Accent2 4 4 2 2 4" xfId="16354" xr:uid="{59A1539C-056D-48F8-9856-71C1A1312AFE}"/>
    <cellStyle name="20% - Accent2 4 4 2 3" xfId="29025" xr:uid="{AF82992A-73D0-401A-85B7-64558747D08E}"/>
    <cellStyle name="20% - Accent2 4 4 2 4" xfId="20584" xr:uid="{348DF6F3-FF72-4060-B607-51FD7CA81446}"/>
    <cellStyle name="20% - Accent2 4 4 2 5" xfId="12136" xr:uid="{610B7672-A50E-4159-9597-C28DAD273656}"/>
    <cellStyle name="20% - Accent2 4 4 3" xfId="5759" xr:uid="{00000000-0005-0000-0000-000026010000}"/>
    <cellStyle name="20% - Accent2 4 4 3 2" xfId="31098" xr:uid="{AF3DF264-B1BB-4368-A4F7-7050FDEE351D}"/>
    <cellStyle name="20% - Accent2 4 4 3 3" xfId="22657" xr:uid="{65843911-D52A-48E5-AD2F-7CDC27082713}"/>
    <cellStyle name="20% - Accent2 4 4 3 4" xfId="14209" xr:uid="{19C9CB29-4695-43C0-9FD9-89227C8C294D}"/>
    <cellStyle name="20% - Accent2 4 4 4" xfId="26880" xr:uid="{F2E7A85F-057B-4AE1-8213-9ACF6D04E746}"/>
    <cellStyle name="20% - Accent2 4 4 5" xfId="18439" xr:uid="{E7B98473-B499-4FCD-8E10-69B8AB4E0EB0}"/>
    <cellStyle name="20% - Accent2 4 4 6" xfId="9991" xr:uid="{33F33BCC-7CD3-4432-9382-015D08969E4C}"/>
    <cellStyle name="20% - Accent2 4 5" xfId="1866" xr:uid="{00000000-0005-0000-0000-000027010000}"/>
    <cellStyle name="20% - Accent2 4 5 2" xfId="4095" xr:uid="{00000000-0005-0000-0000-000028010000}"/>
    <cellStyle name="20% - Accent2 4 5 2 2" xfId="8317" xr:uid="{00000000-0005-0000-0000-000029010000}"/>
    <cellStyle name="20% - Accent2 4 5 2 2 2" xfId="33656" xr:uid="{36D3887C-5BDD-4DED-A2AC-3D7A80C07340}"/>
    <cellStyle name="20% - Accent2 4 5 2 2 3" xfId="25215" xr:uid="{399BDB04-6EF4-44D7-9F6D-77FF986FDB94}"/>
    <cellStyle name="20% - Accent2 4 5 2 2 4" xfId="16767" xr:uid="{574EAD86-063A-40EF-84FC-82761F8E636B}"/>
    <cellStyle name="20% - Accent2 4 5 2 3" xfId="29438" xr:uid="{325D16D3-DBBE-4B11-BC33-A10F4BF449AA}"/>
    <cellStyle name="20% - Accent2 4 5 2 4" xfId="20997" xr:uid="{EEA69059-9D54-4A9E-8B89-3C369656F1BB}"/>
    <cellStyle name="20% - Accent2 4 5 2 5" xfId="12549" xr:uid="{CEE092C8-4266-42D6-B46E-0BC9D69A1DEB}"/>
    <cellStyle name="20% - Accent2 4 5 3" xfId="6172" xr:uid="{00000000-0005-0000-0000-00002A010000}"/>
    <cellStyle name="20% - Accent2 4 5 3 2" xfId="31511" xr:uid="{2A780579-6DE1-4FE6-B688-667AA8A43A4D}"/>
    <cellStyle name="20% - Accent2 4 5 3 3" xfId="23070" xr:uid="{D067391F-F1AA-4BF2-93F3-C0155D73840F}"/>
    <cellStyle name="20% - Accent2 4 5 3 4" xfId="14622" xr:uid="{BDBDA752-6085-4A8C-A7E7-BD1E3AF9E62F}"/>
    <cellStyle name="20% - Accent2 4 5 4" xfId="27293" xr:uid="{613EC651-B7D2-4180-8729-88C992C5409C}"/>
    <cellStyle name="20% - Accent2 4 5 5" xfId="18852" xr:uid="{F732D6D4-C3BB-4CE0-A7DB-2EF0F0D3ABE0}"/>
    <cellStyle name="20% - Accent2 4 5 6" xfId="10404" xr:uid="{FB49B234-4E7C-4139-917B-A1E37879C335}"/>
    <cellStyle name="20% - Accent2 4 6" xfId="2279" xr:uid="{00000000-0005-0000-0000-00002B010000}"/>
    <cellStyle name="20% - Accent2 4 6 2" xfId="6585" xr:uid="{00000000-0005-0000-0000-00002C010000}"/>
    <cellStyle name="20% - Accent2 4 6 2 2" xfId="31924" xr:uid="{A0FFC661-A1D0-47A5-9713-F63E1C22E624}"/>
    <cellStyle name="20% - Accent2 4 6 2 3" xfId="23483" xr:uid="{F82596E0-07E8-4187-AC3D-CC595D013827}"/>
    <cellStyle name="20% - Accent2 4 6 2 4" xfId="15035" xr:uid="{DB4B84EC-690A-4E09-9C21-83447543D224}"/>
    <cellStyle name="20% - Accent2 4 6 3" xfId="27706" xr:uid="{9853BEF1-E8D6-433A-A61E-D5E36CFB0B20}"/>
    <cellStyle name="20% - Accent2 4 6 4" xfId="19265" xr:uid="{A49341CC-E350-4A26-AC99-5EAEEF65A81E}"/>
    <cellStyle name="20% - Accent2 4 6 5" xfId="10817" xr:uid="{7BD66419-5DDF-4633-8280-BDFF1D29DA22}"/>
    <cellStyle name="20% - Accent2 4 7" xfId="4519" xr:uid="{00000000-0005-0000-0000-00002D010000}"/>
    <cellStyle name="20% - Accent2 4 7 2" xfId="29858" xr:uid="{5A5B28B3-7996-48E0-A0F8-9F6102565BFC}"/>
    <cellStyle name="20% - Accent2 4 7 3" xfId="21417" xr:uid="{06476941-DBFA-441F-B8C2-EC562218D4A7}"/>
    <cellStyle name="20% - Accent2 4 7 4" xfId="12969" xr:uid="{DE92339B-72B7-4E9B-979C-CFDB0816B367}"/>
    <cellStyle name="20% - Accent2 4 8" xfId="25640" xr:uid="{A90AA5A2-5EF3-459A-AC4E-B28913FE3A06}"/>
    <cellStyle name="20% - Accent2 4 9" xfId="17199" xr:uid="{97EA2BB2-8967-4205-B394-2C10979FF3EC}"/>
    <cellStyle name="20% - Accent2 5" xfId="578" xr:uid="{00000000-0005-0000-0000-00002E010000}"/>
    <cellStyle name="20% - Accent2 5 2" xfId="2849" xr:uid="{00000000-0005-0000-0000-00002F010000}"/>
    <cellStyle name="20% - Accent2 5 2 2" xfId="7071" xr:uid="{00000000-0005-0000-0000-000030010000}"/>
    <cellStyle name="20% - Accent2 5 2 2 2" xfId="32410" xr:uid="{6C556AF3-74CC-44F3-AF3D-8103AF567190}"/>
    <cellStyle name="20% - Accent2 5 2 2 3" xfId="23969" xr:uid="{DFDD3E2E-B74C-48B2-9BBA-AA7E157F34A0}"/>
    <cellStyle name="20% - Accent2 5 2 2 4" xfId="15521" xr:uid="{CD1608C0-C00F-4B5F-8217-D88F3843A484}"/>
    <cellStyle name="20% - Accent2 5 2 3" xfId="28192" xr:uid="{E2ED5759-92F8-4FCC-9DC9-B97C1DF0A7B2}"/>
    <cellStyle name="20% - Accent2 5 2 4" xfId="19751" xr:uid="{91BD0AEB-4706-4FC0-A97D-62F6437DB159}"/>
    <cellStyle name="20% - Accent2 5 2 5" xfId="11303" xr:uid="{95285991-F686-4F2B-97D2-20BD5D68891D}"/>
    <cellStyle name="20% - Accent2 5 3" xfId="4926" xr:uid="{00000000-0005-0000-0000-000031010000}"/>
    <cellStyle name="20% - Accent2 5 3 2" xfId="30265" xr:uid="{E4E9B384-A2A6-4E8D-927A-ADDB7D0273EE}"/>
    <cellStyle name="20% - Accent2 5 3 3" xfId="21824" xr:uid="{FB77911E-FDE0-4640-8C47-673D3CBC97CA}"/>
    <cellStyle name="20% - Accent2 5 3 4" xfId="13376" xr:uid="{38D99741-D43B-45E7-9E6A-8594275E459E}"/>
    <cellStyle name="20% - Accent2 5 4" xfId="26047" xr:uid="{DFB40EE2-A15A-43C7-89FE-C789007EA513}"/>
    <cellStyle name="20% - Accent2 5 5" xfId="17606" xr:uid="{D09CDF44-8DB3-49EB-BF01-8A15E523750F}"/>
    <cellStyle name="20% - Accent2 5 6" xfId="9158" xr:uid="{3665BAEB-8590-402D-BC64-60B09012B796}"/>
    <cellStyle name="20% - Accent2 6" xfId="1031" xr:uid="{00000000-0005-0000-0000-000032010000}"/>
    <cellStyle name="20% - Accent2 6 2" xfId="3262" xr:uid="{00000000-0005-0000-0000-000033010000}"/>
    <cellStyle name="20% - Accent2 6 2 2" xfId="7484" xr:uid="{00000000-0005-0000-0000-000034010000}"/>
    <cellStyle name="20% - Accent2 6 2 2 2" xfId="32823" xr:uid="{4768C50C-41C6-47B0-9037-ADCB1B63702A}"/>
    <cellStyle name="20% - Accent2 6 2 2 3" xfId="24382" xr:uid="{70A5BC13-058B-4935-B086-93FB88A1AD09}"/>
    <cellStyle name="20% - Accent2 6 2 2 4" xfId="15934" xr:uid="{60CD6FA9-FC8D-49FE-8523-45BCF2062D3D}"/>
    <cellStyle name="20% - Accent2 6 2 3" xfId="28605" xr:uid="{5C6FCFE5-C3E7-480D-81F1-6291330AE359}"/>
    <cellStyle name="20% - Accent2 6 2 4" xfId="20164" xr:uid="{2A6907C9-A30F-4D4C-ABE1-E8CA9DCB3991}"/>
    <cellStyle name="20% - Accent2 6 2 5" xfId="11716" xr:uid="{E86B661F-B4B7-448F-B8F3-FF3565187652}"/>
    <cellStyle name="20% - Accent2 6 3" xfId="5339" xr:uid="{00000000-0005-0000-0000-000035010000}"/>
    <cellStyle name="20% - Accent2 6 3 2" xfId="30678" xr:uid="{813A7EAB-9BB0-4C4C-9018-97288D07B34C}"/>
    <cellStyle name="20% - Accent2 6 3 3" xfId="22237" xr:uid="{96C9ED5C-2246-42C5-B379-5365F656DD4B}"/>
    <cellStyle name="20% - Accent2 6 3 4" xfId="13789" xr:uid="{9CF22563-7614-4C95-A565-4C47ECDA6E4B}"/>
    <cellStyle name="20% - Accent2 6 4" xfId="26460" xr:uid="{E9193957-6AB8-4558-858F-3AB24E94369F}"/>
    <cellStyle name="20% - Accent2 6 5" xfId="18019" xr:uid="{3757F802-AFA9-4ED4-A852-DCB5B0FD35E1}"/>
    <cellStyle name="20% - Accent2 6 6" xfId="9571" xr:uid="{4B759CAD-362D-4AF2-B283-42DAFBD83FC6}"/>
    <cellStyle name="20% - Accent2 7" xfId="1445" xr:uid="{00000000-0005-0000-0000-000036010000}"/>
    <cellStyle name="20% - Accent2 7 2" xfId="3675" xr:uid="{00000000-0005-0000-0000-000037010000}"/>
    <cellStyle name="20% - Accent2 7 2 2" xfId="7897" xr:uid="{00000000-0005-0000-0000-000038010000}"/>
    <cellStyle name="20% - Accent2 7 2 2 2" xfId="33236" xr:uid="{ECA10BC3-D7DD-4DE5-8BE5-163A4476925C}"/>
    <cellStyle name="20% - Accent2 7 2 2 3" xfId="24795" xr:uid="{D1D1ADF1-DE75-4BA5-B999-19B3EC377DD7}"/>
    <cellStyle name="20% - Accent2 7 2 2 4" xfId="16347" xr:uid="{E10ADB73-EBD8-42E4-9CC1-32B1224C8B4D}"/>
    <cellStyle name="20% - Accent2 7 2 3" xfId="29018" xr:uid="{0FA7AB03-9DB9-4968-BDF5-F7BFAF1D53D4}"/>
    <cellStyle name="20% - Accent2 7 2 4" xfId="20577" xr:uid="{A82C486D-DBF6-43E4-A36C-A86A979B8ED8}"/>
    <cellStyle name="20% - Accent2 7 2 5" xfId="12129" xr:uid="{25B843D0-7472-4ECB-8ED0-09ECB8675004}"/>
    <cellStyle name="20% - Accent2 7 3" xfId="5752" xr:uid="{00000000-0005-0000-0000-000039010000}"/>
    <cellStyle name="20% - Accent2 7 3 2" xfId="31091" xr:uid="{24F9259B-BF57-49DF-B4AD-49377C74AE99}"/>
    <cellStyle name="20% - Accent2 7 3 3" xfId="22650" xr:uid="{9B92339C-6318-491F-A380-2559AC71D116}"/>
    <cellStyle name="20% - Accent2 7 3 4" xfId="14202" xr:uid="{0512A8DA-9E3F-47CB-B95A-C55B8401A49C}"/>
    <cellStyle name="20% - Accent2 7 4" xfId="26873" xr:uid="{BD9EE4C3-F1A4-48F5-98DA-6368A05EC8C0}"/>
    <cellStyle name="20% - Accent2 7 5" xfId="18432" xr:uid="{34C2B544-DB54-4853-B057-0B604182E92C}"/>
    <cellStyle name="20% - Accent2 7 6" xfId="9984" xr:uid="{841AAED3-C07A-40CF-979D-2091052FBEA6}"/>
    <cellStyle name="20% - Accent2 8" xfId="1859" xr:uid="{00000000-0005-0000-0000-00003A010000}"/>
    <cellStyle name="20% - Accent2 8 2" xfId="4088" xr:uid="{00000000-0005-0000-0000-00003B010000}"/>
    <cellStyle name="20% - Accent2 8 2 2" xfId="8310" xr:uid="{00000000-0005-0000-0000-00003C010000}"/>
    <cellStyle name="20% - Accent2 8 2 2 2" xfId="33649" xr:uid="{A0E64EB0-762C-4793-BB5D-97584702B6BA}"/>
    <cellStyle name="20% - Accent2 8 2 2 3" xfId="25208" xr:uid="{6E8D3F14-D2CD-4E12-9D3F-33796660955D}"/>
    <cellStyle name="20% - Accent2 8 2 2 4" xfId="16760" xr:uid="{21978E01-D8EA-45E6-921A-F28BDADE5A12}"/>
    <cellStyle name="20% - Accent2 8 2 3" xfId="29431" xr:uid="{3A6DE328-AD7D-4071-89A5-3066DF862989}"/>
    <cellStyle name="20% - Accent2 8 2 4" xfId="20990" xr:uid="{0A9CDF53-50EF-4DBA-9B8E-ADA47C8B1417}"/>
    <cellStyle name="20% - Accent2 8 2 5" xfId="12542" xr:uid="{CDED1B11-6175-461F-9164-D495991F4B89}"/>
    <cellStyle name="20% - Accent2 8 3" xfId="6165" xr:uid="{00000000-0005-0000-0000-00003D010000}"/>
    <cellStyle name="20% - Accent2 8 3 2" xfId="31504" xr:uid="{F7752BDC-D353-4E0E-8B4F-D46A0DDF8B9A}"/>
    <cellStyle name="20% - Accent2 8 3 3" xfId="23063" xr:uid="{15A47C99-9875-4045-A634-C361D0A77CFB}"/>
    <cellStyle name="20% - Accent2 8 3 4" xfId="14615" xr:uid="{D7E3A651-97D7-461B-99CB-1F9D368295D0}"/>
    <cellStyle name="20% - Accent2 8 4" xfId="27286" xr:uid="{1FB62E69-285B-4FF8-9A54-B255EED2CD40}"/>
    <cellStyle name="20% - Accent2 8 5" xfId="18845" xr:uid="{11064AD4-0D7C-4E64-95D8-14A701D7A871}"/>
    <cellStyle name="20% - Accent2 8 6" xfId="10397" xr:uid="{E6A1AFF2-41CD-49E5-909C-81625FF52EAC}"/>
    <cellStyle name="20% - Accent2 9" xfId="2272" xr:uid="{00000000-0005-0000-0000-00003E010000}"/>
    <cellStyle name="20% - Accent2 9 2" xfId="6578" xr:uid="{00000000-0005-0000-0000-00003F010000}"/>
    <cellStyle name="20% - Accent2 9 2 2" xfId="31917" xr:uid="{E72E1F8B-FBE2-41F9-AAE2-046A1601F18E}"/>
    <cellStyle name="20% - Accent2 9 2 3" xfId="23476" xr:uid="{D2AA3DCD-762B-4E18-97F2-478169B76BD1}"/>
    <cellStyle name="20% - Accent2 9 2 4" xfId="15028" xr:uid="{046E5A4F-26F3-42E4-B455-0C289998A9E0}"/>
    <cellStyle name="20% - Accent2 9 3" xfId="27699" xr:uid="{DA2003B8-CD82-45D1-B358-230D5C661FB8}"/>
    <cellStyle name="20% - Accent2 9 4" xfId="19258" xr:uid="{E99208E9-8807-4388-BED8-789AB9D42B07}"/>
    <cellStyle name="20% - Accent2 9 5" xfId="10810" xr:uid="{CFBDAC0A-312B-41AB-9FF4-67CAA88F274C}"/>
    <cellStyle name="20% - Accent3" xfId="17" builtinId="38" customBuiltin="1"/>
    <cellStyle name="20% - Accent3 10" xfId="4520" xr:uid="{00000000-0005-0000-0000-000041010000}"/>
    <cellStyle name="20% - Accent3 10 2" xfId="29859" xr:uid="{FE355382-9321-4BD0-BC5A-D3DBACA4FD9A}"/>
    <cellStyle name="20% - Accent3 10 3" xfId="21418" xr:uid="{D56597AE-74CD-483E-B295-D0EA54D0C354}"/>
    <cellStyle name="20% - Accent3 10 4" xfId="12970" xr:uid="{3763F82E-A1A8-4D3C-BD89-4032ABD769BC}"/>
    <cellStyle name="20% - Accent3 11" xfId="25641" xr:uid="{47E3EC0A-1861-41AF-9FD1-5B7D937E2E2B}"/>
    <cellStyle name="20% - Accent3 12" xfId="17200" xr:uid="{B6A86787-1470-4531-AFAF-25108EB045A1}"/>
    <cellStyle name="20% - Accent3 13" xfId="8752" xr:uid="{D56B1BD2-5CDC-4D4E-826B-BB694674E0E8}"/>
    <cellStyle name="20% - Accent3 2" xfId="18" xr:uid="{00000000-0005-0000-0000-000042010000}"/>
    <cellStyle name="20% - Accent3 2 10" xfId="25642" xr:uid="{2EC139C4-4590-47A7-B10F-A5528AD577AF}"/>
    <cellStyle name="20% - Accent3 2 11" xfId="17201" xr:uid="{5D58F830-2F39-41AA-891A-88B31114A221}"/>
    <cellStyle name="20% - Accent3 2 12" xfId="8753" xr:uid="{3BD83AC1-2FBB-4CAE-B9B1-130644DEDD9C}"/>
    <cellStyle name="20% - Accent3 2 2" xfId="19" xr:uid="{00000000-0005-0000-0000-000043010000}"/>
    <cellStyle name="20% - Accent3 2 2 10" xfId="17202" xr:uid="{80CDC3E4-10B9-46DB-8C05-D820E58677F6}"/>
    <cellStyle name="20% - Accent3 2 2 11" xfId="8754" xr:uid="{69B2AF91-446D-4041-8D25-5C213E05B062}"/>
    <cellStyle name="20% - Accent3 2 2 2" xfId="20" xr:uid="{00000000-0005-0000-0000-000044010000}"/>
    <cellStyle name="20% - Accent3 2 2 2 10" xfId="8755" xr:uid="{C34277C0-25FF-4E3A-8DA1-2C7CB5CB8AF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32421" xr:uid="{769C7D74-5A82-4E7B-A4CD-103D8F1B0A9A}"/>
    <cellStyle name="20% - Accent3 2 2 2 2 2 2 3" xfId="23980" xr:uid="{009C4B56-24EC-4945-8ECC-250518224EB2}"/>
    <cellStyle name="20% - Accent3 2 2 2 2 2 2 4" xfId="15532" xr:uid="{5A1BBCAA-0243-40CA-AD3D-2E9A76163612}"/>
    <cellStyle name="20% - Accent3 2 2 2 2 2 3" xfId="28203" xr:uid="{2D07ECDC-0CA8-4FC1-89D9-204E3068BEDF}"/>
    <cellStyle name="20% - Accent3 2 2 2 2 2 4" xfId="19762" xr:uid="{950153AE-FFFB-4934-881B-C2136F03891F}"/>
    <cellStyle name="20% - Accent3 2 2 2 2 2 5" xfId="11314" xr:uid="{60C1E07A-1453-4615-9A87-1E3DFECF28DA}"/>
    <cellStyle name="20% - Accent3 2 2 2 2 3" xfId="4937" xr:uid="{00000000-0005-0000-0000-000048010000}"/>
    <cellStyle name="20% - Accent3 2 2 2 2 3 2" xfId="30276" xr:uid="{E52941C9-5436-49BB-AE45-3B7E13082B7D}"/>
    <cellStyle name="20% - Accent3 2 2 2 2 3 3" xfId="21835" xr:uid="{E9F3226E-CD37-45F9-9720-1B458B0AC6EE}"/>
    <cellStyle name="20% - Accent3 2 2 2 2 3 4" xfId="13387" xr:uid="{5380EC3F-8471-40AC-851B-A5D1AA4B37C7}"/>
    <cellStyle name="20% - Accent3 2 2 2 2 4" xfId="26058" xr:uid="{960AFE7E-E8E6-47E8-83EF-0FE0947D462B}"/>
    <cellStyle name="20% - Accent3 2 2 2 2 5" xfId="17617" xr:uid="{C397A363-2068-41BE-9E7A-A5B2A32766F5}"/>
    <cellStyle name="20% - Accent3 2 2 2 2 6" xfId="9169" xr:uid="{ACB439FE-2BB5-4E77-B75B-0145DAAC6262}"/>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32834" xr:uid="{507D4296-CD77-40A7-85F8-853A46F67BEC}"/>
    <cellStyle name="20% - Accent3 2 2 2 3 2 2 3" xfId="24393" xr:uid="{7889185C-40A5-4CF2-8EB3-58D90102FA5E}"/>
    <cellStyle name="20% - Accent3 2 2 2 3 2 2 4" xfId="15945" xr:uid="{3BBB3A5F-24BF-4603-AEFE-5F5FE25B35D1}"/>
    <cellStyle name="20% - Accent3 2 2 2 3 2 3" xfId="28616" xr:uid="{AC5EC679-0CFE-487B-A032-8A78FAB35068}"/>
    <cellStyle name="20% - Accent3 2 2 2 3 2 4" xfId="20175" xr:uid="{8B2AA09F-392F-475A-9DFF-22E46BCA762C}"/>
    <cellStyle name="20% - Accent3 2 2 2 3 2 5" xfId="11727" xr:uid="{116F73A8-B2A7-42F6-8FB8-DD3FFAA16A90}"/>
    <cellStyle name="20% - Accent3 2 2 2 3 3" xfId="5350" xr:uid="{00000000-0005-0000-0000-00004C010000}"/>
    <cellStyle name="20% - Accent3 2 2 2 3 3 2" xfId="30689" xr:uid="{D52F0D85-2E74-49B1-AED1-AFF81D714A5A}"/>
    <cellStyle name="20% - Accent3 2 2 2 3 3 3" xfId="22248" xr:uid="{DB5F93D8-B7F1-4EFC-9E42-DD129EEDFB2D}"/>
    <cellStyle name="20% - Accent3 2 2 2 3 3 4" xfId="13800" xr:uid="{9603BA94-B281-4EB8-8543-8A4E82188B7E}"/>
    <cellStyle name="20% - Accent3 2 2 2 3 4" xfId="26471" xr:uid="{428700FB-26E0-4A95-A694-21406D3CE1B3}"/>
    <cellStyle name="20% - Accent3 2 2 2 3 5" xfId="18030" xr:uid="{75BF89C9-BBFE-4F35-8CCB-0F192EC55EC7}"/>
    <cellStyle name="20% - Accent3 2 2 2 3 6" xfId="9582" xr:uid="{9C581B95-314B-41BA-930F-DCE0BDEA175D}"/>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33247" xr:uid="{95FC09A9-25E3-498A-8289-5ECFBA89580E}"/>
    <cellStyle name="20% - Accent3 2 2 2 4 2 2 3" xfId="24806" xr:uid="{EF9495AF-44F5-4E38-90D8-CB0068DBA829}"/>
    <cellStyle name="20% - Accent3 2 2 2 4 2 2 4" xfId="16358" xr:uid="{9A1FCFE7-F992-4D32-9037-A7D6BE2A8648}"/>
    <cellStyle name="20% - Accent3 2 2 2 4 2 3" xfId="29029" xr:uid="{FE5FEAC4-2133-4298-8E5C-16C2199274D3}"/>
    <cellStyle name="20% - Accent3 2 2 2 4 2 4" xfId="20588" xr:uid="{7FD4BA4C-769C-4176-B399-095B6D2A9359}"/>
    <cellStyle name="20% - Accent3 2 2 2 4 2 5" xfId="12140" xr:uid="{9D9654D9-AF6E-441C-A61E-A5D00EA06082}"/>
    <cellStyle name="20% - Accent3 2 2 2 4 3" xfId="5763" xr:uid="{00000000-0005-0000-0000-000050010000}"/>
    <cellStyle name="20% - Accent3 2 2 2 4 3 2" xfId="31102" xr:uid="{F9760890-179A-4229-BB9C-F3D5F6336B96}"/>
    <cellStyle name="20% - Accent3 2 2 2 4 3 3" xfId="22661" xr:uid="{D5BB8612-9970-4A96-857C-4559A27C0866}"/>
    <cellStyle name="20% - Accent3 2 2 2 4 3 4" xfId="14213" xr:uid="{B840FCA3-83AF-48DC-82FB-623BBAB447CD}"/>
    <cellStyle name="20% - Accent3 2 2 2 4 4" xfId="26884" xr:uid="{C35D54AA-353F-43EC-B14A-84A98BE77A2C}"/>
    <cellStyle name="20% - Accent3 2 2 2 4 5" xfId="18443" xr:uid="{00ED4366-0D44-4404-85EE-CE73544FF942}"/>
    <cellStyle name="20% - Accent3 2 2 2 4 6" xfId="9995" xr:uid="{224B1779-8C74-474E-8611-85EC83BF2A7A}"/>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33660" xr:uid="{D1E2442B-039B-43A5-8A64-6CF2CC2AE59B}"/>
    <cellStyle name="20% - Accent3 2 2 2 5 2 2 3" xfId="25219" xr:uid="{00F88606-7CAC-455B-A2D8-3A6CBFB5E8E3}"/>
    <cellStyle name="20% - Accent3 2 2 2 5 2 2 4" xfId="16771" xr:uid="{D0267393-40A9-4A40-A4E3-B8202345ACE0}"/>
    <cellStyle name="20% - Accent3 2 2 2 5 2 3" xfId="29442" xr:uid="{2CB00743-8E79-4904-B622-1D4A95AF3D34}"/>
    <cellStyle name="20% - Accent3 2 2 2 5 2 4" xfId="21001" xr:uid="{E0D357A1-8EAE-4729-8F34-B8F5BC3B7E6A}"/>
    <cellStyle name="20% - Accent3 2 2 2 5 2 5" xfId="12553" xr:uid="{1D414F86-F8C6-4605-B67A-DF4D99638677}"/>
    <cellStyle name="20% - Accent3 2 2 2 5 3" xfId="6176" xr:uid="{00000000-0005-0000-0000-000054010000}"/>
    <cellStyle name="20% - Accent3 2 2 2 5 3 2" xfId="31515" xr:uid="{08F2D932-3CA5-4AC3-BC12-83E6194A3F5E}"/>
    <cellStyle name="20% - Accent3 2 2 2 5 3 3" xfId="23074" xr:uid="{D8DD667C-4D7F-42D3-BCE8-98092D511848}"/>
    <cellStyle name="20% - Accent3 2 2 2 5 3 4" xfId="14626" xr:uid="{F201AF87-5666-4022-9FE5-2DFAF74F0651}"/>
    <cellStyle name="20% - Accent3 2 2 2 5 4" xfId="27297" xr:uid="{8D3C4077-FE91-49B5-9C67-B91C81D4ECDF}"/>
    <cellStyle name="20% - Accent3 2 2 2 5 5" xfId="18856" xr:uid="{6E5E9ABD-19DF-440A-B278-2911CD489AAE}"/>
    <cellStyle name="20% - Accent3 2 2 2 5 6" xfId="10408" xr:uid="{845F4BF9-C297-4907-83FD-4815C786D68E}"/>
    <cellStyle name="20% - Accent3 2 2 2 6" xfId="2283" xr:uid="{00000000-0005-0000-0000-000055010000}"/>
    <cellStyle name="20% - Accent3 2 2 2 6 2" xfId="6589" xr:uid="{00000000-0005-0000-0000-000056010000}"/>
    <cellStyle name="20% - Accent3 2 2 2 6 2 2" xfId="31928" xr:uid="{2BD1FA17-D00B-4584-9BC1-656DBB178C2E}"/>
    <cellStyle name="20% - Accent3 2 2 2 6 2 3" xfId="23487" xr:uid="{6E9719FD-59C1-4D1D-A3BC-C8034CE18736}"/>
    <cellStyle name="20% - Accent3 2 2 2 6 2 4" xfId="15039" xr:uid="{046DB3A9-48E4-4050-94DF-746045AFA4F3}"/>
    <cellStyle name="20% - Accent3 2 2 2 6 3" xfId="27710" xr:uid="{ACA77469-87C2-47DE-8B96-1CB20F1D1101}"/>
    <cellStyle name="20% - Accent3 2 2 2 6 4" xfId="19269" xr:uid="{E5BC1A39-8089-4083-B1EF-4A7CDB7E4285}"/>
    <cellStyle name="20% - Accent3 2 2 2 6 5" xfId="10821" xr:uid="{3CC03FE0-7B28-44B5-B499-25036728092F}"/>
    <cellStyle name="20% - Accent3 2 2 2 7" xfId="4523" xr:uid="{00000000-0005-0000-0000-000057010000}"/>
    <cellStyle name="20% - Accent3 2 2 2 7 2" xfId="29862" xr:uid="{F527F8EF-C636-49A9-B9B5-B2B69577DF09}"/>
    <cellStyle name="20% - Accent3 2 2 2 7 3" xfId="21421" xr:uid="{001A14A7-2FF0-453C-A5C8-644A1ED16376}"/>
    <cellStyle name="20% - Accent3 2 2 2 7 4" xfId="12973" xr:uid="{7172AE5F-40F2-4B30-BEAD-5B516DEA6EA9}"/>
    <cellStyle name="20% - Accent3 2 2 2 8" xfId="25644" xr:uid="{DFE9B09B-14D3-47CE-B06C-36AFA0A9526E}"/>
    <cellStyle name="20% - Accent3 2 2 2 9" xfId="17203" xr:uid="{0FFD9414-A623-4B1D-A3D0-8243042B832A}"/>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32420" xr:uid="{D4DE08BD-C17A-4DED-8D0E-FD1909913AA0}"/>
    <cellStyle name="20% - Accent3 2 2 3 2 2 3" xfId="23979" xr:uid="{83EFE50C-230C-49DE-A4AF-BA8148103AE9}"/>
    <cellStyle name="20% - Accent3 2 2 3 2 2 4" xfId="15531" xr:uid="{27426EDD-7F11-4E37-BF1A-30EB40A5C9A6}"/>
    <cellStyle name="20% - Accent3 2 2 3 2 3" xfId="28202" xr:uid="{B3DB98AB-4F88-4453-926A-F7ED8863202A}"/>
    <cellStyle name="20% - Accent3 2 2 3 2 4" xfId="19761" xr:uid="{64308548-F894-4EA0-A29E-6830FA025872}"/>
    <cellStyle name="20% - Accent3 2 2 3 2 5" xfId="11313" xr:uid="{06EFCC8D-7300-4150-B47F-870A40A1EAC1}"/>
    <cellStyle name="20% - Accent3 2 2 3 3" xfId="4936" xr:uid="{00000000-0005-0000-0000-00005B010000}"/>
    <cellStyle name="20% - Accent3 2 2 3 3 2" xfId="30275" xr:uid="{76A6E501-28AC-4229-96D8-2FEB5BB63964}"/>
    <cellStyle name="20% - Accent3 2 2 3 3 3" xfId="21834" xr:uid="{2961DA79-254D-4D95-8631-38B75D0E1AB0}"/>
    <cellStyle name="20% - Accent3 2 2 3 3 4" xfId="13386" xr:uid="{6A709664-2175-4DD2-9A29-A140F659D6FF}"/>
    <cellStyle name="20% - Accent3 2 2 3 4" xfId="26057" xr:uid="{B785BCE6-9DFC-454F-9637-856B0F5DA991}"/>
    <cellStyle name="20% - Accent3 2 2 3 5" xfId="17616" xr:uid="{8A68AD25-6FFF-492D-86E0-858638A2D36C}"/>
    <cellStyle name="20% - Accent3 2 2 3 6" xfId="9168" xr:uid="{F644A7C8-DA61-443A-904B-16ECA64D43A4}"/>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32833" xr:uid="{C9D79056-2EF5-4CFA-8A6A-6445862D850C}"/>
    <cellStyle name="20% - Accent3 2 2 4 2 2 3" xfId="24392" xr:uid="{99AD81CD-0A58-4B82-928B-5067322CB85F}"/>
    <cellStyle name="20% - Accent3 2 2 4 2 2 4" xfId="15944" xr:uid="{5ED56026-C2ED-4964-83AB-BECBE60F630B}"/>
    <cellStyle name="20% - Accent3 2 2 4 2 3" xfId="28615" xr:uid="{6BEF32DD-52B4-400C-9F79-795CDCCCCA65}"/>
    <cellStyle name="20% - Accent3 2 2 4 2 4" xfId="20174" xr:uid="{9759CF75-6285-46C2-9C2D-7AE86495E643}"/>
    <cellStyle name="20% - Accent3 2 2 4 2 5" xfId="11726" xr:uid="{BD130BA6-883E-4080-85FB-D15F3A3E62C5}"/>
    <cellStyle name="20% - Accent3 2 2 4 3" xfId="5349" xr:uid="{00000000-0005-0000-0000-00005F010000}"/>
    <cellStyle name="20% - Accent3 2 2 4 3 2" xfId="30688" xr:uid="{2E978F47-0EFC-4CC0-9059-79BB191CC81E}"/>
    <cellStyle name="20% - Accent3 2 2 4 3 3" xfId="22247" xr:uid="{4F6E938E-FAAE-4419-8D18-D1084B648284}"/>
    <cellStyle name="20% - Accent3 2 2 4 3 4" xfId="13799" xr:uid="{03E79F6F-FDE4-493C-9D19-30A6B39065A0}"/>
    <cellStyle name="20% - Accent3 2 2 4 4" xfId="26470" xr:uid="{632CB921-246E-4B56-8570-114CD1445E97}"/>
    <cellStyle name="20% - Accent3 2 2 4 5" xfId="18029" xr:uid="{CCB49B96-7103-45D2-AEF5-93EE223B5C6E}"/>
    <cellStyle name="20% - Accent3 2 2 4 6" xfId="9581" xr:uid="{D90ADA90-F9E4-4650-AD0F-AFFA9D709CE5}"/>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33246" xr:uid="{2EB6E16F-E30C-4542-8422-5A76BDFFDAF5}"/>
    <cellStyle name="20% - Accent3 2 2 5 2 2 3" xfId="24805" xr:uid="{7A2C2012-5337-497F-896D-3D428D9F1C87}"/>
    <cellStyle name="20% - Accent3 2 2 5 2 2 4" xfId="16357" xr:uid="{4CF8CB48-B64A-4D2E-A1A2-FA9986913D71}"/>
    <cellStyle name="20% - Accent3 2 2 5 2 3" xfId="29028" xr:uid="{1A6BDD28-08AF-4E91-865C-113BE3B0CA73}"/>
    <cellStyle name="20% - Accent3 2 2 5 2 4" xfId="20587" xr:uid="{D45C24C8-886A-47AD-8DA2-4CC9599B9A28}"/>
    <cellStyle name="20% - Accent3 2 2 5 2 5" xfId="12139" xr:uid="{262CF63E-A62E-423F-9446-1604251A05EC}"/>
    <cellStyle name="20% - Accent3 2 2 5 3" xfId="5762" xr:uid="{00000000-0005-0000-0000-000063010000}"/>
    <cellStyle name="20% - Accent3 2 2 5 3 2" xfId="31101" xr:uid="{F6AEDD45-B5CC-4BC1-B483-F8266E69BEAA}"/>
    <cellStyle name="20% - Accent3 2 2 5 3 3" xfId="22660" xr:uid="{8559915A-3DE9-42AE-8E36-892AE5BEB537}"/>
    <cellStyle name="20% - Accent3 2 2 5 3 4" xfId="14212" xr:uid="{27485FC0-E2D1-4226-8FF2-73FF7BF24ACC}"/>
    <cellStyle name="20% - Accent3 2 2 5 4" xfId="26883" xr:uid="{CE197F21-BBA3-45EE-8C0F-EEA672C0C057}"/>
    <cellStyle name="20% - Accent3 2 2 5 5" xfId="18442" xr:uid="{CD6D0FFB-7ACE-4A33-A750-7E4951C25975}"/>
    <cellStyle name="20% - Accent3 2 2 5 6" xfId="9994" xr:uid="{7E77D32D-920F-4320-816F-57C70E5BC649}"/>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33659" xr:uid="{18AD0CB4-ABA1-4165-BC1A-5DF43E57D58B}"/>
    <cellStyle name="20% - Accent3 2 2 6 2 2 3" xfId="25218" xr:uid="{C5361C8C-BCDE-44E5-AA6D-7DFD7722B4B1}"/>
    <cellStyle name="20% - Accent3 2 2 6 2 2 4" xfId="16770" xr:uid="{A9383789-5792-466B-AF05-6B4836455880}"/>
    <cellStyle name="20% - Accent3 2 2 6 2 3" xfId="29441" xr:uid="{A3A8E992-2E46-4E89-B9B4-8841655BC4EF}"/>
    <cellStyle name="20% - Accent3 2 2 6 2 4" xfId="21000" xr:uid="{BF97F8FC-A7F5-4B24-935C-02F87F605CD7}"/>
    <cellStyle name="20% - Accent3 2 2 6 2 5" xfId="12552" xr:uid="{72752E17-96F3-4337-AB43-1D81D8A59F5B}"/>
    <cellStyle name="20% - Accent3 2 2 6 3" xfId="6175" xr:uid="{00000000-0005-0000-0000-000067010000}"/>
    <cellStyle name="20% - Accent3 2 2 6 3 2" xfId="31514" xr:uid="{0C6C84CF-C6D5-4509-885A-B01DA3135EDD}"/>
    <cellStyle name="20% - Accent3 2 2 6 3 3" xfId="23073" xr:uid="{7CCCDAC1-DBF4-46BA-B006-D5162DAB00EC}"/>
    <cellStyle name="20% - Accent3 2 2 6 3 4" xfId="14625" xr:uid="{2690671D-A952-44E6-8BDE-CB3D9351F517}"/>
    <cellStyle name="20% - Accent3 2 2 6 4" xfId="27296" xr:uid="{F3D8D78D-7606-4CE8-A55F-C1EBADD0FBA9}"/>
    <cellStyle name="20% - Accent3 2 2 6 5" xfId="18855" xr:uid="{2581B195-C023-4F48-994D-6CE5A7637FFE}"/>
    <cellStyle name="20% - Accent3 2 2 6 6" xfId="10407" xr:uid="{4A9AD4CA-CCF2-4505-B71A-E10193351CFE}"/>
    <cellStyle name="20% - Accent3 2 2 7" xfId="2282" xr:uid="{00000000-0005-0000-0000-000068010000}"/>
    <cellStyle name="20% - Accent3 2 2 7 2" xfId="6588" xr:uid="{00000000-0005-0000-0000-000069010000}"/>
    <cellStyle name="20% - Accent3 2 2 7 2 2" xfId="31927" xr:uid="{AD9B2472-DC4D-4D8C-A550-DD1DB0188BCD}"/>
    <cellStyle name="20% - Accent3 2 2 7 2 3" xfId="23486" xr:uid="{8B7ED822-CF43-4A61-BECD-0B64E8A27D65}"/>
    <cellStyle name="20% - Accent3 2 2 7 2 4" xfId="15038" xr:uid="{CEC1607E-F332-4AF8-939E-244D0656AE8E}"/>
    <cellStyle name="20% - Accent3 2 2 7 3" xfId="27709" xr:uid="{06517FF1-DAF4-4D16-864A-D736D69EE4A9}"/>
    <cellStyle name="20% - Accent3 2 2 7 4" xfId="19268" xr:uid="{516216F1-E2C7-486B-902A-D3E66053EA5B}"/>
    <cellStyle name="20% - Accent3 2 2 7 5" xfId="10820" xr:uid="{3140EC5D-10C9-4AB6-A6FB-9C0D99BB4C9F}"/>
    <cellStyle name="20% - Accent3 2 2 8" xfId="4522" xr:uid="{00000000-0005-0000-0000-00006A010000}"/>
    <cellStyle name="20% - Accent3 2 2 8 2" xfId="29861" xr:uid="{7E9F4F20-BDA8-49DA-AA65-9D132F0F0C93}"/>
    <cellStyle name="20% - Accent3 2 2 8 3" xfId="21420" xr:uid="{E4D2DFA7-4D83-486E-AD06-D6F36ED0AB4A}"/>
    <cellStyle name="20% - Accent3 2 2 8 4" xfId="12972" xr:uid="{98B9ACFD-60C9-468E-BBA4-171C48FF7ECD}"/>
    <cellStyle name="20% - Accent3 2 2 9" xfId="25643" xr:uid="{DC0C963F-C527-4681-B991-F1E39588EFE1}"/>
    <cellStyle name="20% - Accent3 2 3" xfId="21" xr:uid="{00000000-0005-0000-0000-00006B010000}"/>
    <cellStyle name="20% - Accent3 2 3 10" xfId="8756" xr:uid="{C22D62EB-60F4-46C2-888A-EAF650AFBADC}"/>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32422" xr:uid="{9816DF46-65A8-42BB-B26A-5CFD3408C3F7}"/>
    <cellStyle name="20% - Accent3 2 3 2 2 2 3" xfId="23981" xr:uid="{78C9D441-0DF4-4809-A48C-ADFACAE68998}"/>
    <cellStyle name="20% - Accent3 2 3 2 2 2 4" xfId="15533" xr:uid="{B68B79A7-7650-44E5-A89B-629B23BC53DB}"/>
    <cellStyle name="20% - Accent3 2 3 2 2 3" xfId="28204" xr:uid="{EEBEA1C7-FFF9-4839-B3E5-F5D6691EDB29}"/>
    <cellStyle name="20% - Accent3 2 3 2 2 4" xfId="19763" xr:uid="{3EFE2B9C-AA60-43FC-8D51-2D148EED823E}"/>
    <cellStyle name="20% - Accent3 2 3 2 2 5" xfId="11315" xr:uid="{57887202-668F-449E-BBA3-393D89B6D99A}"/>
    <cellStyle name="20% - Accent3 2 3 2 3" xfId="4938" xr:uid="{00000000-0005-0000-0000-00006F010000}"/>
    <cellStyle name="20% - Accent3 2 3 2 3 2" xfId="30277" xr:uid="{575E4AD9-9CD1-443A-A1EB-1E331FDDD5A2}"/>
    <cellStyle name="20% - Accent3 2 3 2 3 3" xfId="21836" xr:uid="{CEEA3CB3-358B-4A45-AAF6-07A883249B84}"/>
    <cellStyle name="20% - Accent3 2 3 2 3 4" xfId="13388" xr:uid="{5D509CB5-CD59-408E-9F09-1E808CC9F7F3}"/>
    <cellStyle name="20% - Accent3 2 3 2 4" xfId="26059" xr:uid="{192EE6C9-7572-485D-8241-C8B64A15FBA0}"/>
    <cellStyle name="20% - Accent3 2 3 2 5" xfId="17618" xr:uid="{7C3D4E8A-D5E9-453D-BC56-5AD4A9BBFE7B}"/>
    <cellStyle name="20% - Accent3 2 3 2 6" xfId="9170" xr:uid="{EBC2EDB4-C064-45EE-9899-0C86D382574C}"/>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32835" xr:uid="{8E3BE362-DEA6-42D0-8653-621AFFF5A424}"/>
    <cellStyle name="20% - Accent3 2 3 3 2 2 3" xfId="24394" xr:uid="{FCBCA4AF-4301-4F4B-8040-B7C51EC1BBEB}"/>
    <cellStyle name="20% - Accent3 2 3 3 2 2 4" xfId="15946" xr:uid="{169DBADC-90D7-43D5-8092-B9BD552F8350}"/>
    <cellStyle name="20% - Accent3 2 3 3 2 3" xfId="28617" xr:uid="{C91AFA88-729F-41D2-9004-F6DDFBD78849}"/>
    <cellStyle name="20% - Accent3 2 3 3 2 4" xfId="20176" xr:uid="{779C0AB1-32B6-4415-A7D2-F45D2D40B986}"/>
    <cellStyle name="20% - Accent3 2 3 3 2 5" xfId="11728" xr:uid="{22AF044A-7EF2-411A-BDC5-3342ADA78DF8}"/>
    <cellStyle name="20% - Accent3 2 3 3 3" xfId="5351" xr:uid="{00000000-0005-0000-0000-000073010000}"/>
    <cellStyle name="20% - Accent3 2 3 3 3 2" xfId="30690" xr:uid="{C6395C55-A925-49B6-ADA8-9940D77E2D82}"/>
    <cellStyle name="20% - Accent3 2 3 3 3 3" xfId="22249" xr:uid="{E0DA84C6-321F-41B0-95DF-5A698C313A03}"/>
    <cellStyle name="20% - Accent3 2 3 3 3 4" xfId="13801" xr:uid="{38A1274B-0DF9-459D-9342-5934EAED6557}"/>
    <cellStyle name="20% - Accent3 2 3 3 4" xfId="26472" xr:uid="{E2444999-2A16-4CBF-897F-E4A198531647}"/>
    <cellStyle name="20% - Accent3 2 3 3 5" xfId="18031" xr:uid="{412A69F9-C091-4B64-B4C6-AB20FBC8D987}"/>
    <cellStyle name="20% - Accent3 2 3 3 6" xfId="9583" xr:uid="{7A0F5058-495C-499D-9882-980A412A86F3}"/>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33248" xr:uid="{5A0DC45A-769A-413A-9E93-ABDB836FE22B}"/>
    <cellStyle name="20% - Accent3 2 3 4 2 2 3" xfId="24807" xr:uid="{360BD125-C3A9-4EB5-8EBA-098875E59C1F}"/>
    <cellStyle name="20% - Accent3 2 3 4 2 2 4" xfId="16359" xr:uid="{0385E7BE-E465-4354-BFD8-6E30DFE7AE47}"/>
    <cellStyle name="20% - Accent3 2 3 4 2 3" xfId="29030" xr:uid="{2AFA076C-3526-4175-AA4D-C1C7E09E5FA5}"/>
    <cellStyle name="20% - Accent3 2 3 4 2 4" xfId="20589" xr:uid="{F532882B-E509-40E9-8B62-3F30C6B41865}"/>
    <cellStyle name="20% - Accent3 2 3 4 2 5" xfId="12141" xr:uid="{6C77007D-B9DE-4100-9440-D05EE17AB062}"/>
    <cellStyle name="20% - Accent3 2 3 4 3" xfId="5764" xr:uid="{00000000-0005-0000-0000-000077010000}"/>
    <cellStyle name="20% - Accent3 2 3 4 3 2" xfId="31103" xr:uid="{F01EBDED-6B97-4BCA-9873-053AC5F210BE}"/>
    <cellStyle name="20% - Accent3 2 3 4 3 3" xfId="22662" xr:uid="{E26D3C65-F4C4-4012-A1DF-C51DB83EAF11}"/>
    <cellStyle name="20% - Accent3 2 3 4 3 4" xfId="14214" xr:uid="{BF1407C5-742A-4887-BD5B-CD005A30EBCA}"/>
    <cellStyle name="20% - Accent3 2 3 4 4" xfId="26885" xr:uid="{DBDD2B9B-C925-42E7-A07D-4AC4B454FC07}"/>
    <cellStyle name="20% - Accent3 2 3 4 5" xfId="18444" xr:uid="{AF66C0B7-CEBF-47AF-A18C-1834C0821F6B}"/>
    <cellStyle name="20% - Accent3 2 3 4 6" xfId="9996" xr:uid="{A39A7E4C-9A79-4B6B-B893-910F8E2EFFF3}"/>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33661" xr:uid="{17F90C0F-FE49-4656-BE69-D47AA21D8526}"/>
    <cellStyle name="20% - Accent3 2 3 5 2 2 3" xfId="25220" xr:uid="{B766AAEB-4E7C-4F03-8167-BB3DE74F66EB}"/>
    <cellStyle name="20% - Accent3 2 3 5 2 2 4" xfId="16772" xr:uid="{C1F84B87-D7BD-4117-B144-E2C57FA3F266}"/>
    <cellStyle name="20% - Accent3 2 3 5 2 3" xfId="29443" xr:uid="{0B90FC79-1644-488D-8710-6E1CADD6F538}"/>
    <cellStyle name="20% - Accent3 2 3 5 2 4" xfId="21002" xr:uid="{0341C792-B4C5-45C4-ADB0-C2ACBA390E47}"/>
    <cellStyle name="20% - Accent3 2 3 5 2 5" xfId="12554" xr:uid="{14B0A022-6F89-415D-8D15-94675F732776}"/>
    <cellStyle name="20% - Accent3 2 3 5 3" xfId="6177" xr:uid="{00000000-0005-0000-0000-00007B010000}"/>
    <cellStyle name="20% - Accent3 2 3 5 3 2" xfId="31516" xr:uid="{9BC68458-850C-453C-B0A2-A4CE93B645CC}"/>
    <cellStyle name="20% - Accent3 2 3 5 3 3" xfId="23075" xr:uid="{F3C75B4B-7E1F-4904-AF4F-EC67043E78F8}"/>
    <cellStyle name="20% - Accent3 2 3 5 3 4" xfId="14627" xr:uid="{7F3E34F3-1846-42D5-8A00-19DDD42560BD}"/>
    <cellStyle name="20% - Accent3 2 3 5 4" xfId="27298" xr:uid="{5EA0E2E2-D938-45C6-90C5-2F0315EA0E5D}"/>
    <cellStyle name="20% - Accent3 2 3 5 5" xfId="18857" xr:uid="{CA6B6081-BF1F-4B4C-B046-D63B2B841C46}"/>
    <cellStyle name="20% - Accent3 2 3 5 6" xfId="10409" xr:uid="{46615A88-FDC0-4E8A-A434-C655CEC40E95}"/>
    <cellStyle name="20% - Accent3 2 3 6" xfId="2284" xr:uid="{00000000-0005-0000-0000-00007C010000}"/>
    <cellStyle name="20% - Accent3 2 3 6 2" xfId="6590" xr:uid="{00000000-0005-0000-0000-00007D010000}"/>
    <cellStyle name="20% - Accent3 2 3 6 2 2" xfId="31929" xr:uid="{526D5823-9F06-4C78-9A0D-154688289AED}"/>
    <cellStyle name="20% - Accent3 2 3 6 2 3" xfId="23488" xr:uid="{514C7BE7-EE38-4837-A1A8-9786ACDE5F12}"/>
    <cellStyle name="20% - Accent3 2 3 6 2 4" xfId="15040" xr:uid="{00AF67E4-97B9-4911-ACDC-FA6908A9E74A}"/>
    <cellStyle name="20% - Accent3 2 3 6 3" xfId="27711" xr:uid="{77319B97-0E37-4063-A761-A89B7FA1A40D}"/>
    <cellStyle name="20% - Accent3 2 3 6 4" xfId="19270" xr:uid="{B8E2D610-DEA6-44EF-88A8-B0BD7924EE75}"/>
    <cellStyle name="20% - Accent3 2 3 6 5" xfId="10822" xr:uid="{79AF6456-DEB8-4A39-BB57-3907109AAD6C}"/>
    <cellStyle name="20% - Accent3 2 3 7" xfId="4524" xr:uid="{00000000-0005-0000-0000-00007E010000}"/>
    <cellStyle name="20% - Accent3 2 3 7 2" xfId="29863" xr:uid="{2647D1CE-4860-4DAA-AB68-DE5B512E4CFC}"/>
    <cellStyle name="20% - Accent3 2 3 7 3" xfId="21422" xr:uid="{F039CF31-378D-438B-B0D9-1A9AFBE5F5D7}"/>
    <cellStyle name="20% - Accent3 2 3 7 4" xfId="12974" xr:uid="{CEF23C75-B527-4121-94D4-6EBD292D9408}"/>
    <cellStyle name="20% - Accent3 2 3 8" xfId="25645" xr:uid="{48469AED-A7E0-40C0-9B48-C0A2237C39C1}"/>
    <cellStyle name="20% - Accent3 2 3 9" xfId="17204" xr:uid="{47B31D5D-66E8-4C26-B0E8-06E981C9A3F0}"/>
    <cellStyle name="20% - Accent3 2 4" xfId="587" xr:uid="{00000000-0005-0000-0000-00007F010000}"/>
    <cellStyle name="20% - Accent3 2 4 2" xfId="2858" xr:uid="{00000000-0005-0000-0000-000080010000}"/>
    <cellStyle name="20% - Accent3 2 4 2 2" xfId="7080" xr:uid="{00000000-0005-0000-0000-000081010000}"/>
    <cellStyle name="20% - Accent3 2 4 2 2 2" xfId="32419" xr:uid="{7DBA7361-C181-45E7-AB7D-DA21E7C65B3A}"/>
    <cellStyle name="20% - Accent3 2 4 2 2 3" xfId="23978" xr:uid="{42E18C99-3B99-410F-93F5-C16565CB5B46}"/>
    <cellStyle name="20% - Accent3 2 4 2 2 4" xfId="15530" xr:uid="{03DE905D-8698-4470-A350-1E53D2427E95}"/>
    <cellStyle name="20% - Accent3 2 4 2 3" xfId="28201" xr:uid="{B06BA74F-4A96-4740-8B55-8D3573700B98}"/>
    <cellStyle name="20% - Accent3 2 4 2 4" xfId="19760" xr:uid="{8342E015-7A06-4C92-BD30-16EC17FAD760}"/>
    <cellStyle name="20% - Accent3 2 4 2 5" xfId="11312" xr:uid="{530B5B35-6B67-4AC7-99E9-541A2721879B}"/>
    <cellStyle name="20% - Accent3 2 4 3" xfId="4935" xr:uid="{00000000-0005-0000-0000-000082010000}"/>
    <cellStyle name="20% - Accent3 2 4 3 2" xfId="30274" xr:uid="{F27A1780-29F4-443F-978C-E45D45E7C54B}"/>
    <cellStyle name="20% - Accent3 2 4 3 3" xfId="21833" xr:uid="{707CFCC9-34B9-4AF4-8E24-C37BCF63FDE1}"/>
    <cellStyle name="20% - Accent3 2 4 3 4" xfId="13385" xr:uid="{71F573D8-674B-41F6-8312-9FAAC405DC3A}"/>
    <cellStyle name="20% - Accent3 2 4 4" xfId="26056" xr:uid="{FC4B36FB-3CEA-4C55-9A3B-15345E21BC08}"/>
    <cellStyle name="20% - Accent3 2 4 5" xfId="17615" xr:uid="{DCF95E75-2B94-422B-BA24-9B712E7E87D6}"/>
    <cellStyle name="20% - Accent3 2 4 6" xfId="9167" xr:uid="{363DB043-6A33-4408-9687-75BCD6D0169E}"/>
    <cellStyle name="20% - Accent3 2 5" xfId="1040" xr:uid="{00000000-0005-0000-0000-000083010000}"/>
    <cellStyle name="20% - Accent3 2 5 2" xfId="3271" xr:uid="{00000000-0005-0000-0000-000084010000}"/>
    <cellStyle name="20% - Accent3 2 5 2 2" xfId="7493" xr:uid="{00000000-0005-0000-0000-000085010000}"/>
    <cellStyle name="20% - Accent3 2 5 2 2 2" xfId="32832" xr:uid="{5536E0A9-5DFE-46C0-B526-7D4DF7DC8791}"/>
    <cellStyle name="20% - Accent3 2 5 2 2 3" xfId="24391" xr:uid="{DF96FA3A-3548-44BA-B2A3-B862E02B1B83}"/>
    <cellStyle name="20% - Accent3 2 5 2 2 4" xfId="15943" xr:uid="{CCAD6FF5-1C33-4855-98C1-27C7D19AB0AD}"/>
    <cellStyle name="20% - Accent3 2 5 2 3" xfId="28614" xr:uid="{9FF5BE45-8CA4-4121-9AFB-319A2264A8CF}"/>
    <cellStyle name="20% - Accent3 2 5 2 4" xfId="20173" xr:uid="{77518746-EB70-40E2-90F2-7D6C74BE83B4}"/>
    <cellStyle name="20% - Accent3 2 5 2 5" xfId="11725" xr:uid="{CEC2CA10-3E5B-4578-8ED5-125BBDB35600}"/>
    <cellStyle name="20% - Accent3 2 5 3" xfId="5348" xr:uid="{00000000-0005-0000-0000-000086010000}"/>
    <cellStyle name="20% - Accent3 2 5 3 2" xfId="30687" xr:uid="{ADFFC2E7-2D67-4B35-A650-E0C9C50D41AF}"/>
    <cellStyle name="20% - Accent3 2 5 3 3" xfId="22246" xr:uid="{83ABE92A-B3B6-490D-B409-78B9FC70849A}"/>
    <cellStyle name="20% - Accent3 2 5 3 4" xfId="13798" xr:uid="{52650005-2D46-4A19-83D0-89F63AFCED7E}"/>
    <cellStyle name="20% - Accent3 2 5 4" xfId="26469" xr:uid="{DC6C98BC-6A07-4162-970C-9803FED06819}"/>
    <cellStyle name="20% - Accent3 2 5 5" xfId="18028" xr:uid="{5D6D3E7E-5316-4FC5-96BC-C3A1E9074991}"/>
    <cellStyle name="20% - Accent3 2 5 6" xfId="9580" xr:uid="{BBD04AF8-CDA3-4C48-940B-66FED87B7503}"/>
    <cellStyle name="20% - Accent3 2 6" xfId="1454" xr:uid="{00000000-0005-0000-0000-000087010000}"/>
    <cellStyle name="20% - Accent3 2 6 2" xfId="3684" xr:uid="{00000000-0005-0000-0000-000088010000}"/>
    <cellStyle name="20% - Accent3 2 6 2 2" xfId="7906" xr:uid="{00000000-0005-0000-0000-000089010000}"/>
    <cellStyle name="20% - Accent3 2 6 2 2 2" xfId="33245" xr:uid="{D7B3DB74-12AC-4171-887F-63F3DAE4F2F8}"/>
    <cellStyle name="20% - Accent3 2 6 2 2 3" xfId="24804" xr:uid="{99BE9EDF-FCDB-4DF6-8AA3-7CBB11035DF8}"/>
    <cellStyle name="20% - Accent3 2 6 2 2 4" xfId="16356" xr:uid="{56D85947-5A55-4DDC-AFAE-2754DF1F8ACA}"/>
    <cellStyle name="20% - Accent3 2 6 2 3" xfId="29027" xr:uid="{29220749-A040-44C0-B6F1-FC56F2A7C2EA}"/>
    <cellStyle name="20% - Accent3 2 6 2 4" xfId="20586" xr:uid="{A7586EAE-D87B-436D-910F-95F80291051C}"/>
    <cellStyle name="20% - Accent3 2 6 2 5" xfId="12138" xr:uid="{B7E532D5-A1A6-4617-B299-4BBFAD093935}"/>
    <cellStyle name="20% - Accent3 2 6 3" xfId="5761" xr:uid="{00000000-0005-0000-0000-00008A010000}"/>
    <cellStyle name="20% - Accent3 2 6 3 2" xfId="31100" xr:uid="{1361DA76-CF81-4734-A1EB-642F48882390}"/>
    <cellStyle name="20% - Accent3 2 6 3 3" xfId="22659" xr:uid="{E5734064-9918-4A70-BFF1-A266C4D21594}"/>
    <cellStyle name="20% - Accent3 2 6 3 4" xfId="14211" xr:uid="{FA053B94-0AFF-4FD6-AE79-A74244697E2D}"/>
    <cellStyle name="20% - Accent3 2 6 4" xfId="26882" xr:uid="{8D53B31E-702B-4F47-9378-92F135AFC04F}"/>
    <cellStyle name="20% - Accent3 2 6 5" xfId="18441" xr:uid="{48FAEC73-9612-4BC7-BA20-AE3DCE7F103D}"/>
    <cellStyle name="20% - Accent3 2 6 6" xfId="9993" xr:uid="{6BD13F26-B013-4257-8A30-5A607B0DBBE4}"/>
    <cellStyle name="20% - Accent3 2 7" xfId="1868" xr:uid="{00000000-0005-0000-0000-00008B010000}"/>
    <cellStyle name="20% - Accent3 2 7 2" xfId="4097" xr:uid="{00000000-0005-0000-0000-00008C010000}"/>
    <cellStyle name="20% - Accent3 2 7 2 2" xfId="8319" xr:uid="{00000000-0005-0000-0000-00008D010000}"/>
    <cellStyle name="20% - Accent3 2 7 2 2 2" xfId="33658" xr:uid="{FAAA96D6-0238-41F1-AEF1-3C4E3D98FBF4}"/>
    <cellStyle name="20% - Accent3 2 7 2 2 3" xfId="25217" xr:uid="{32853193-1503-452D-BD0D-198D1A78538E}"/>
    <cellStyle name="20% - Accent3 2 7 2 2 4" xfId="16769" xr:uid="{FC60B6E1-2ACB-4001-AF30-6D4601C34CF1}"/>
    <cellStyle name="20% - Accent3 2 7 2 3" xfId="29440" xr:uid="{4E33E136-B6A3-4201-BF5A-644A814C0C32}"/>
    <cellStyle name="20% - Accent3 2 7 2 4" xfId="20999" xr:uid="{41AA2E60-CAFB-4CEC-8299-9C83DE90C973}"/>
    <cellStyle name="20% - Accent3 2 7 2 5" xfId="12551" xr:uid="{230571D4-5C9B-4D08-B975-DFB5A03866CC}"/>
    <cellStyle name="20% - Accent3 2 7 3" xfId="6174" xr:uid="{00000000-0005-0000-0000-00008E010000}"/>
    <cellStyle name="20% - Accent3 2 7 3 2" xfId="31513" xr:uid="{F1AF8BE2-6402-46E9-8827-C52328E7D531}"/>
    <cellStyle name="20% - Accent3 2 7 3 3" xfId="23072" xr:uid="{1490CEDA-7F8A-4CDA-BB13-C3D6C6898F9A}"/>
    <cellStyle name="20% - Accent3 2 7 3 4" xfId="14624" xr:uid="{10B686BE-EC8D-49A4-8730-BF74A33A18E1}"/>
    <cellStyle name="20% - Accent3 2 7 4" xfId="27295" xr:uid="{8A991E1F-E08B-4C50-916B-EF9823EDD839}"/>
    <cellStyle name="20% - Accent3 2 7 5" xfId="18854" xr:uid="{B9FC614F-157C-4F81-81B1-EF8071E3D893}"/>
    <cellStyle name="20% - Accent3 2 7 6" xfId="10406" xr:uid="{077D4672-6FFE-464F-A352-2584AE977BDD}"/>
    <cellStyle name="20% - Accent3 2 8" xfId="2281" xr:uid="{00000000-0005-0000-0000-00008F010000}"/>
    <cellStyle name="20% - Accent3 2 8 2" xfId="6587" xr:uid="{00000000-0005-0000-0000-000090010000}"/>
    <cellStyle name="20% - Accent3 2 8 2 2" xfId="31926" xr:uid="{45095498-D9B5-4AA4-9B43-7E7F625F4FAE}"/>
    <cellStyle name="20% - Accent3 2 8 2 3" xfId="23485" xr:uid="{E59A9AF1-1613-40A9-84B9-F3BF74CCEDDA}"/>
    <cellStyle name="20% - Accent3 2 8 2 4" xfId="15037" xr:uid="{674339BA-7800-4B55-9DD8-3D3AD6A1FF03}"/>
    <cellStyle name="20% - Accent3 2 8 3" xfId="27708" xr:uid="{49A2C982-E5AC-4471-8E71-1891A6D583B2}"/>
    <cellStyle name="20% - Accent3 2 8 4" xfId="19267" xr:uid="{7B8D213A-89DC-4EE1-8C8B-42D3AC1A694D}"/>
    <cellStyle name="20% - Accent3 2 8 5" xfId="10819" xr:uid="{F74769C5-F298-4FD2-A671-25303F29FA27}"/>
    <cellStyle name="20% - Accent3 2 9" xfId="4521" xr:uid="{00000000-0005-0000-0000-000091010000}"/>
    <cellStyle name="20% - Accent3 2 9 2" xfId="29860" xr:uid="{848C16D1-8382-4A41-89C8-6F3E54130DAE}"/>
    <cellStyle name="20% - Accent3 2 9 3" xfId="21419" xr:uid="{2D2101C7-F532-492C-BC01-4BEC355C8DC7}"/>
    <cellStyle name="20% - Accent3 2 9 4" xfId="12971" xr:uid="{2D883CD4-6CBC-4D80-849D-933BDF325E05}"/>
    <cellStyle name="20% - Accent3 3" xfId="22" xr:uid="{00000000-0005-0000-0000-000092010000}"/>
    <cellStyle name="20% - Accent3 3 10" xfId="17205" xr:uid="{A28BACAA-CBE3-4C2F-81D1-EC9006FC37A6}"/>
    <cellStyle name="20% - Accent3 3 11" xfId="8757" xr:uid="{84F2C5C5-8BEC-4871-90EF-61A928127654}"/>
    <cellStyle name="20% - Accent3 3 2" xfId="23" xr:uid="{00000000-0005-0000-0000-000093010000}"/>
    <cellStyle name="20% - Accent3 3 2 10" xfId="8758" xr:uid="{FA8D4336-C07A-4FE9-B89A-B054F17013BE}"/>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32424" xr:uid="{11BD8768-0335-431F-A937-EBE1F43DDB9F}"/>
    <cellStyle name="20% - Accent3 3 2 2 2 2 3" xfId="23983" xr:uid="{F2558CCE-BC58-437F-AFF0-0D55A91D6DD7}"/>
    <cellStyle name="20% - Accent3 3 2 2 2 2 4" xfId="15535" xr:uid="{1A1D6C78-D5B8-4DED-AC80-BCC788617E76}"/>
    <cellStyle name="20% - Accent3 3 2 2 2 3" xfId="28206" xr:uid="{DE9E5A48-524C-40A0-B5F8-C6F540C83104}"/>
    <cellStyle name="20% - Accent3 3 2 2 2 4" xfId="19765" xr:uid="{66CC3406-4562-4068-902D-E708531593D0}"/>
    <cellStyle name="20% - Accent3 3 2 2 2 5" xfId="11317" xr:uid="{E0E97220-DBA5-4226-87DA-3073B1A23185}"/>
    <cellStyle name="20% - Accent3 3 2 2 3" xfId="4940" xr:uid="{00000000-0005-0000-0000-000097010000}"/>
    <cellStyle name="20% - Accent3 3 2 2 3 2" xfId="30279" xr:uid="{4860F613-17D7-4888-B933-950E05F11172}"/>
    <cellStyle name="20% - Accent3 3 2 2 3 3" xfId="21838" xr:uid="{B7089CAD-C5F0-44EE-ADB8-0C4F5588640A}"/>
    <cellStyle name="20% - Accent3 3 2 2 3 4" xfId="13390" xr:uid="{9F13111F-6237-481C-8B2C-1FEA612AD1C9}"/>
    <cellStyle name="20% - Accent3 3 2 2 4" xfId="26061" xr:uid="{FD1EDE0E-A937-4417-B7C8-53BB902734F8}"/>
    <cellStyle name="20% - Accent3 3 2 2 5" xfId="17620" xr:uid="{E48173CB-6BB4-4F2A-88BB-C97B29329931}"/>
    <cellStyle name="20% - Accent3 3 2 2 6" xfId="9172" xr:uid="{DAD233F1-457B-475A-A167-A1D623A3BE22}"/>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32837" xr:uid="{ECD8DAAC-77CD-49FC-B48D-2E9C27FEBBE1}"/>
    <cellStyle name="20% - Accent3 3 2 3 2 2 3" xfId="24396" xr:uid="{0E34BD1F-57D1-4400-9FAE-D3752C2E3A3C}"/>
    <cellStyle name="20% - Accent3 3 2 3 2 2 4" xfId="15948" xr:uid="{94CE793A-E5CB-49D5-A09A-AA19EC0A9510}"/>
    <cellStyle name="20% - Accent3 3 2 3 2 3" xfId="28619" xr:uid="{FAB8983B-4DDD-4598-84E5-41F9703BB8DC}"/>
    <cellStyle name="20% - Accent3 3 2 3 2 4" xfId="20178" xr:uid="{2EBC6B06-8D50-44E8-AB7F-BD1D21E70907}"/>
    <cellStyle name="20% - Accent3 3 2 3 2 5" xfId="11730" xr:uid="{78B046B2-476F-4818-AA22-DC4B53CC8882}"/>
    <cellStyle name="20% - Accent3 3 2 3 3" xfId="5353" xr:uid="{00000000-0005-0000-0000-00009B010000}"/>
    <cellStyle name="20% - Accent3 3 2 3 3 2" xfId="30692" xr:uid="{8EC3C0C5-A2D4-4661-B173-0169D0FD7314}"/>
    <cellStyle name="20% - Accent3 3 2 3 3 3" xfId="22251" xr:uid="{FB8C453E-A1D7-4A88-B7D2-B951F7A3D986}"/>
    <cellStyle name="20% - Accent3 3 2 3 3 4" xfId="13803" xr:uid="{8380ED48-3092-46D1-9B94-2BF81AC08EC0}"/>
    <cellStyle name="20% - Accent3 3 2 3 4" xfId="26474" xr:uid="{CDAEA321-6659-4F42-AE71-07957984A030}"/>
    <cellStyle name="20% - Accent3 3 2 3 5" xfId="18033" xr:uid="{88E6565B-9493-4DA1-9C78-D460E71FD849}"/>
    <cellStyle name="20% - Accent3 3 2 3 6" xfId="9585" xr:uid="{E7BEFFD6-A32C-4E63-8A4B-13785309DA15}"/>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33250" xr:uid="{2A7985BC-E53C-44E4-9D2F-4A46D180A6E0}"/>
    <cellStyle name="20% - Accent3 3 2 4 2 2 3" xfId="24809" xr:uid="{6CB5853B-15D8-4362-B174-DE769375F890}"/>
    <cellStyle name="20% - Accent3 3 2 4 2 2 4" xfId="16361" xr:uid="{E55B9F8F-59B0-48B9-843D-2C325AB2D882}"/>
    <cellStyle name="20% - Accent3 3 2 4 2 3" xfId="29032" xr:uid="{A8AE2FC8-6A74-43CA-BCA1-5CF8E1689192}"/>
    <cellStyle name="20% - Accent3 3 2 4 2 4" xfId="20591" xr:uid="{D6261F3C-30E3-41BA-998A-22BDD18C33CC}"/>
    <cellStyle name="20% - Accent3 3 2 4 2 5" xfId="12143" xr:uid="{926710C5-CBF1-4D2A-9DB3-285805DDF0BE}"/>
    <cellStyle name="20% - Accent3 3 2 4 3" xfId="5766" xr:uid="{00000000-0005-0000-0000-00009F010000}"/>
    <cellStyle name="20% - Accent3 3 2 4 3 2" xfId="31105" xr:uid="{818B660C-FF50-44C5-9307-2ED0C4107474}"/>
    <cellStyle name="20% - Accent3 3 2 4 3 3" xfId="22664" xr:uid="{CF301BFF-58F1-4C7E-8C2C-7B2861E9A2E7}"/>
    <cellStyle name="20% - Accent3 3 2 4 3 4" xfId="14216" xr:uid="{867040C2-2822-44B9-A845-C7B4E941FEA2}"/>
    <cellStyle name="20% - Accent3 3 2 4 4" xfId="26887" xr:uid="{00D62251-FE93-4B69-A83D-143D5C287446}"/>
    <cellStyle name="20% - Accent3 3 2 4 5" xfId="18446" xr:uid="{BA12A808-5BEC-4231-87AA-3A18C6D29921}"/>
    <cellStyle name="20% - Accent3 3 2 4 6" xfId="9998" xr:uid="{218372AA-BE57-4215-8C0E-C9F5001664BD}"/>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33663" xr:uid="{9DDB1514-D5C3-4E63-99D2-88A36A62ACA2}"/>
    <cellStyle name="20% - Accent3 3 2 5 2 2 3" xfId="25222" xr:uid="{8E6237D1-15F1-48E2-B72B-8A8BB03B648A}"/>
    <cellStyle name="20% - Accent3 3 2 5 2 2 4" xfId="16774" xr:uid="{C799EBC0-D49D-43DE-B9DC-07D778FB2BF8}"/>
    <cellStyle name="20% - Accent3 3 2 5 2 3" xfId="29445" xr:uid="{1807763D-CC32-4D95-91C3-8C328E2DE477}"/>
    <cellStyle name="20% - Accent3 3 2 5 2 4" xfId="21004" xr:uid="{47CEEACC-1A94-4802-9F89-B223DFBFB75A}"/>
    <cellStyle name="20% - Accent3 3 2 5 2 5" xfId="12556" xr:uid="{59661D98-1837-4383-BB9C-1BE80E46FE24}"/>
    <cellStyle name="20% - Accent3 3 2 5 3" xfId="6179" xr:uid="{00000000-0005-0000-0000-0000A3010000}"/>
    <cellStyle name="20% - Accent3 3 2 5 3 2" xfId="31518" xr:uid="{269897B7-0125-4602-A706-2429DCB883A5}"/>
    <cellStyle name="20% - Accent3 3 2 5 3 3" xfId="23077" xr:uid="{2B9798FB-8A4F-4385-BF8C-3B0CDED23C19}"/>
    <cellStyle name="20% - Accent3 3 2 5 3 4" xfId="14629" xr:uid="{87B492EE-7FB9-4047-A990-AB0A694E8245}"/>
    <cellStyle name="20% - Accent3 3 2 5 4" xfId="27300" xr:uid="{0E05BCB7-EA9A-467C-A572-174F0DBD13FF}"/>
    <cellStyle name="20% - Accent3 3 2 5 5" xfId="18859" xr:uid="{D49781E3-42FC-42B7-BBC9-EBA6C8D0E1BA}"/>
    <cellStyle name="20% - Accent3 3 2 5 6" xfId="10411" xr:uid="{13AFB729-2A95-485C-96F7-8628008F3F0D}"/>
    <cellStyle name="20% - Accent3 3 2 6" xfId="2286" xr:uid="{00000000-0005-0000-0000-0000A4010000}"/>
    <cellStyle name="20% - Accent3 3 2 6 2" xfId="6592" xr:uid="{00000000-0005-0000-0000-0000A5010000}"/>
    <cellStyle name="20% - Accent3 3 2 6 2 2" xfId="31931" xr:uid="{8DD78F94-96F0-433A-99A1-C6E7490A1394}"/>
    <cellStyle name="20% - Accent3 3 2 6 2 3" xfId="23490" xr:uid="{427C384B-4C26-4CB0-92E4-F04BADE29A5C}"/>
    <cellStyle name="20% - Accent3 3 2 6 2 4" xfId="15042" xr:uid="{90E7B65D-D716-4FE7-A005-1B2C256A8736}"/>
    <cellStyle name="20% - Accent3 3 2 6 3" xfId="27713" xr:uid="{D4F3EBC3-8FA1-49DF-8E59-5EBC19D87861}"/>
    <cellStyle name="20% - Accent3 3 2 6 4" xfId="19272" xr:uid="{6A563E12-2CAE-431A-B852-F85240762CD6}"/>
    <cellStyle name="20% - Accent3 3 2 6 5" xfId="10824" xr:uid="{E45F7E72-DC75-4867-888B-9F4D036E0401}"/>
    <cellStyle name="20% - Accent3 3 2 7" xfId="4526" xr:uid="{00000000-0005-0000-0000-0000A6010000}"/>
    <cellStyle name="20% - Accent3 3 2 7 2" xfId="29865" xr:uid="{BE1B5319-B993-478F-A25B-8EBE8482BA96}"/>
    <cellStyle name="20% - Accent3 3 2 7 3" xfId="21424" xr:uid="{2EDEE858-589E-4FFE-A1A1-F09A6ED343F7}"/>
    <cellStyle name="20% - Accent3 3 2 7 4" xfId="12976" xr:uid="{011167BD-C2C9-455E-8419-3F18D459F12B}"/>
    <cellStyle name="20% - Accent3 3 2 8" xfId="25647" xr:uid="{69E481AD-E46B-4F07-996A-CF66FB49534C}"/>
    <cellStyle name="20% - Accent3 3 2 9" xfId="17206" xr:uid="{E7EDA3F4-3249-4C0F-82BD-5D70F6A7DCDE}"/>
    <cellStyle name="20% - Accent3 3 3" xfId="591" xr:uid="{00000000-0005-0000-0000-0000A7010000}"/>
    <cellStyle name="20% - Accent3 3 3 2" xfId="2862" xr:uid="{00000000-0005-0000-0000-0000A8010000}"/>
    <cellStyle name="20% - Accent3 3 3 2 2" xfId="7084" xr:uid="{00000000-0005-0000-0000-0000A9010000}"/>
    <cellStyle name="20% - Accent3 3 3 2 2 2" xfId="32423" xr:uid="{CB773F58-B74A-459D-BB2D-A471DC94A3A5}"/>
    <cellStyle name="20% - Accent3 3 3 2 2 3" xfId="23982" xr:uid="{68393FDB-39A9-4CE2-A393-47EFCEADFEAA}"/>
    <cellStyle name="20% - Accent3 3 3 2 2 4" xfId="15534" xr:uid="{ACD9510C-3FB5-4FF0-960A-9002E5D05AC8}"/>
    <cellStyle name="20% - Accent3 3 3 2 3" xfId="28205" xr:uid="{6D89DB91-DFBB-46ED-9D76-4930F09256AD}"/>
    <cellStyle name="20% - Accent3 3 3 2 4" xfId="19764" xr:uid="{930B1073-06AE-475C-B668-F84B48BF9F1D}"/>
    <cellStyle name="20% - Accent3 3 3 2 5" xfId="11316" xr:uid="{ED2C53C3-B70C-4112-9FEA-00AD9419C34F}"/>
    <cellStyle name="20% - Accent3 3 3 3" xfId="4939" xr:uid="{00000000-0005-0000-0000-0000AA010000}"/>
    <cellStyle name="20% - Accent3 3 3 3 2" xfId="30278" xr:uid="{FA02B3CD-7FFF-490B-86DD-9B306754BCB4}"/>
    <cellStyle name="20% - Accent3 3 3 3 3" xfId="21837" xr:uid="{7A57C47B-80BE-4FF4-9881-8F6244EA4CC9}"/>
    <cellStyle name="20% - Accent3 3 3 3 4" xfId="13389" xr:uid="{14A30086-8492-45CA-94A6-7B87F5B15B09}"/>
    <cellStyle name="20% - Accent3 3 3 4" xfId="26060" xr:uid="{BD30F988-BE17-43DD-859E-8DCA6BD821D2}"/>
    <cellStyle name="20% - Accent3 3 3 5" xfId="17619" xr:uid="{44120327-67B7-4839-B111-74B45F7B383D}"/>
    <cellStyle name="20% - Accent3 3 3 6" xfId="9171" xr:uid="{FF20B08C-2364-4DF4-B882-906CEC840264}"/>
    <cellStyle name="20% - Accent3 3 4" xfId="1044" xr:uid="{00000000-0005-0000-0000-0000AB010000}"/>
    <cellStyle name="20% - Accent3 3 4 2" xfId="3275" xr:uid="{00000000-0005-0000-0000-0000AC010000}"/>
    <cellStyle name="20% - Accent3 3 4 2 2" xfId="7497" xr:uid="{00000000-0005-0000-0000-0000AD010000}"/>
    <cellStyle name="20% - Accent3 3 4 2 2 2" xfId="32836" xr:uid="{4FA5EE13-3EDC-4EE2-BFF7-D4793A64F0A5}"/>
    <cellStyle name="20% - Accent3 3 4 2 2 3" xfId="24395" xr:uid="{9F8D4030-E647-460C-ABE6-01255896BD8E}"/>
    <cellStyle name="20% - Accent3 3 4 2 2 4" xfId="15947" xr:uid="{DDE9153F-42DA-4C65-A9EB-CB49E130C38A}"/>
    <cellStyle name="20% - Accent3 3 4 2 3" xfId="28618" xr:uid="{2FEE27B8-2BF0-4BB8-A0C2-7A2AB7D65E9A}"/>
    <cellStyle name="20% - Accent3 3 4 2 4" xfId="20177" xr:uid="{F8157480-11A5-4910-B12A-22F594B439EB}"/>
    <cellStyle name="20% - Accent3 3 4 2 5" xfId="11729" xr:uid="{E5969600-B219-4ECB-98BF-E0897E5BD028}"/>
    <cellStyle name="20% - Accent3 3 4 3" xfId="5352" xr:uid="{00000000-0005-0000-0000-0000AE010000}"/>
    <cellStyle name="20% - Accent3 3 4 3 2" xfId="30691" xr:uid="{BDD637DE-406A-4ADD-B48A-7FD0C403A946}"/>
    <cellStyle name="20% - Accent3 3 4 3 3" xfId="22250" xr:uid="{12B8F818-A729-499C-A32E-B01738BC9C01}"/>
    <cellStyle name="20% - Accent3 3 4 3 4" xfId="13802" xr:uid="{25D814F0-25F9-4AB0-9D79-05D2FA7ADC71}"/>
    <cellStyle name="20% - Accent3 3 4 4" xfId="26473" xr:uid="{513AF14F-9DB6-4CF0-85E8-035156584C29}"/>
    <cellStyle name="20% - Accent3 3 4 5" xfId="18032" xr:uid="{A98026B9-A9E3-4E25-A3B5-C2F4BC53F0BC}"/>
    <cellStyle name="20% - Accent3 3 4 6" xfId="9584" xr:uid="{88B0C94A-3E96-48CD-BBDC-46439A7B1639}"/>
    <cellStyle name="20% - Accent3 3 5" xfId="1458" xr:uid="{00000000-0005-0000-0000-0000AF010000}"/>
    <cellStyle name="20% - Accent3 3 5 2" xfId="3688" xr:uid="{00000000-0005-0000-0000-0000B0010000}"/>
    <cellStyle name="20% - Accent3 3 5 2 2" xfId="7910" xr:uid="{00000000-0005-0000-0000-0000B1010000}"/>
    <cellStyle name="20% - Accent3 3 5 2 2 2" xfId="33249" xr:uid="{A35CDBAA-983F-4F84-82C7-12B0C6360A1B}"/>
    <cellStyle name="20% - Accent3 3 5 2 2 3" xfId="24808" xr:uid="{88347707-0D43-402F-A7B5-4A2C949899A6}"/>
    <cellStyle name="20% - Accent3 3 5 2 2 4" xfId="16360" xr:uid="{580D2E67-C0E2-46CC-8714-D4D9293024EF}"/>
    <cellStyle name="20% - Accent3 3 5 2 3" xfId="29031" xr:uid="{5019213A-04FD-4439-A655-89BE5C4B93FB}"/>
    <cellStyle name="20% - Accent3 3 5 2 4" xfId="20590" xr:uid="{FF34D837-A1E7-4FA1-AD3F-83487BB81F24}"/>
    <cellStyle name="20% - Accent3 3 5 2 5" xfId="12142" xr:uid="{535984BF-9593-4251-B35C-C978570BF4F7}"/>
    <cellStyle name="20% - Accent3 3 5 3" xfId="5765" xr:uid="{00000000-0005-0000-0000-0000B2010000}"/>
    <cellStyle name="20% - Accent3 3 5 3 2" xfId="31104" xr:uid="{FB070A6C-156F-4527-874E-C052EC1C0370}"/>
    <cellStyle name="20% - Accent3 3 5 3 3" xfId="22663" xr:uid="{8C29ED6A-9998-406F-BCD8-6E0E98134041}"/>
    <cellStyle name="20% - Accent3 3 5 3 4" xfId="14215" xr:uid="{73EBB4AE-F18A-4B7D-8F5A-B14D8C707933}"/>
    <cellStyle name="20% - Accent3 3 5 4" xfId="26886" xr:uid="{65446570-FF99-4EEF-8FDD-779363BBF1AF}"/>
    <cellStyle name="20% - Accent3 3 5 5" xfId="18445" xr:uid="{6D25C05E-04B6-4AE3-9306-2D1EB21E6B7C}"/>
    <cellStyle name="20% - Accent3 3 5 6" xfId="9997" xr:uid="{83331272-3925-45C0-9240-AEDD90FD17CD}"/>
    <cellStyle name="20% - Accent3 3 6" xfId="1872" xr:uid="{00000000-0005-0000-0000-0000B3010000}"/>
    <cellStyle name="20% - Accent3 3 6 2" xfId="4101" xr:uid="{00000000-0005-0000-0000-0000B4010000}"/>
    <cellStyle name="20% - Accent3 3 6 2 2" xfId="8323" xr:uid="{00000000-0005-0000-0000-0000B5010000}"/>
    <cellStyle name="20% - Accent3 3 6 2 2 2" xfId="33662" xr:uid="{6C601696-1E32-4A5F-9AA5-5753A0515390}"/>
    <cellStyle name="20% - Accent3 3 6 2 2 3" xfId="25221" xr:uid="{84A66F06-38A5-4401-9EDD-25A595E241A8}"/>
    <cellStyle name="20% - Accent3 3 6 2 2 4" xfId="16773" xr:uid="{E140887E-7B09-47E3-BD31-3B9FE5B3A262}"/>
    <cellStyle name="20% - Accent3 3 6 2 3" xfId="29444" xr:uid="{B9DE3056-CCC4-4E29-9B6B-2DD1939DBB70}"/>
    <cellStyle name="20% - Accent3 3 6 2 4" xfId="21003" xr:uid="{9CC9FF71-15EB-4DFE-8821-05EA95D849A8}"/>
    <cellStyle name="20% - Accent3 3 6 2 5" xfId="12555" xr:uid="{7CB593C7-AD6D-42E4-8C05-B5AFBC83DEA6}"/>
    <cellStyle name="20% - Accent3 3 6 3" xfId="6178" xr:uid="{00000000-0005-0000-0000-0000B6010000}"/>
    <cellStyle name="20% - Accent3 3 6 3 2" xfId="31517" xr:uid="{4183A6F1-42E4-48BD-B07E-958F279F1B7D}"/>
    <cellStyle name="20% - Accent3 3 6 3 3" xfId="23076" xr:uid="{F25DEC83-3FD6-4093-87AE-FA1F4C5E96DA}"/>
    <cellStyle name="20% - Accent3 3 6 3 4" xfId="14628" xr:uid="{13E1B91C-22A3-488D-9AAC-213384E99101}"/>
    <cellStyle name="20% - Accent3 3 6 4" xfId="27299" xr:uid="{E698E393-D46B-4A12-BD76-8A69E0397153}"/>
    <cellStyle name="20% - Accent3 3 6 5" xfId="18858" xr:uid="{ECF82AC6-39CA-4C60-891E-2232437DF6F6}"/>
    <cellStyle name="20% - Accent3 3 6 6" xfId="10410" xr:uid="{7E60372E-BD16-4507-8588-5135260BE6DE}"/>
    <cellStyle name="20% - Accent3 3 7" xfId="2285" xr:uid="{00000000-0005-0000-0000-0000B7010000}"/>
    <cellStyle name="20% - Accent3 3 7 2" xfId="6591" xr:uid="{00000000-0005-0000-0000-0000B8010000}"/>
    <cellStyle name="20% - Accent3 3 7 2 2" xfId="31930" xr:uid="{552DBC88-C3BC-4AC4-916E-915893767492}"/>
    <cellStyle name="20% - Accent3 3 7 2 3" xfId="23489" xr:uid="{580047DC-3EAF-4CEF-9C7A-372CFAB7378C}"/>
    <cellStyle name="20% - Accent3 3 7 2 4" xfId="15041" xr:uid="{6E796325-D8CD-408D-AA6D-329B7AC633E9}"/>
    <cellStyle name="20% - Accent3 3 7 3" xfId="27712" xr:uid="{403DFD7B-302B-483D-B885-4B89E2174448}"/>
    <cellStyle name="20% - Accent3 3 7 4" xfId="19271" xr:uid="{898A4DA6-1E8B-4F23-A273-0F45387892AF}"/>
    <cellStyle name="20% - Accent3 3 7 5" xfId="10823" xr:uid="{E05F3384-F60A-41AA-8E80-798C199B4043}"/>
    <cellStyle name="20% - Accent3 3 8" xfId="4525" xr:uid="{00000000-0005-0000-0000-0000B9010000}"/>
    <cellStyle name="20% - Accent3 3 8 2" xfId="29864" xr:uid="{456ED2BC-ECEF-4593-9522-1FBE9F334558}"/>
    <cellStyle name="20% - Accent3 3 8 3" xfId="21423" xr:uid="{8372954B-EC76-4E41-AC01-34614448E36C}"/>
    <cellStyle name="20% - Accent3 3 8 4" xfId="12975" xr:uid="{88302EC9-8E70-4127-9551-3DF3F161B9D4}"/>
    <cellStyle name="20% - Accent3 3 9" xfId="25646" xr:uid="{BAFB148E-A9EC-4E94-8872-3D8019AE7C37}"/>
    <cellStyle name="20% - Accent3 4" xfId="24" xr:uid="{00000000-0005-0000-0000-0000BA010000}"/>
    <cellStyle name="20% - Accent3 4 10" xfId="8759" xr:uid="{C9C1CD5F-25CB-4AB2-9313-4FCBE0433A8A}"/>
    <cellStyle name="20% - Accent3 4 2" xfId="593" xr:uid="{00000000-0005-0000-0000-0000BB010000}"/>
    <cellStyle name="20% - Accent3 4 2 2" xfId="2864" xr:uid="{00000000-0005-0000-0000-0000BC010000}"/>
    <cellStyle name="20% - Accent3 4 2 2 2" xfId="7086" xr:uid="{00000000-0005-0000-0000-0000BD010000}"/>
    <cellStyle name="20% - Accent3 4 2 2 2 2" xfId="32425" xr:uid="{BA8B12CB-F121-4351-9477-DB22D5B8DA39}"/>
    <cellStyle name="20% - Accent3 4 2 2 2 3" xfId="23984" xr:uid="{61A23DAA-86C4-4A6C-A293-2630A3D6A5EB}"/>
    <cellStyle name="20% - Accent3 4 2 2 2 4" xfId="15536" xr:uid="{00508DB7-F585-4C60-A2E1-BDFB73DD6234}"/>
    <cellStyle name="20% - Accent3 4 2 2 3" xfId="28207" xr:uid="{FDE4483A-F31A-49F3-A97A-459D0C6CF0C7}"/>
    <cellStyle name="20% - Accent3 4 2 2 4" xfId="19766" xr:uid="{549136CD-1B93-4FEE-814E-872B56669E1A}"/>
    <cellStyle name="20% - Accent3 4 2 2 5" xfId="11318" xr:uid="{96EB49F9-FB34-4DCC-84BE-81F9B88C6BBB}"/>
    <cellStyle name="20% - Accent3 4 2 3" xfId="4941" xr:uid="{00000000-0005-0000-0000-0000BE010000}"/>
    <cellStyle name="20% - Accent3 4 2 3 2" xfId="30280" xr:uid="{4549104C-5512-4FE4-83E7-8E68257EF4B6}"/>
    <cellStyle name="20% - Accent3 4 2 3 3" xfId="21839" xr:uid="{04E29C02-A279-4324-9F98-EB8E0A7C1FEE}"/>
    <cellStyle name="20% - Accent3 4 2 3 4" xfId="13391" xr:uid="{D76743EB-7C3D-4BB2-952A-AB9BCD610D52}"/>
    <cellStyle name="20% - Accent3 4 2 4" xfId="26062" xr:uid="{832B0B1A-D93B-46ED-A878-754FF87AF5F3}"/>
    <cellStyle name="20% - Accent3 4 2 5" xfId="17621" xr:uid="{3176795C-8F87-4D59-AC8F-60E04FB40029}"/>
    <cellStyle name="20% - Accent3 4 2 6" xfId="9173" xr:uid="{C84B3029-1B1C-4A25-8BA9-6EAAC228E853}"/>
    <cellStyle name="20% - Accent3 4 3" xfId="1046" xr:uid="{00000000-0005-0000-0000-0000BF010000}"/>
    <cellStyle name="20% - Accent3 4 3 2" xfId="3277" xr:uid="{00000000-0005-0000-0000-0000C0010000}"/>
    <cellStyle name="20% - Accent3 4 3 2 2" xfId="7499" xr:uid="{00000000-0005-0000-0000-0000C1010000}"/>
    <cellStyle name="20% - Accent3 4 3 2 2 2" xfId="32838" xr:uid="{6AE51C33-E629-479F-BE20-48882BDB9E8A}"/>
    <cellStyle name="20% - Accent3 4 3 2 2 3" xfId="24397" xr:uid="{0B91FBBB-93F0-48B3-9EE7-603902C05FB0}"/>
    <cellStyle name="20% - Accent3 4 3 2 2 4" xfId="15949" xr:uid="{840DA90E-5730-438C-88B1-0BA2E2CC87FB}"/>
    <cellStyle name="20% - Accent3 4 3 2 3" xfId="28620" xr:uid="{887B1E66-01E0-4FA5-915C-C72192CAE8AD}"/>
    <cellStyle name="20% - Accent3 4 3 2 4" xfId="20179" xr:uid="{442B2814-7D1E-4914-938A-A3C8A9445579}"/>
    <cellStyle name="20% - Accent3 4 3 2 5" xfId="11731" xr:uid="{49476DFD-AC3C-451E-A8E8-746903AB0527}"/>
    <cellStyle name="20% - Accent3 4 3 3" xfId="5354" xr:uid="{00000000-0005-0000-0000-0000C2010000}"/>
    <cellStyle name="20% - Accent3 4 3 3 2" xfId="30693" xr:uid="{94897BC3-6C03-4FC6-A609-116D780617E3}"/>
    <cellStyle name="20% - Accent3 4 3 3 3" xfId="22252" xr:uid="{FF3CEB93-F1AB-4B08-B2C1-D99E6F0E8363}"/>
    <cellStyle name="20% - Accent3 4 3 3 4" xfId="13804" xr:uid="{BC23343D-B70E-46ED-AAFD-2E51D8F67339}"/>
    <cellStyle name="20% - Accent3 4 3 4" xfId="26475" xr:uid="{3308FBED-DF90-4ACF-991A-60ADCD280FBD}"/>
    <cellStyle name="20% - Accent3 4 3 5" xfId="18034" xr:uid="{23ED721A-1C0E-431A-B8F9-EF4472138F6B}"/>
    <cellStyle name="20% - Accent3 4 3 6" xfId="9586" xr:uid="{BEF0B20D-AFBF-4389-BCAF-666A440AF61C}"/>
    <cellStyle name="20% - Accent3 4 4" xfId="1460" xr:uid="{00000000-0005-0000-0000-0000C3010000}"/>
    <cellStyle name="20% - Accent3 4 4 2" xfId="3690" xr:uid="{00000000-0005-0000-0000-0000C4010000}"/>
    <cellStyle name="20% - Accent3 4 4 2 2" xfId="7912" xr:uid="{00000000-0005-0000-0000-0000C5010000}"/>
    <cellStyle name="20% - Accent3 4 4 2 2 2" xfId="33251" xr:uid="{CF83522B-F7A3-4B51-83F2-E5A8419263E3}"/>
    <cellStyle name="20% - Accent3 4 4 2 2 3" xfId="24810" xr:uid="{9D4831F7-B600-46EA-B44E-EDB2937FC1AE}"/>
    <cellStyle name="20% - Accent3 4 4 2 2 4" xfId="16362" xr:uid="{807EA4B8-64DB-4880-AEB4-DBE1A1636946}"/>
    <cellStyle name="20% - Accent3 4 4 2 3" xfId="29033" xr:uid="{970049D1-2F69-43E0-9C83-25877122E88D}"/>
    <cellStyle name="20% - Accent3 4 4 2 4" xfId="20592" xr:uid="{4201CACA-5F98-492F-A156-3908A5754A65}"/>
    <cellStyle name="20% - Accent3 4 4 2 5" xfId="12144" xr:uid="{28503B08-8BD4-4E17-9EA1-07E925EFFBFC}"/>
    <cellStyle name="20% - Accent3 4 4 3" xfId="5767" xr:uid="{00000000-0005-0000-0000-0000C6010000}"/>
    <cellStyle name="20% - Accent3 4 4 3 2" xfId="31106" xr:uid="{B5CD748A-CDC1-4F6F-9D0E-87FA72640DF1}"/>
    <cellStyle name="20% - Accent3 4 4 3 3" xfId="22665" xr:uid="{32DBA63A-CBC1-4237-B819-3B589396E28E}"/>
    <cellStyle name="20% - Accent3 4 4 3 4" xfId="14217" xr:uid="{FC979FB3-1762-4145-B191-DF52C09A138A}"/>
    <cellStyle name="20% - Accent3 4 4 4" xfId="26888" xr:uid="{976E3372-F7D6-43A9-94ED-ED1E484227DD}"/>
    <cellStyle name="20% - Accent3 4 4 5" xfId="18447" xr:uid="{22001D43-AB96-4652-84B7-93A30ACE7F40}"/>
    <cellStyle name="20% - Accent3 4 4 6" xfId="9999" xr:uid="{7DF4E21B-B9D6-419C-BEF3-8F0FD6A187CD}"/>
    <cellStyle name="20% - Accent3 4 5" xfId="1874" xr:uid="{00000000-0005-0000-0000-0000C7010000}"/>
    <cellStyle name="20% - Accent3 4 5 2" xfId="4103" xr:uid="{00000000-0005-0000-0000-0000C8010000}"/>
    <cellStyle name="20% - Accent3 4 5 2 2" xfId="8325" xr:uid="{00000000-0005-0000-0000-0000C9010000}"/>
    <cellStyle name="20% - Accent3 4 5 2 2 2" xfId="33664" xr:uid="{FEBBCE0D-1BFA-4020-A87C-B898C25CA651}"/>
    <cellStyle name="20% - Accent3 4 5 2 2 3" xfId="25223" xr:uid="{3225EF57-7910-465E-9305-552DFA3B1935}"/>
    <cellStyle name="20% - Accent3 4 5 2 2 4" xfId="16775" xr:uid="{9C743F21-774A-470C-907D-D58E5D0BDB87}"/>
    <cellStyle name="20% - Accent3 4 5 2 3" xfId="29446" xr:uid="{269439DB-AB9C-4D76-830D-1821DBEA7B42}"/>
    <cellStyle name="20% - Accent3 4 5 2 4" xfId="21005" xr:uid="{5FEFA40B-E34F-48AA-BBA6-EE811BA71198}"/>
    <cellStyle name="20% - Accent3 4 5 2 5" xfId="12557" xr:uid="{3AD713A5-88EF-4369-A188-E65CD84D5F30}"/>
    <cellStyle name="20% - Accent3 4 5 3" xfId="6180" xr:uid="{00000000-0005-0000-0000-0000CA010000}"/>
    <cellStyle name="20% - Accent3 4 5 3 2" xfId="31519" xr:uid="{ED30004F-E8B4-457D-A1AF-2450E5285AC1}"/>
    <cellStyle name="20% - Accent3 4 5 3 3" xfId="23078" xr:uid="{E58D6287-521C-442F-856F-A223A4F9CF69}"/>
    <cellStyle name="20% - Accent3 4 5 3 4" xfId="14630" xr:uid="{25398A97-F7F1-4374-B287-9CEF96E1A1D6}"/>
    <cellStyle name="20% - Accent3 4 5 4" xfId="27301" xr:uid="{9BF15B9D-14D6-49B0-8E45-6A559B731188}"/>
    <cellStyle name="20% - Accent3 4 5 5" xfId="18860" xr:uid="{64E7060D-B02F-475E-BC10-F988B79C436D}"/>
    <cellStyle name="20% - Accent3 4 5 6" xfId="10412" xr:uid="{4BC8A734-DD50-4215-8E22-E4F14C5D2780}"/>
    <cellStyle name="20% - Accent3 4 6" xfId="2287" xr:uid="{00000000-0005-0000-0000-0000CB010000}"/>
    <cellStyle name="20% - Accent3 4 6 2" xfId="6593" xr:uid="{00000000-0005-0000-0000-0000CC010000}"/>
    <cellStyle name="20% - Accent3 4 6 2 2" xfId="31932" xr:uid="{55A7AA1C-AE21-42C9-966A-65EAD8F54F7E}"/>
    <cellStyle name="20% - Accent3 4 6 2 3" xfId="23491" xr:uid="{0BC1A400-5862-4700-881A-4D5BBB6A57BA}"/>
    <cellStyle name="20% - Accent3 4 6 2 4" xfId="15043" xr:uid="{8F40CB66-C51A-4755-9520-B6AF51DF5DC2}"/>
    <cellStyle name="20% - Accent3 4 6 3" xfId="27714" xr:uid="{7ED026DB-059A-4D7F-97A5-B1208CFE5052}"/>
    <cellStyle name="20% - Accent3 4 6 4" xfId="19273" xr:uid="{3E75A3F8-0318-47F8-97B7-9187151AB526}"/>
    <cellStyle name="20% - Accent3 4 6 5" xfId="10825" xr:uid="{74D3F0ED-CE58-49F0-96D8-F53C42A4C752}"/>
    <cellStyle name="20% - Accent3 4 7" xfId="4527" xr:uid="{00000000-0005-0000-0000-0000CD010000}"/>
    <cellStyle name="20% - Accent3 4 7 2" xfId="29866" xr:uid="{D57533A2-DC21-4A38-AFDD-60E373B7CDC8}"/>
    <cellStyle name="20% - Accent3 4 7 3" xfId="21425" xr:uid="{F02F719C-0E57-4B70-96B4-6353E4DB0517}"/>
    <cellStyle name="20% - Accent3 4 7 4" xfId="12977" xr:uid="{49FE0D01-93E7-4E5E-AE1A-521E86552B86}"/>
    <cellStyle name="20% - Accent3 4 8" xfId="25648" xr:uid="{D6383166-F7D9-4092-92CD-54C964A1249B}"/>
    <cellStyle name="20% - Accent3 4 9" xfId="17207" xr:uid="{4420E7AB-86B4-4A7B-893F-C3E913D25ADE}"/>
    <cellStyle name="20% - Accent3 5" xfId="586" xr:uid="{00000000-0005-0000-0000-0000CE010000}"/>
    <cellStyle name="20% - Accent3 5 2" xfId="2857" xr:uid="{00000000-0005-0000-0000-0000CF010000}"/>
    <cellStyle name="20% - Accent3 5 2 2" xfId="7079" xr:uid="{00000000-0005-0000-0000-0000D0010000}"/>
    <cellStyle name="20% - Accent3 5 2 2 2" xfId="32418" xr:uid="{D8F7A260-DE34-4B63-9CA4-A80086CB8D14}"/>
    <cellStyle name="20% - Accent3 5 2 2 3" xfId="23977" xr:uid="{75D75849-3578-4D4A-8CAC-27A7E61F758E}"/>
    <cellStyle name="20% - Accent3 5 2 2 4" xfId="15529" xr:uid="{E7EED465-4649-4266-9ED4-38F8E86640B7}"/>
    <cellStyle name="20% - Accent3 5 2 3" xfId="28200" xr:uid="{2542A0EF-0BD8-487A-A757-9A88E324C71B}"/>
    <cellStyle name="20% - Accent3 5 2 4" xfId="19759" xr:uid="{1BE72CEB-8F03-43FF-B346-00313F993094}"/>
    <cellStyle name="20% - Accent3 5 2 5" xfId="11311" xr:uid="{2F930AF6-DCCB-45FF-8027-E3F3787711D4}"/>
    <cellStyle name="20% - Accent3 5 3" xfId="4934" xr:uid="{00000000-0005-0000-0000-0000D1010000}"/>
    <cellStyle name="20% - Accent3 5 3 2" xfId="30273" xr:uid="{CB547F30-7323-4C76-A554-D1C9B9190C14}"/>
    <cellStyle name="20% - Accent3 5 3 3" xfId="21832" xr:uid="{565A3088-AEB3-451E-A5F6-94A9E32C6263}"/>
    <cellStyle name="20% - Accent3 5 3 4" xfId="13384" xr:uid="{1046B6DD-6963-4900-B29E-D710A5A105A1}"/>
    <cellStyle name="20% - Accent3 5 4" xfId="26055" xr:uid="{B2382AE2-5C51-43B0-8C16-4CDE72CFD3C7}"/>
    <cellStyle name="20% - Accent3 5 5" xfId="17614" xr:uid="{839AF208-6F02-43C6-87F0-F48C6BEE1287}"/>
    <cellStyle name="20% - Accent3 5 6" xfId="9166" xr:uid="{C0FB01BA-167A-4B52-98CC-70E932AB9073}"/>
    <cellStyle name="20% - Accent3 6" xfId="1039" xr:uid="{00000000-0005-0000-0000-0000D2010000}"/>
    <cellStyle name="20% - Accent3 6 2" xfId="3270" xr:uid="{00000000-0005-0000-0000-0000D3010000}"/>
    <cellStyle name="20% - Accent3 6 2 2" xfId="7492" xr:uid="{00000000-0005-0000-0000-0000D4010000}"/>
    <cellStyle name="20% - Accent3 6 2 2 2" xfId="32831" xr:uid="{154E34F0-CCB9-4F92-A948-E8728DEBE3C6}"/>
    <cellStyle name="20% - Accent3 6 2 2 3" xfId="24390" xr:uid="{328E61F9-8F39-4C92-8DAA-A12673CCA1C2}"/>
    <cellStyle name="20% - Accent3 6 2 2 4" xfId="15942" xr:uid="{634C71E5-757B-47BD-9944-5EAB63FFD041}"/>
    <cellStyle name="20% - Accent3 6 2 3" xfId="28613" xr:uid="{6C0B9D73-C75B-46A8-8F76-C607F903E38F}"/>
    <cellStyle name="20% - Accent3 6 2 4" xfId="20172" xr:uid="{DBDF98A0-DEF7-4320-A7BE-53BD98402198}"/>
    <cellStyle name="20% - Accent3 6 2 5" xfId="11724" xr:uid="{4ACDA3E2-0B58-41BB-BA76-20EBAEBE33BA}"/>
    <cellStyle name="20% - Accent3 6 3" xfId="5347" xr:uid="{00000000-0005-0000-0000-0000D5010000}"/>
    <cellStyle name="20% - Accent3 6 3 2" xfId="30686" xr:uid="{E3921D4A-8C9D-495A-94C9-121F5E0E0A87}"/>
    <cellStyle name="20% - Accent3 6 3 3" xfId="22245" xr:uid="{738293D1-3679-4BD2-A920-C22BEF429778}"/>
    <cellStyle name="20% - Accent3 6 3 4" xfId="13797" xr:uid="{8BC266A2-1354-4E18-B736-5D333A0E6E8D}"/>
    <cellStyle name="20% - Accent3 6 4" xfId="26468" xr:uid="{FB712F23-83DA-495A-9371-43E995D72C65}"/>
    <cellStyle name="20% - Accent3 6 5" xfId="18027" xr:uid="{FD8BBB9C-2291-4DB8-9D83-458AF97D0979}"/>
    <cellStyle name="20% - Accent3 6 6" xfId="9579" xr:uid="{282E8685-411B-4549-957F-00682A2B5AAD}"/>
    <cellStyle name="20% - Accent3 7" xfId="1453" xr:uid="{00000000-0005-0000-0000-0000D6010000}"/>
    <cellStyle name="20% - Accent3 7 2" xfId="3683" xr:uid="{00000000-0005-0000-0000-0000D7010000}"/>
    <cellStyle name="20% - Accent3 7 2 2" xfId="7905" xr:uid="{00000000-0005-0000-0000-0000D8010000}"/>
    <cellStyle name="20% - Accent3 7 2 2 2" xfId="33244" xr:uid="{16C6E18D-5409-4207-8AC9-619D59BB106A}"/>
    <cellStyle name="20% - Accent3 7 2 2 3" xfId="24803" xr:uid="{0686A12D-6055-435A-ABDE-332C92D22940}"/>
    <cellStyle name="20% - Accent3 7 2 2 4" xfId="16355" xr:uid="{C774E41D-5567-40A4-AEEA-2AD6E4C06537}"/>
    <cellStyle name="20% - Accent3 7 2 3" xfId="29026" xr:uid="{57CCA220-BB87-4D9E-96C0-38E7C591417C}"/>
    <cellStyle name="20% - Accent3 7 2 4" xfId="20585" xr:uid="{8E0C9A61-08B4-45E9-91D2-DD871FFFE541}"/>
    <cellStyle name="20% - Accent3 7 2 5" xfId="12137" xr:uid="{2020ADE9-DAB2-439B-98F8-3DA3D0A4DECD}"/>
    <cellStyle name="20% - Accent3 7 3" xfId="5760" xr:uid="{00000000-0005-0000-0000-0000D9010000}"/>
    <cellStyle name="20% - Accent3 7 3 2" xfId="31099" xr:uid="{35D4A018-E2CD-4D6B-8E58-6A05305E87F6}"/>
    <cellStyle name="20% - Accent3 7 3 3" xfId="22658" xr:uid="{45FF97FE-D9F3-477E-AFE1-9E4D98E66A71}"/>
    <cellStyle name="20% - Accent3 7 3 4" xfId="14210" xr:uid="{03198CBC-A360-404A-B3D7-212087681444}"/>
    <cellStyle name="20% - Accent3 7 4" xfId="26881" xr:uid="{201CFA10-EC67-4D99-ACE3-7A64F335065A}"/>
    <cellStyle name="20% - Accent3 7 5" xfId="18440" xr:uid="{66666DAF-6C27-4625-928C-1011007B703B}"/>
    <cellStyle name="20% - Accent3 7 6" xfId="9992" xr:uid="{E293F56C-D99A-462F-BBE9-B14F979DD5FA}"/>
    <cellStyle name="20% - Accent3 8" xfId="1867" xr:uid="{00000000-0005-0000-0000-0000DA010000}"/>
    <cellStyle name="20% - Accent3 8 2" xfId="4096" xr:uid="{00000000-0005-0000-0000-0000DB010000}"/>
    <cellStyle name="20% - Accent3 8 2 2" xfId="8318" xr:uid="{00000000-0005-0000-0000-0000DC010000}"/>
    <cellStyle name="20% - Accent3 8 2 2 2" xfId="33657" xr:uid="{E39C1892-75D8-4A7A-85A3-F4F6843A6F80}"/>
    <cellStyle name="20% - Accent3 8 2 2 3" xfId="25216" xr:uid="{189B0D5B-D1C4-4A44-A1E9-F1097AD00548}"/>
    <cellStyle name="20% - Accent3 8 2 2 4" xfId="16768" xr:uid="{5CFF2042-B811-4A63-803E-B17114D8F2E1}"/>
    <cellStyle name="20% - Accent3 8 2 3" xfId="29439" xr:uid="{0A0440FD-44F2-473E-9F15-A8B2A2980C5D}"/>
    <cellStyle name="20% - Accent3 8 2 4" xfId="20998" xr:uid="{F5CFDD85-3CBC-48BB-B085-1813DCC25237}"/>
    <cellStyle name="20% - Accent3 8 2 5" xfId="12550" xr:uid="{4708752B-99F5-4C74-9E21-12F88896A59A}"/>
    <cellStyle name="20% - Accent3 8 3" xfId="6173" xr:uid="{00000000-0005-0000-0000-0000DD010000}"/>
    <cellStyle name="20% - Accent3 8 3 2" xfId="31512" xr:uid="{2FBFEB7E-F24B-44D0-9453-7141F0F24A2F}"/>
    <cellStyle name="20% - Accent3 8 3 3" xfId="23071" xr:uid="{F1C4410A-1C75-4B4E-B16E-C763FB82A074}"/>
    <cellStyle name="20% - Accent3 8 3 4" xfId="14623" xr:uid="{F302CC39-824F-4E68-8030-168F59765519}"/>
    <cellStyle name="20% - Accent3 8 4" xfId="27294" xr:uid="{D0F1EFBF-D70D-4707-92D8-F25AFBFDA1F3}"/>
    <cellStyle name="20% - Accent3 8 5" xfId="18853" xr:uid="{E31CABEC-25E0-471B-BFC1-2E16EE228302}"/>
    <cellStyle name="20% - Accent3 8 6" xfId="10405" xr:uid="{8AB14BA5-E4F9-4041-B667-F661A90F1BFD}"/>
    <cellStyle name="20% - Accent3 9" xfId="2280" xr:uid="{00000000-0005-0000-0000-0000DE010000}"/>
    <cellStyle name="20% - Accent3 9 2" xfId="6586" xr:uid="{00000000-0005-0000-0000-0000DF010000}"/>
    <cellStyle name="20% - Accent3 9 2 2" xfId="31925" xr:uid="{C9206528-295B-470E-8E9D-042C91379A97}"/>
    <cellStyle name="20% - Accent3 9 2 3" xfId="23484" xr:uid="{969B449A-F465-4314-9DA1-A401311A4B5F}"/>
    <cellStyle name="20% - Accent3 9 2 4" xfId="15036" xr:uid="{E9A3601E-3CC9-4A3C-B9C5-09B60C6CAE86}"/>
    <cellStyle name="20% - Accent3 9 3" xfId="27707" xr:uid="{6A2044D1-411A-435B-B202-575BB3FA5E84}"/>
    <cellStyle name="20% - Accent3 9 4" xfId="19266" xr:uid="{4099305D-AB95-47EA-A3EB-90194CF07A32}"/>
    <cellStyle name="20% - Accent3 9 5" xfId="10818" xr:uid="{53B5CD61-7EAC-41F3-9A10-B918C3C53C6A}"/>
    <cellStyle name="20% - Accent4" xfId="25" builtinId="42" customBuiltin="1"/>
    <cellStyle name="20% - Accent4 10" xfId="4528" xr:uid="{00000000-0005-0000-0000-0000E1010000}"/>
    <cellStyle name="20% - Accent4 10 2" xfId="29867" xr:uid="{AFF2E7D9-361C-426A-96B6-34CA7FE1C874}"/>
    <cellStyle name="20% - Accent4 10 3" xfId="21426" xr:uid="{A042ABDB-2F54-4A08-AF54-5DAB20440587}"/>
    <cellStyle name="20% - Accent4 10 4" xfId="12978" xr:uid="{FE6DADDC-859B-4E5A-A9C6-9E1951CCD1CC}"/>
    <cellStyle name="20% - Accent4 11" xfId="25649" xr:uid="{4608BB46-0707-48AA-A840-74491A7F8EDA}"/>
    <cellStyle name="20% - Accent4 12" xfId="17208" xr:uid="{4B5910AF-EE66-41DB-A85A-5CBD18FAE97C}"/>
    <cellStyle name="20% - Accent4 13" xfId="8760" xr:uid="{EAAD51C0-3398-4CDD-B895-8944C88E86CD}"/>
    <cellStyle name="20% - Accent4 2" xfId="26" xr:uid="{00000000-0005-0000-0000-0000E2010000}"/>
    <cellStyle name="20% - Accent4 2 10" xfId="25650" xr:uid="{96F99DAB-7B92-47AE-8614-2782B6C2A7C3}"/>
    <cellStyle name="20% - Accent4 2 11" xfId="17209" xr:uid="{6D333720-E9C6-4856-8A7F-AB54C0538729}"/>
    <cellStyle name="20% - Accent4 2 12" xfId="8761" xr:uid="{7FA7FE95-2EE0-41DE-B54B-85A5D80FC076}"/>
    <cellStyle name="20% - Accent4 2 2" xfId="27" xr:uid="{00000000-0005-0000-0000-0000E3010000}"/>
    <cellStyle name="20% - Accent4 2 2 10" xfId="17210" xr:uid="{5F8FFF5F-C243-49F0-A4D3-4E54316C6296}"/>
    <cellStyle name="20% - Accent4 2 2 11" xfId="8762" xr:uid="{5F675FC5-5EA1-4BFF-AA5C-1F5F8EF35A14}"/>
    <cellStyle name="20% - Accent4 2 2 2" xfId="28" xr:uid="{00000000-0005-0000-0000-0000E4010000}"/>
    <cellStyle name="20% - Accent4 2 2 2 10" xfId="8763" xr:uid="{BFAC81C1-BDFE-4C28-BD3B-F172C34BD82A}"/>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32429" xr:uid="{DF32A821-D4E5-4E3E-A5AB-F2A45894E72E}"/>
    <cellStyle name="20% - Accent4 2 2 2 2 2 2 3" xfId="23988" xr:uid="{42BC9DFB-592D-47A2-8E3E-2255A099F109}"/>
    <cellStyle name="20% - Accent4 2 2 2 2 2 2 4" xfId="15540" xr:uid="{7944486D-82C3-41FF-B5E1-EDE82ACBFE45}"/>
    <cellStyle name="20% - Accent4 2 2 2 2 2 3" xfId="28211" xr:uid="{BA13799C-0951-492A-B193-7888F177B64C}"/>
    <cellStyle name="20% - Accent4 2 2 2 2 2 4" xfId="19770" xr:uid="{5AB11325-6744-4478-AA93-02D29B68165A}"/>
    <cellStyle name="20% - Accent4 2 2 2 2 2 5" xfId="11322" xr:uid="{FFF961AB-26BE-412A-9966-02623FC29B8D}"/>
    <cellStyle name="20% - Accent4 2 2 2 2 3" xfId="4945" xr:uid="{00000000-0005-0000-0000-0000E8010000}"/>
    <cellStyle name="20% - Accent4 2 2 2 2 3 2" xfId="30284" xr:uid="{4393FD5D-3937-4B7E-9B7B-49696C8EF6BD}"/>
    <cellStyle name="20% - Accent4 2 2 2 2 3 3" xfId="21843" xr:uid="{18EB5F52-B491-4BC6-8C6F-8DD7B242C04C}"/>
    <cellStyle name="20% - Accent4 2 2 2 2 3 4" xfId="13395" xr:uid="{19F6819E-58EA-42FF-BE0F-1E5CCA783136}"/>
    <cellStyle name="20% - Accent4 2 2 2 2 4" xfId="26066" xr:uid="{D20CFC2D-6C9E-4F31-9285-58C722CB1689}"/>
    <cellStyle name="20% - Accent4 2 2 2 2 5" xfId="17625" xr:uid="{DA994344-7D0F-4FF8-8FF5-7C8A65FE5F6C}"/>
    <cellStyle name="20% - Accent4 2 2 2 2 6" xfId="9177" xr:uid="{33B5F422-2209-452D-A6C7-3E9066709E91}"/>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32842" xr:uid="{2F85ABCE-83C9-418D-B1EB-113246969FE0}"/>
    <cellStyle name="20% - Accent4 2 2 2 3 2 2 3" xfId="24401" xr:uid="{7A375CA6-182B-4FC4-9219-05829C04C786}"/>
    <cellStyle name="20% - Accent4 2 2 2 3 2 2 4" xfId="15953" xr:uid="{7F5376FE-E69B-40E0-AC6D-A9B9F05E3A71}"/>
    <cellStyle name="20% - Accent4 2 2 2 3 2 3" xfId="28624" xr:uid="{D6D5B8D4-0497-40FD-8841-D7DE2B34D957}"/>
    <cellStyle name="20% - Accent4 2 2 2 3 2 4" xfId="20183" xr:uid="{70BDE5C0-18AD-4CCE-A939-034C650961CD}"/>
    <cellStyle name="20% - Accent4 2 2 2 3 2 5" xfId="11735" xr:uid="{68E6763E-C2A1-4822-AB49-1B7240B090F6}"/>
    <cellStyle name="20% - Accent4 2 2 2 3 3" xfId="5358" xr:uid="{00000000-0005-0000-0000-0000EC010000}"/>
    <cellStyle name="20% - Accent4 2 2 2 3 3 2" xfId="30697" xr:uid="{7A21297C-B2D0-4D29-B9C8-CB2D17BEB3B8}"/>
    <cellStyle name="20% - Accent4 2 2 2 3 3 3" xfId="22256" xr:uid="{D39402EB-C914-4B82-A55D-FB6EE87A371E}"/>
    <cellStyle name="20% - Accent4 2 2 2 3 3 4" xfId="13808" xr:uid="{4500D75E-DAD2-41EE-88F7-BFB8CA1014DC}"/>
    <cellStyle name="20% - Accent4 2 2 2 3 4" xfId="26479" xr:uid="{0DD33F26-6ACE-4191-8B99-667F874C2A25}"/>
    <cellStyle name="20% - Accent4 2 2 2 3 5" xfId="18038" xr:uid="{76277702-F0E6-45FD-89B6-645E69EE7DBC}"/>
    <cellStyle name="20% - Accent4 2 2 2 3 6" xfId="9590" xr:uid="{52EE22B6-4C97-4850-B34C-6453830A0279}"/>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33255" xr:uid="{C6F3FCFF-48CE-4EB6-B9B9-A7A305961745}"/>
    <cellStyle name="20% - Accent4 2 2 2 4 2 2 3" xfId="24814" xr:uid="{992C517B-DE9C-4BB7-9FB4-AA2407F80EDD}"/>
    <cellStyle name="20% - Accent4 2 2 2 4 2 2 4" xfId="16366" xr:uid="{C3261A3C-EAF9-4D78-A780-C665A7E4FE8C}"/>
    <cellStyle name="20% - Accent4 2 2 2 4 2 3" xfId="29037" xr:uid="{8C222B5F-78BD-4C2F-AA9C-80D6B32B3C66}"/>
    <cellStyle name="20% - Accent4 2 2 2 4 2 4" xfId="20596" xr:uid="{F5B43332-29ED-4B01-890F-A05B0BDF4A60}"/>
    <cellStyle name="20% - Accent4 2 2 2 4 2 5" xfId="12148" xr:uid="{3EF6F27B-1FE9-43C8-8D15-B2CB1E712863}"/>
    <cellStyle name="20% - Accent4 2 2 2 4 3" xfId="5771" xr:uid="{00000000-0005-0000-0000-0000F0010000}"/>
    <cellStyle name="20% - Accent4 2 2 2 4 3 2" xfId="31110" xr:uid="{F4CA191C-440B-470F-8F59-5FA667404995}"/>
    <cellStyle name="20% - Accent4 2 2 2 4 3 3" xfId="22669" xr:uid="{4BF1D81D-F344-4924-948A-2E6AC57581A5}"/>
    <cellStyle name="20% - Accent4 2 2 2 4 3 4" xfId="14221" xr:uid="{4F15D1F8-7597-4753-9CCE-AEAE4B10FC85}"/>
    <cellStyle name="20% - Accent4 2 2 2 4 4" xfId="26892" xr:uid="{6749BC1C-FEDB-48B7-8290-D95063B7FCBE}"/>
    <cellStyle name="20% - Accent4 2 2 2 4 5" xfId="18451" xr:uid="{6E46BD80-F00E-4508-9FCB-3CE9D8433286}"/>
    <cellStyle name="20% - Accent4 2 2 2 4 6" xfId="10003" xr:uid="{CE1E41BE-B69B-41CD-A006-CB8B10A05B25}"/>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33668" xr:uid="{262EC1CF-BF19-4F70-8C2C-45F9FB18F23B}"/>
    <cellStyle name="20% - Accent4 2 2 2 5 2 2 3" xfId="25227" xr:uid="{365043EA-02A2-4C42-A820-79D43F165183}"/>
    <cellStyle name="20% - Accent4 2 2 2 5 2 2 4" xfId="16779" xr:uid="{B636AAEE-EF95-4279-AC11-397592460BAE}"/>
    <cellStyle name="20% - Accent4 2 2 2 5 2 3" xfId="29450" xr:uid="{73F01241-EA00-494E-90C0-A0A362A21EA0}"/>
    <cellStyle name="20% - Accent4 2 2 2 5 2 4" xfId="21009" xr:uid="{F3A62142-7B21-4A84-8873-5D59015675A2}"/>
    <cellStyle name="20% - Accent4 2 2 2 5 2 5" xfId="12561" xr:uid="{EC2F9D42-DD44-4588-9F18-B0D6C1651B45}"/>
    <cellStyle name="20% - Accent4 2 2 2 5 3" xfId="6184" xr:uid="{00000000-0005-0000-0000-0000F4010000}"/>
    <cellStyle name="20% - Accent4 2 2 2 5 3 2" xfId="31523" xr:uid="{604617A8-15B6-4E01-803B-DAB4E4713542}"/>
    <cellStyle name="20% - Accent4 2 2 2 5 3 3" xfId="23082" xr:uid="{BEB49804-8469-4CF4-9595-2FCD1E708DAB}"/>
    <cellStyle name="20% - Accent4 2 2 2 5 3 4" xfId="14634" xr:uid="{8B96F8D6-86B5-44DF-B921-6C973D7B5A71}"/>
    <cellStyle name="20% - Accent4 2 2 2 5 4" xfId="27305" xr:uid="{60AA3E03-A162-410E-A22C-DB3FA587928A}"/>
    <cellStyle name="20% - Accent4 2 2 2 5 5" xfId="18864" xr:uid="{FA59E69A-AF6D-4EEF-8067-E7946C98C636}"/>
    <cellStyle name="20% - Accent4 2 2 2 5 6" xfId="10416" xr:uid="{2F3D5235-9893-4A2E-B149-95D399228FAB}"/>
    <cellStyle name="20% - Accent4 2 2 2 6" xfId="2291" xr:uid="{00000000-0005-0000-0000-0000F5010000}"/>
    <cellStyle name="20% - Accent4 2 2 2 6 2" xfId="6597" xr:uid="{00000000-0005-0000-0000-0000F6010000}"/>
    <cellStyle name="20% - Accent4 2 2 2 6 2 2" xfId="31936" xr:uid="{EBAD07D2-B4C3-446C-B5C7-EEB8B7326380}"/>
    <cellStyle name="20% - Accent4 2 2 2 6 2 3" xfId="23495" xr:uid="{A49F9E6D-F548-4CE8-BBBC-9BE79FAABCA8}"/>
    <cellStyle name="20% - Accent4 2 2 2 6 2 4" xfId="15047" xr:uid="{780FCFB1-01C6-48AA-BC40-AB3070E4A160}"/>
    <cellStyle name="20% - Accent4 2 2 2 6 3" xfId="27718" xr:uid="{51E62B74-E5E1-4709-B69F-38BF598E2DC0}"/>
    <cellStyle name="20% - Accent4 2 2 2 6 4" xfId="19277" xr:uid="{572FCF49-7F9E-4BF1-B218-F97973EB71C6}"/>
    <cellStyle name="20% - Accent4 2 2 2 6 5" xfId="10829" xr:uid="{60B8A783-44DC-4318-84B7-8ADD0485C2FD}"/>
    <cellStyle name="20% - Accent4 2 2 2 7" xfId="4531" xr:uid="{00000000-0005-0000-0000-0000F7010000}"/>
    <cellStyle name="20% - Accent4 2 2 2 7 2" xfId="29870" xr:uid="{2A6BFE0B-3C0A-446C-B367-E365650CF937}"/>
    <cellStyle name="20% - Accent4 2 2 2 7 3" xfId="21429" xr:uid="{20AC454E-CA63-4D9F-9D0A-908C3E48B88D}"/>
    <cellStyle name="20% - Accent4 2 2 2 7 4" xfId="12981" xr:uid="{7F425CAF-5ABA-4375-956B-77F36AC1CD12}"/>
    <cellStyle name="20% - Accent4 2 2 2 8" xfId="25652" xr:uid="{BAC104E8-F28B-44CC-8C70-57AA21EC554D}"/>
    <cellStyle name="20% - Accent4 2 2 2 9" xfId="17211" xr:uid="{E61817DB-0291-4608-8AD4-60A2E0FE517D}"/>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32428" xr:uid="{1E9D563C-2362-4D86-BE77-14FDC80D8E4F}"/>
    <cellStyle name="20% - Accent4 2 2 3 2 2 3" xfId="23987" xr:uid="{CC5F6DE1-3895-48D3-A7A3-6D737ABE1941}"/>
    <cellStyle name="20% - Accent4 2 2 3 2 2 4" xfId="15539" xr:uid="{714CE4D2-589E-4037-9B33-E0BC6A0218DF}"/>
    <cellStyle name="20% - Accent4 2 2 3 2 3" xfId="28210" xr:uid="{BEAED97F-105C-4DC8-AC01-3D7844D06A54}"/>
    <cellStyle name="20% - Accent4 2 2 3 2 4" xfId="19769" xr:uid="{52B1DA3B-5572-4CB9-82BE-D291C78C0097}"/>
    <cellStyle name="20% - Accent4 2 2 3 2 5" xfId="11321" xr:uid="{B62A6E20-D5FF-4E58-A6E2-712A580BF95E}"/>
    <cellStyle name="20% - Accent4 2 2 3 3" xfId="4944" xr:uid="{00000000-0005-0000-0000-0000FB010000}"/>
    <cellStyle name="20% - Accent4 2 2 3 3 2" xfId="30283" xr:uid="{7C083CC2-E8C6-4CEB-B36C-CA5AC933E8C4}"/>
    <cellStyle name="20% - Accent4 2 2 3 3 3" xfId="21842" xr:uid="{F2779B88-D511-4567-8C55-C3EECDDDEF3B}"/>
    <cellStyle name="20% - Accent4 2 2 3 3 4" xfId="13394" xr:uid="{0C2C2690-5CA0-44C8-BBAF-A39B6F1DEBA4}"/>
    <cellStyle name="20% - Accent4 2 2 3 4" xfId="26065" xr:uid="{B0981DF7-EFAF-4C4C-BBF9-0A598455B601}"/>
    <cellStyle name="20% - Accent4 2 2 3 5" xfId="17624" xr:uid="{8BA45D9D-EAC4-47D1-922C-238158A4C82F}"/>
    <cellStyle name="20% - Accent4 2 2 3 6" xfId="9176" xr:uid="{9C733466-8806-4930-88F7-EC6AAE4CCF07}"/>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32841" xr:uid="{40D05A77-0639-4721-BFDC-4732647E2AF2}"/>
    <cellStyle name="20% - Accent4 2 2 4 2 2 3" xfId="24400" xr:uid="{75CF866C-484E-4A24-A2EB-68D294D428D1}"/>
    <cellStyle name="20% - Accent4 2 2 4 2 2 4" xfId="15952" xr:uid="{0EEE5B7A-BA27-4D35-B44A-44F0B6919163}"/>
    <cellStyle name="20% - Accent4 2 2 4 2 3" xfId="28623" xr:uid="{7FDDD903-4DB9-46C1-85B5-51434472C983}"/>
    <cellStyle name="20% - Accent4 2 2 4 2 4" xfId="20182" xr:uid="{61E3F4B7-AC37-4D18-AA33-DA1E3190E710}"/>
    <cellStyle name="20% - Accent4 2 2 4 2 5" xfId="11734" xr:uid="{C1070F19-B8E9-4E77-8AA2-C26D51B2CB8C}"/>
    <cellStyle name="20% - Accent4 2 2 4 3" xfId="5357" xr:uid="{00000000-0005-0000-0000-0000FF010000}"/>
    <cellStyle name="20% - Accent4 2 2 4 3 2" xfId="30696" xr:uid="{7AE8270A-EA94-45EF-AE0E-647CF6C685D6}"/>
    <cellStyle name="20% - Accent4 2 2 4 3 3" xfId="22255" xr:uid="{207A2D70-86FF-4DBC-AFBE-047E8ABB0EDE}"/>
    <cellStyle name="20% - Accent4 2 2 4 3 4" xfId="13807" xr:uid="{228F6131-A6AE-4E3C-85A1-85A14AB1C284}"/>
    <cellStyle name="20% - Accent4 2 2 4 4" xfId="26478" xr:uid="{D9E9DBAF-99ED-49A3-83CC-7B073C0443D8}"/>
    <cellStyle name="20% - Accent4 2 2 4 5" xfId="18037" xr:uid="{96A4D5B7-85FB-4C44-ACF0-5E6BD9342D8A}"/>
    <cellStyle name="20% - Accent4 2 2 4 6" xfId="9589" xr:uid="{FF1B092A-F11C-4BD2-81AF-BC07FC5244A6}"/>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33254" xr:uid="{629A255A-FFA0-40DA-B8C6-975C620635CE}"/>
    <cellStyle name="20% - Accent4 2 2 5 2 2 3" xfId="24813" xr:uid="{33537116-8425-49FC-B6BB-F91A0720D421}"/>
    <cellStyle name="20% - Accent4 2 2 5 2 2 4" xfId="16365" xr:uid="{B7887964-9F4F-4F29-A220-CC2B34D9BB47}"/>
    <cellStyle name="20% - Accent4 2 2 5 2 3" xfId="29036" xr:uid="{7464149B-900F-4672-9B98-36190AEBF9DD}"/>
    <cellStyle name="20% - Accent4 2 2 5 2 4" xfId="20595" xr:uid="{07860398-C22D-43D7-AE6B-314A333714AA}"/>
    <cellStyle name="20% - Accent4 2 2 5 2 5" xfId="12147" xr:uid="{C96B8764-91D4-486C-A0FA-33271C92EFEF}"/>
    <cellStyle name="20% - Accent4 2 2 5 3" xfId="5770" xr:uid="{00000000-0005-0000-0000-000003020000}"/>
    <cellStyle name="20% - Accent4 2 2 5 3 2" xfId="31109" xr:uid="{F46B9811-7BBB-439D-B1A7-D53CAB700F28}"/>
    <cellStyle name="20% - Accent4 2 2 5 3 3" xfId="22668" xr:uid="{6A395130-0F34-489E-BBE5-1138FF0EDE5E}"/>
    <cellStyle name="20% - Accent4 2 2 5 3 4" xfId="14220" xr:uid="{4F41948B-6ADC-44B9-B295-265B2A191583}"/>
    <cellStyle name="20% - Accent4 2 2 5 4" xfId="26891" xr:uid="{03A7F642-6AF1-43CB-91F3-DEBA80F0C88A}"/>
    <cellStyle name="20% - Accent4 2 2 5 5" xfId="18450" xr:uid="{F86B3209-8524-4A12-8268-77BE869AD681}"/>
    <cellStyle name="20% - Accent4 2 2 5 6" xfId="10002" xr:uid="{E8DE2E63-8A71-41B7-BFAA-C9F2EFE0C4E5}"/>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33667" xr:uid="{2D1B039C-E26F-485A-8C38-232AAA9BA5F3}"/>
    <cellStyle name="20% - Accent4 2 2 6 2 2 3" xfId="25226" xr:uid="{071595EC-032F-4E97-AF27-3B2E99AD2A00}"/>
    <cellStyle name="20% - Accent4 2 2 6 2 2 4" xfId="16778" xr:uid="{AD56899D-7560-4890-B036-E111BFD34A53}"/>
    <cellStyle name="20% - Accent4 2 2 6 2 3" xfId="29449" xr:uid="{D29FA7E9-47E1-40E0-BD99-4C622F5C953A}"/>
    <cellStyle name="20% - Accent4 2 2 6 2 4" xfId="21008" xr:uid="{B028BB11-5CD1-440E-B817-C901FCD78B1B}"/>
    <cellStyle name="20% - Accent4 2 2 6 2 5" xfId="12560" xr:uid="{3F5F2F71-204C-4250-8E7B-8E1D191CF6B1}"/>
    <cellStyle name="20% - Accent4 2 2 6 3" xfId="6183" xr:uid="{00000000-0005-0000-0000-000007020000}"/>
    <cellStyle name="20% - Accent4 2 2 6 3 2" xfId="31522" xr:uid="{CBAD4271-04D1-4E34-904A-69E557B579F3}"/>
    <cellStyle name="20% - Accent4 2 2 6 3 3" xfId="23081" xr:uid="{921B245C-79F8-4296-BF28-1661DCCF4A16}"/>
    <cellStyle name="20% - Accent4 2 2 6 3 4" xfId="14633" xr:uid="{A4D60987-5F86-4006-97FC-490B4ADD69DA}"/>
    <cellStyle name="20% - Accent4 2 2 6 4" xfId="27304" xr:uid="{0DB64AAC-6D7D-4729-8136-54C67B1A5BF4}"/>
    <cellStyle name="20% - Accent4 2 2 6 5" xfId="18863" xr:uid="{F55A558B-4E76-4E44-AF36-B95B4179C9D3}"/>
    <cellStyle name="20% - Accent4 2 2 6 6" xfId="10415" xr:uid="{236C4295-42B0-4F33-B73C-DE9F3A5ED98B}"/>
    <cellStyle name="20% - Accent4 2 2 7" xfId="2290" xr:uid="{00000000-0005-0000-0000-000008020000}"/>
    <cellStyle name="20% - Accent4 2 2 7 2" xfId="6596" xr:uid="{00000000-0005-0000-0000-000009020000}"/>
    <cellStyle name="20% - Accent4 2 2 7 2 2" xfId="31935" xr:uid="{31D6FC63-F463-4A5C-9AAC-C4FA148D9C8C}"/>
    <cellStyle name="20% - Accent4 2 2 7 2 3" xfId="23494" xr:uid="{E5233BFE-E088-48D2-BD39-81F0E608C04D}"/>
    <cellStyle name="20% - Accent4 2 2 7 2 4" xfId="15046" xr:uid="{6C99833A-D6D7-4D84-A580-90D950A7820F}"/>
    <cellStyle name="20% - Accent4 2 2 7 3" xfId="27717" xr:uid="{D1B5FE9C-B872-4E3D-A7AE-ECF75878407C}"/>
    <cellStyle name="20% - Accent4 2 2 7 4" xfId="19276" xr:uid="{5C9F63BB-09F2-435F-83D2-A53C58D066B2}"/>
    <cellStyle name="20% - Accent4 2 2 7 5" xfId="10828" xr:uid="{D5E4F95A-3DFF-4E7A-BE93-4A827DAE191A}"/>
    <cellStyle name="20% - Accent4 2 2 8" xfId="4530" xr:uid="{00000000-0005-0000-0000-00000A020000}"/>
    <cellStyle name="20% - Accent4 2 2 8 2" xfId="29869" xr:uid="{279B87D3-5CFD-4D25-AB59-8F874BDCC5D7}"/>
    <cellStyle name="20% - Accent4 2 2 8 3" xfId="21428" xr:uid="{473BA182-763D-4BAD-BC00-FF2775061277}"/>
    <cellStyle name="20% - Accent4 2 2 8 4" xfId="12980" xr:uid="{F301ABEC-CA99-4905-913E-F7AECD7275A9}"/>
    <cellStyle name="20% - Accent4 2 2 9" xfId="25651" xr:uid="{0D12973A-516A-475E-926B-5B827806EA8E}"/>
    <cellStyle name="20% - Accent4 2 3" xfId="29" xr:uid="{00000000-0005-0000-0000-00000B020000}"/>
    <cellStyle name="20% - Accent4 2 3 10" xfId="8764" xr:uid="{26B48867-9440-427E-86A2-B8178E3C0DC8}"/>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32430" xr:uid="{40067FA5-4987-4A56-9B30-578DA26BC223}"/>
    <cellStyle name="20% - Accent4 2 3 2 2 2 3" xfId="23989" xr:uid="{474B3903-A042-4DD5-A394-ACE265F9D9BB}"/>
    <cellStyle name="20% - Accent4 2 3 2 2 2 4" xfId="15541" xr:uid="{D220A596-C08A-4459-AF4A-F37BC1636193}"/>
    <cellStyle name="20% - Accent4 2 3 2 2 3" xfId="28212" xr:uid="{473A517B-168A-4C34-A6E3-9F090978A877}"/>
    <cellStyle name="20% - Accent4 2 3 2 2 4" xfId="19771" xr:uid="{F35A4107-D8B5-4F69-9E2C-7FEB4B25197C}"/>
    <cellStyle name="20% - Accent4 2 3 2 2 5" xfId="11323" xr:uid="{FCEC226C-B1DD-42CA-8777-7207A4D4F0A9}"/>
    <cellStyle name="20% - Accent4 2 3 2 3" xfId="4946" xr:uid="{00000000-0005-0000-0000-00000F020000}"/>
    <cellStyle name="20% - Accent4 2 3 2 3 2" xfId="30285" xr:uid="{A664EEEF-9F70-4B74-A6C2-B62C132BD348}"/>
    <cellStyle name="20% - Accent4 2 3 2 3 3" xfId="21844" xr:uid="{D4E5469B-1638-4042-B5D2-61E66A9496C3}"/>
    <cellStyle name="20% - Accent4 2 3 2 3 4" xfId="13396" xr:uid="{3084CD94-D4B3-43BA-9E04-9A6BCD2F2A3F}"/>
    <cellStyle name="20% - Accent4 2 3 2 4" xfId="26067" xr:uid="{B8E7081E-92CC-4A60-BD86-50AEB4C08B1E}"/>
    <cellStyle name="20% - Accent4 2 3 2 5" xfId="17626" xr:uid="{0E650AB9-4FFF-467C-84D1-F63A5131459A}"/>
    <cellStyle name="20% - Accent4 2 3 2 6" xfId="9178" xr:uid="{FD6872A8-99D2-48C1-98AD-131302FA100F}"/>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32843" xr:uid="{2826AB3E-54DC-43F4-AE6E-B85898912FB8}"/>
    <cellStyle name="20% - Accent4 2 3 3 2 2 3" xfId="24402" xr:uid="{74F06FF2-D9CC-4836-9281-7A72C0D01BE3}"/>
    <cellStyle name="20% - Accent4 2 3 3 2 2 4" xfId="15954" xr:uid="{2A75877A-B450-4101-9F08-094F69EE7C4D}"/>
    <cellStyle name="20% - Accent4 2 3 3 2 3" xfId="28625" xr:uid="{ABB4386F-62A9-43F5-9D42-0070F872B3F0}"/>
    <cellStyle name="20% - Accent4 2 3 3 2 4" xfId="20184" xr:uid="{431C5744-DD87-4FBA-83FF-A6771659D80F}"/>
    <cellStyle name="20% - Accent4 2 3 3 2 5" xfId="11736" xr:uid="{D76858F5-DB06-4D88-942B-A02CAA4C3BE3}"/>
    <cellStyle name="20% - Accent4 2 3 3 3" xfId="5359" xr:uid="{00000000-0005-0000-0000-000013020000}"/>
    <cellStyle name="20% - Accent4 2 3 3 3 2" xfId="30698" xr:uid="{758FB517-C193-49E9-9237-32F34355A9A0}"/>
    <cellStyle name="20% - Accent4 2 3 3 3 3" xfId="22257" xr:uid="{FE768304-FD0A-475C-B257-EC3D58264ADB}"/>
    <cellStyle name="20% - Accent4 2 3 3 3 4" xfId="13809" xr:uid="{D2A6DA56-EC50-4DBC-9DCF-58AFF0141A4C}"/>
    <cellStyle name="20% - Accent4 2 3 3 4" xfId="26480" xr:uid="{DD2AFCB5-AA4C-473E-90ED-CA817E955635}"/>
    <cellStyle name="20% - Accent4 2 3 3 5" xfId="18039" xr:uid="{6F92E70D-1334-42FB-B41B-9E56EE1DC5EA}"/>
    <cellStyle name="20% - Accent4 2 3 3 6" xfId="9591" xr:uid="{52808622-446E-45D7-8F91-5EE8E7301F02}"/>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33256" xr:uid="{1D06CD9C-B65E-4AC9-9C15-6D4BB7E55100}"/>
    <cellStyle name="20% - Accent4 2 3 4 2 2 3" xfId="24815" xr:uid="{5BE1AA5C-F577-4D1B-A446-1E19235E57CC}"/>
    <cellStyle name="20% - Accent4 2 3 4 2 2 4" xfId="16367" xr:uid="{9735CAC8-C020-4453-A873-4E6FBB67F80A}"/>
    <cellStyle name="20% - Accent4 2 3 4 2 3" xfId="29038" xr:uid="{77A305EA-9754-4FBD-BF4A-37678317E517}"/>
    <cellStyle name="20% - Accent4 2 3 4 2 4" xfId="20597" xr:uid="{7C9430FD-4F12-424D-9284-CFB3A3BF69FC}"/>
    <cellStyle name="20% - Accent4 2 3 4 2 5" xfId="12149" xr:uid="{7328BBC3-A5DD-4373-A9F4-C72516467155}"/>
    <cellStyle name="20% - Accent4 2 3 4 3" xfId="5772" xr:uid="{00000000-0005-0000-0000-000017020000}"/>
    <cellStyle name="20% - Accent4 2 3 4 3 2" xfId="31111" xr:uid="{DB89169B-8F33-447D-ABF5-368500368895}"/>
    <cellStyle name="20% - Accent4 2 3 4 3 3" xfId="22670" xr:uid="{A544C7E1-B2EB-46A6-8712-5FA17B234E2B}"/>
    <cellStyle name="20% - Accent4 2 3 4 3 4" xfId="14222" xr:uid="{D8EBA085-20AB-46D7-BCF3-469214DC54C3}"/>
    <cellStyle name="20% - Accent4 2 3 4 4" xfId="26893" xr:uid="{B72F2EFF-67C7-4232-AED0-A9ED138D7F7B}"/>
    <cellStyle name="20% - Accent4 2 3 4 5" xfId="18452" xr:uid="{5DBEDD0E-A59B-4463-9AE7-C4D1F6F3D721}"/>
    <cellStyle name="20% - Accent4 2 3 4 6" xfId="10004" xr:uid="{7F656EDC-5608-4B49-8C4F-EA568C223C88}"/>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33669" xr:uid="{377173D9-A63A-49E9-8041-C5D1936E7D3C}"/>
    <cellStyle name="20% - Accent4 2 3 5 2 2 3" xfId="25228" xr:uid="{991DB966-9279-4C05-98FA-EB26347D8D64}"/>
    <cellStyle name="20% - Accent4 2 3 5 2 2 4" xfId="16780" xr:uid="{F8088930-49A8-48C1-A360-B9CA9B77E3A7}"/>
    <cellStyle name="20% - Accent4 2 3 5 2 3" xfId="29451" xr:uid="{0011BA65-41B8-4298-9AA5-71A8286A8556}"/>
    <cellStyle name="20% - Accent4 2 3 5 2 4" xfId="21010" xr:uid="{85351316-43D3-44C1-AA2B-DD2F0C94B900}"/>
    <cellStyle name="20% - Accent4 2 3 5 2 5" xfId="12562" xr:uid="{8EA38479-C1FC-4EA0-9639-2B338E805BFF}"/>
    <cellStyle name="20% - Accent4 2 3 5 3" xfId="6185" xr:uid="{00000000-0005-0000-0000-00001B020000}"/>
    <cellStyle name="20% - Accent4 2 3 5 3 2" xfId="31524" xr:uid="{0632CE5C-642C-4057-8D12-0F64962DB80E}"/>
    <cellStyle name="20% - Accent4 2 3 5 3 3" xfId="23083" xr:uid="{E9523446-FADE-460A-B391-F8A43C88BCF8}"/>
    <cellStyle name="20% - Accent4 2 3 5 3 4" xfId="14635" xr:uid="{D001D917-9F1D-4E89-8F9C-EA2182247974}"/>
    <cellStyle name="20% - Accent4 2 3 5 4" xfId="27306" xr:uid="{EA936154-9AB8-4F5A-AE59-8A92BF48D345}"/>
    <cellStyle name="20% - Accent4 2 3 5 5" xfId="18865" xr:uid="{9296D987-7BC8-4D80-88A7-21AE3B76AC4D}"/>
    <cellStyle name="20% - Accent4 2 3 5 6" xfId="10417" xr:uid="{A6F995B0-A66D-4F50-A8F1-44F9D973A735}"/>
    <cellStyle name="20% - Accent4 2 3 6" xfId="2292" xr:uid="{00000000-0005-0000-0000-00001C020000}"/>
    <cellStyle name="20% - Accent4 2 3 6 2" xfId="6598" xr:uid="{00000000-0005-0000-0000-00001D020000}"/>
    <cellStyle name="20% - Accent4 2 3 6 2 2" xfId="31937" xr:uid="{67B6E963-9BD5-485C-84F8-C782529F9D14}"/>
    <cellStyle name="20% - Accent4 2 3 6 2 3" xfId="23496" xr:uid="{A62D183D-FAEC-4AF3-9A05-3620A8C538D3}"/>
    <cellStyle name="20% - Accent4 2 3 6 2 4" xfId="15048" xr:uid="{53283C67-A3A7-47A3-962D-4467C6136317}"/>
    <cellStyle name="20% - Accent4 2 3 6 3" xfId="27719" xr:uid="{BD863AED-6065-42AF-891F-DF7EFA34A8FC}"/>
    <cellStyle name="20% - Accent4 2 3 6 4" xfId="19278" xr:uid="{1518AB6D-E64F-40A3-91D9-DFDABFAB9E92}"/>
    <cellStyle name="20% - Accent4 2 3 6 5" xfId="10830" xr:uid="{D643370B-285D-46D2-B417-E1017457FFE8}"/>
    <cellStyle name="20% - Accent4 2 3 7" xfId="4532" xr:uid="{00000000-0005-0000-0000-00001E020000}"/>
    <cellStyle name="20% - Accent4 2 3 7 2" xfId="29871" xr:uid="{3C4BC092-7374-42DD-AAE9-57FF11111636}"/>
    <cellStyle name="20% - Accent4 2 3 7 3" xfId="21430" xr:uid="{110EF26E-0F22-4E1B-89E0-F6D13426E334}"/>
    <cellStyle name="20% - Accent4 2 3 7 4" xfId="12982" xr:uid="{4514A38B-ACF1-47A7-B5FB-2E94F8EB9132}"/>
    <cellStyle name="20% - Accent4 2 3 8" xfId="25653" xr:uid="{DD9F6041-E1F5-4763-8AD5-E3A562A2F0D9}"/>
    <cellStyle name="20% - Accent4 2 3 9" xfId="17212" xr:uid="{A8236F15-DFB6-4506-BE9B-D9FF33269E50}"/>
    <cellStyle name="20% - Accent4 2 4" xfId="595" xr:uid="{00000000-0005-0000-0000-00001F020000}"/>
    <cellStyle name="20% - Accent4 2 4 2" xfId="2866" xr:uid="{00000000-0005-0000-0000-000020020000}"/>
    <cellStyle name="20% - Accent4 2 4 2 2" xfId="7088" xr:uid="{00000000-0005-0000-0000-000021020000}"/>
    <cellStyle name="20% - Accent4 2 4 2 2 2" xfId="32427" xr:uid="{C0D0060E-50DF-4538-BA86-F03724CDDCF6}"/>
    <cellStyle name="20% - Accent4 2 4 2 2 3" xfId="23986" xr:uid="{2B0CBD22-AB74-4C46-A933-9065D77C6B26}"/>
    <cellStyle name="20% - Accent4 2 4 2 2 4" xfId="15538" xr:uid="{59371623-DF91-402B-934A-A59E46A94384}"/>
    <cellStyle name="20% - Accent4 2 4 2 3" xfId="28209" xr:uid="{43B7CCA0-0E7B-4005-A334-E7A64C98341B}"/>
    <cellStyle name="20% - Accent4 2 4 2 4" xfId="19768" xr:uid="{C981AC37-2B0F-4302-BF44-AEE7CAA657C1}"/>
    <cellStyle name="20% - Accent4 2 4 2 5" xfId="11320" xr:uid="{57FD48B3-FE67-43D4-95BF-F59D77764124}"/>
    <cellStyle name="20% - Accent4 2 4 3" xfId="4943" xr:uid="{00000000-0005-0000-0000-000022020000}"/>
    <cellStyle name="20% - Accent4 2 4 3 2" xfId="30282" xr:uid="{88D075C0-7A7A-4461-8AD7-F2B687B6AB1B}"/>
    <cellStyle name="20% - Accent4 2 4 3 3" xfId="21841" xr:uid="{73AF7EB3-A474-49D2-A74E-9D60CCA115AB}"/>
    <cellStyle name="20% - Accent4 2 4 3 4" xfId="13393" xr:uid="{46472471-9DBC-4998-88EB-763AA7B4584E}"/>
    <cellStyle name="20% - Accent4 2 4 4" xfId="26064" xr:uid="{C2DEF888-351A-443D-91D7-6BF83C440D1E}"/>
    <cellStyle name="20% - Accent4 2 4 5" xfId="17623" xr:uid="{48EA6649-5A1F-43B6-A80D-8F55367B7D32}"/>
    <cellStyle name="20% - Accent4 2 4 6" xfId="9175" xr:uid="{843D5488-EFF3-43E1-A027-3F11AE6A8E4A}"/>
    <cellStyle name="20% - Accent4 2 5" xfId="1048" xr:uid="{00000000-0005-0000-0000-000023020000}"/>
    <cellStyle name="20% - Accent4 2 5 2" xfId="3279" xr:uid="{00000000-0005-0000-0000-000024020000}"/>
    <cellStyle name="20% - Accent4 2 5 2 2" xfId="7501" xr:uid="{00000000-0005-0000-0000-000025020000}"/>
    <cellStyle name="20% - Accent4 2 5 2 2 2" xfId="32840" xr:uid="{4F7C03E6-6671-422C-A67A-D6087C4441D6}"/>
    <cellStyle name="20% - Accent4 2 5 2 2 3" xfId="24399" xr:uid="{DB65EED3-6E55-43A1-B38C-6E4C2B1B059E}"/>
    <cellStyle name="20% - Accent4 2 5 2 2 4" xfId="15951" xr:uid="{0C3244DD-4424-43CC-8969-00A7638872C6}"/>
    <cellStyle name="20% - Accent4 2 5 2 3" xfId="28622" xr:uid="{19177CDB-3B1C-46A4-9A45-F23BE3C59446}"/>
    <cellStyle name="20% - Accent4 2 5 2 4" xfId="20181" xr:uid="{6F51A726-F614-4B85-B1E2-1B9BBF48AC90}"/>
    <cellStyle name="20% - Accent4 2 5 2 5" xfId="11733" xr:uid="{55E921A8-2EAE-48A8-9570-61BC01AA9859}"/>
    <cellStyle name="20% - Accent4 2 5 3" xfId="5356" xr:uid="{00000000-0005-0000-0000-000026020000}"/>
    <cellStyle name="20% - Accent4 2 5 3 2" xfId="30695" xr:uid="{ABB58DD9-231C-41B6-A3A9-33D736B5261D}"/>
    <cellStyle name="20% - Accent4 2 5 3 3" xfId="22254" xr:uid="{BD275D6C-F8B1-4C32-A42B-492A731FE17C}"/>
    <cellStyle name="20% - Accent4 2 5 3 4" xfId="13806" xr:uid="{C2D5B6B2-F959-4E50-A3D5-3987E24DE699}"/>
    <cellStyle name="20% - Accent4 2 5 4" xfId="26477" xr:uid="{C70DB389-579D-4513-BE16-17CAFB62E4E5}"/>
    <cellStyle name="20% - Accent4 2 5 5" xfId="18036" xr:uid="{4B5B8A19-0520-49DF-9C88-7DCE73334779}"/>
    <cellStyle name="20% - Accent4 2 5 6" xfId="9588" xr:uid="{3CA1A250-C3E7-4FE7-B813-F129916B9BFA}"/>
    <cellStyle name="20% - Accent4 2 6" xfId="1462" xr:uid="{00000000-0005-0000-0000-000027020000}"/>
    <cellStyle name="20% - Accent4 2 6 2" xfId="3692" xr:uid="{00000000-0005-0000-0000-000028020000}"/>
    <cellStyle name="20% - Accent4 2 6 2 2" xfId="7914" xr:uid="{00000000-0005-0000-0000-000029020000}"/>
    <cellStyle name="20% - Accent4 2 6 2 2 2" xfId="33253" xr:uid="{A9031181-73AB-48F3-813A-7162AB0B18BF}"/>
    <cellStyle name="20% - Accent4 2 6 2 2 3" xfId="24812" xr:uid="{5485E135-9180-4593-AF1B-0224484557D0}"/>
    <cellStyle name="20% - Accent4 2 6 2 2 4" xfId="16364" xr:uid="{32D4857A-B386-471B-B221-CD331D97A11B}"/>
    <cellStyle name="20% - Accent4 2 6 2 3" xfId="29035" xr:uid="{A26533C2-F044-4975-BD44-C1A4CBBBD465}"/>
    <cellStyle name="20% - Accent4 2 6 2 4" xfId="20594" xr:uid="{E8F977C9-F09B-4910-B1D8-9B8E945E12E0}"/>
    <cellStyle name="20% - Accent4 2 6 2 5" xfId="12146" xr:uid="{F90CD88E-3409-45A9-905A-CF21D88CAAA9}"/>
    <cellStyle name="20% - Accent4 2 6 3" xfId="5769" xr:uid="{00000000-0005-0000-0000-00002A020000}"/>
    <cellStyle name="20% - Accent4 2 6 3 2" xfId="31108" xr:uid="{BC7C5540-726F-4AC7-BE9C-D5FA10C22D4C}"/>
    <cellStyle name="20% - Accent4 2 6 3 3" xfId="22667" xr:uid="{125F63D2-3AC4-40D7-B245-0C4E316BCDCA}"/>
    <cellStyle name="20% - Accent4 2 6 3 4" xfId="14219" xr:uid="{7A35A6BB-BBA0-422D-91EC-8BDBD12FA477}"/>
    <cellStyle name="20% - Accent4 2 6 4" xfId="26890" xr:uid="{0CCC9AB7-65CA-4A5A-88A9-19A46A8FA1AD}"/>
    <cellStyle name="20% - Accent4 2 6 5" xfId="18449" xr:uid="{1D606126-0935-4B8F-9380-6A6A100C8CDB}"/>
    <cellStyle name="20% - Accent4 2 6 6" xfId="10001" xr:uid="{74CABB4E-0983-446A-A32D-BC9DFC3F6C3F}"/>
    <cellStyle name="20% - Accent4 2 7" xfId="1876" xr:uid="{00000000-0005-0000-0000-00002B020000}"/>
    <cellStyle name="20% - Accent4 2 7 2" xfId="4105" xr:uid="{00000000-0005-0000-0000-00002C020000}"/>
    <cellStyle name="20% - Accent4 2 7 2 2" xfId="8327" xr:uid="{00000000-0005-0000-0000-00002D020000}"/>
    <cellStyle name="20% - Accent4 2 7 2 2 2" xfId="33666" xr:uid="{4CB990CC-5D46-467C-8372-9A3E27F562E8}"/>
    <cellStyle name="20% - Accent4 2 7 2 2 3" xfId="25225" xr:uid="{AADEE78B-9C97-47D2-AE52-C1C55E3FA6DE}"/>
    <cellStyle name="20% - Accent4 2 7 2 2 4" xfId="16777" xr:uid="{56D28A23-82B3-48B5-8A73-2F3DE7823EF1}"/>
    <cellStyle name="20% - Accent4 2 7 2 3" xfId="29448" xr:uid="{A2A00E10-53CA-40B4-A1BC-DC1202F69754}"/>
    <cellStyle name="20% - Accent4 2 7 2 4" xfId="21007" xr:uid="{A0986D83-72AB-4894-B588-FACA4B5D441C}"/>
    <cellStyle name="20% - Accent4 2 7 2 5" xfId="12559" xr:uid="{0B1AD871-9EBF-4C1E-821F-EE284F28C739}"/>
    <cellStyle name="20% - Accent4 2 7 3" xfId="6182" xr:uid="{00000000-0005-0000-0000-00002E020000}"/>
    <cellStyle name="20% - Accent4 2 7 3 2" xfId="31521" xr:uid="{BFC1B5B3-03A6-45F6-A056-D71378905641}"/>
    <cellStyle name="20% - Accent4 2 7 3 3" xfId="23080" xr:uid="{6CA75A24-80E6-450A-B8BF-1231442EBEFC}"/>
    <cellStyle name="20% - Accent4 2 7 3 4" xfId="14632" xr:uid="{6312B78C-2E5C-42B8-8363-9A5CFFEAA60E}"/>
    <cellStyle name="20% - Accent4 2 7 4" xfId="27303" xr:uid="{CDABFF8D-0E7A-45B1-AE47-28525291D047}"/>
    <cellStyle name="20% - Accent4 2 7 5" xfId="18862" xr:uid="{49B5F776-EA56-4E4A-B667-1D2D51287760}"/>
    <cellStyle name="20% - Accent4 2 7 6" xfId="10414" xr:uid="{E53D53DD-0BCD-4D50-AD0B-4130A7346500}"/>
    <cellStyle name="20% - Accent4 2 8" xfId="2289" xr:uid="{00000000-0005-0000-0000-00002F020000}"/>
    <cellStyle name="20% - Accent4 2 8 2" xfId="6595" xr:uid="{00000000-0005-0000-0000-000030020000}"/>
    <cellStyle name="20% - Accent4 2 8 2 2" xfId="31934" xr:uid="{7D79F311-CAD4-4770-944D-3828A3744AF3}"/>
    <cellStyle name="20% - Accent4 2 8 2 3" xfId="23493" xr:uid="{5BBAFF8D-EB57-487E-B60B-2E1330FA11AE}"/>
    <cellStyle name="20% - Accent4 2 8 2 4" xfId="15045" xr:uid="{9D41BC5A-A5B3-4042-A7FC-AA730F8C73A5}"/>
    <cellStyle name="20% - Accent4 2 8 3" xfId="27716" xr:uid="{64C2883F-029C-409C-BC4D-4D2B220D9F65}"/>
    <cellStyle name="20% - Accent4 2 8 4" xfId="19275" xr:uid="{76ACF007-A06E-4EC9-AAFA-491F5B7BE503}"/>
    <cellStyle name="20% - Accent4 2 8 5" xfId="10827" xr:uid="{B72A4FE7-2288-45AC-91E5-E28F41DC98D6}"/>
    <cellStyle name="20% - Accent4 2 9" xfId="4529" xr:uid="{00000000-0005-0000-0000-000031020000}"/>
    <cellStyle name="20% - Accent4 2 9 2" xfId="29868" xr:uid="{47392F3F-1F37-4A99-B54B-608E6E3B7C2F}"/>
    <cellStyle name="20% - Accent4 2 9 3" xfId="21427" xr:uid="{33CC8F82-6820-4B01-BC0C-300516309A73}"/>
    <cellStyle name="20% - Accent4 2 9 4" xfId="12979" xr:uid="{F9914DF9-92D5-4E9E-9C5E-C258EC736BF0}"/>
    <cellStyle name="20% - Accent4 3" xfId="30" xr:uid="{00000000-0005-0000-0000-000032020000}"/>
    <cellStyle name="20% - Accent4 3 10" xfId="17213" xr:uid="{FDDDE136-4309-4EEC-BCB9-C5AD02B3DEDE}"/>
    <cellStyle name="20% - Accent4 3 11" xfId="8765" xr:uid="{D70B2891-AA05-409A-B75E-DD0F05E05262}"/>
    <cellStyle name="20% - Accent4 3 2" xfId="31" xr:uid="{00000000-0005-0000-0000-000033020000}"/>
    <cellStyle name="20% - Accent4 3 2 10" xfId="8766" xr:uid="{38D0E65B-A38E-43CB-A260-A3160A6A9761}"/>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32432" xr:uid="{E1E959A1-389F-4B6F-A385-F677877EC74F}"/>
    <cellStyle name="20% - Accent4 3 2 2 2 2 3" xfId="23991" xr:uid="{760B2463-DCD7-4A48-B91C-0E8D66816F4D}"/>
    <cellStyle name="20% - Accent4 3 2 2 2 2 4" xfId="15543" xr:uid="{1B9C62EF-334E-49AF-A0C9-74043580F5EE}"/>
    <cellStyle name="20% - Accent4 3 2 2 2 3" xfId="28214" xr:uid="{79771B35-00A1-4191-90CC-89E86D82895C}"/>
    <cellStyle name="20% - Accent4 3 2 2 2 4" xfId="19773" xr:uid="{7D6EE3D1-4316-4EE3-9481-7C34E072663B}"/>
    <cellStyle name="20% - Accent4 3 2 2 2 5" xfId="11325" xr:uid="{E151990D-577D-4337-B253-1B5297A3B3D9}"/>
    <cellStyle name="20% - Accent4 3 2 2 3" xfId="4948" xr:uid="{00000000-0005-0000-0000-000037020000}"/>
    <cellStyle name="20% - Accent4 3 2 2 3 2" xfId="30287" xr:uid="{26B18882-1BCC-43B9-BBF8-73131197B584}"/>
    <cellStyle name="20% - Accent4 3 2 2 3 3" xfId="21846" xr:uid="{1E49F3B1-96B3-45E4-AC26-87CB356A622F}"/>
    <cellStyle name="20% - Accent4 3 2 2 3 4" xfId="13398" xr:uid="{53B48515-1217-4109-9D55-17BDCBB93F69}"/>
    <cellStyle name="20% - Accent4 3 2 2 4" xfId="26069" xr:uid="{B25D78FE-C832-45DA-8920-749D2AAE2461}"/>
    <cellStyle name="20% - Accent4 3 2 2 5" xfId="17628" xr:uid="{F7EFF5D3-8E85-4108-A805-9184AD8D5219}"/>
    <cellStyle name="20% - Accent4 3 2 2 6" xfId="9180" xr:uid="{2B83DB12-76FE-49FD-B619-77348F1E6568}"/>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32845" xr:uid="{C78DA8EB-2457-4775-A9FC-AAD0E5B6FF6D}"/>
    <cellStyle name="20% - Accent4 3 2 3 2 2 3" xfId="24404" xr:uid="{1ED6E7A4-5A27-4D7B-A402-8A54FBA3AED8}"/>
    <cellStyle name="20% - Accent4 3 2 3 2 2 4" xfId="15956" xr:uid="{59BA7691-E402-44D1-AAD4-CBE362EBA75F}"/>
    <cellStyle name="20% - Accent4 3 2 3 2 3" xfId="28627" xr:uid="{ADCE4566-FA78-4AB3-82A5-F8240B7B7F28}"/>
    <cellStyle name="20% - Accent4 3 2 3 2 4" xfId="20186" xr:uid="{B169229E-19AD-44EF-BAC9-30F302ADF1DF}"/>
    <cellStyle name="20% - Accent4 3 2 3 2 5" xfId="11738" xr:uid="{40059155-0E6D-43B3-B422-85E4267B8F80}"/>
    <cellStyle name="20% - Accent4 3 2 3 3" xfId="5361" xr:uid="{00000000-0005-0000-0000-00003B020000}"/>
    <cellStyle name="20% - Accent4 3 2 3 3 2" xfId="30700" xr:uid="{397B0F7E-FA2B-4335-AEB6-A900C0029C78}"/>
    <cellStyle name="20% - Accent4 3 2 3 3 3" xfId="22259" xr:uid="{AA592F9A-A12A-4AD0-9A35-D9DC348AD943}"/>
    <cellStyle name="20% - Accent4 3 2 3 3 4" xfId="13811" xr:uid="{2FD83F0F-B760-42EE-B4B4-3B1A610493E1}"/>
    <cellStyle name="20% - Accent4 3 2 3 4" xfId="26482" xr:uid="{D1FF7587-1E41-4149-A342-80A364A62FFD}"/>
    <cellStyle name="20% - Accent4 3 2 3 5" xfId="18041" xr:uid="{9EE06C6B-4D6B-47B4-9E00-20778BA7B645}"/>
    <cellStyle name="20% - Accent4 3 2 3 6" xfId="9593" xr:uid="{475A9975-3FF5-41FE-B041-A78BEE9C3C50}"/>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33258" xr:uid="{BF6367B4-B0D7-45E4-8DE5-67899BA94585}"/>
    <cellStyle name="20% - Accent4 3 2 4 2 2 3" xfId="24817" xr:uid="{052A7EC6-7FF8-476D-A5A3-A554ED5960E4}"/>
    <cellStyle name="20% - Accent4 3 2 4 2 2 4" xfId="16369" xr:uid="{1E6CBF93-EAF1-4084-AF0B-60D086696A0C}"/>
    <cellStyle name="20% - Accent4 3 2 4 2 3" xfId="29040" xr:uid="{50E4FAA2-83DF-4A1A-91B5-310A31D763A2}"/>
    <cellStyle name="20% - Accent4 3 2 4 2 4" xfId="20599" xr:uid="{FBA79C31-241E-4690-934A-F877CED1D96C}"/>
    <cellStyle name="20% - Accent4 3 2 4 2 5" xfId="12151" xr:uid="{9AFBCB88-D421-41B8-85D5-55776001A97B}"/>
    <cellStyle name="20% - Accent4 3 2 4 3" xfId="5774" xr:uid="{00000000-0005-0000-0000-00003F020000}"/>
    <cellStyle name="20% - Accent4 3 2 4 3 2" xfId="31113" xr:uid="{B4CEBE81-8682-4A73-B3D6-5D75D7F332AC}"/>
    <cellStyle name="20% - Accent4 3 2 4 3 3" xfId="22672" xr:uid="{96041897-18CF-47EB-A113-2088DB280BD4}"/>
    <cellStyle name="20% - Accent4 3 2 4 3 4" xfId="14224" xr:uid="{2636014D-481E-4208-AC90-2E2D2EF96BCE}"/>
    <cellStyle name="20% - Accent4 3 2 4 4" xfId="26895" xr:uid="{011D6A4B-310E-4AA2-8ECC-1A492D1FF639}"/>
    <cellStyle name="20% - Accent4 3 2 4 5" xfId="18454" xr:uid="{96683731-E23F-448E-BE88-92651A79A22F}"/>
    <cellStyle name="20% - Accent4 3 2 4 6" xfId="10006" xr:uid="{5BF2A011-2FD6-481B-B721-D5BA7294F6A4}"/>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33671" xr:uid="{A44E917F-1BA3-4326-8B13-57242DD6CDE1}"/>
    <cellStyle name="20% - Accent4 3 2 5 2 2 3" xfId="25230" xr:uid="{30AC09F6-EC23-4D7E-B4C1-342B2550C28E}"/>
    <cellStyle name="20% - Accent4 3 2 5 2 2 4" xfId="16782" xr:uid="{283CC0D4-D8D5-497B-AC9C-402FF294B30A}"/>
    <cellStyle name="20% - Accent4 3 2 5 2 3" xfId="29453" xr:uid="{E5FEAD1C-FF5D-4BE8-A51E-06A9847FD422}"/>
    <cellStyle name="20% - Accent4 3 2 5 2 4" xfId="21012" xr:uid="{190C2F95-2AD0-40B0-8EA2-0660598E0A74}"/>
    <cellStyle name="20% - Accent4 3 2 5 2 5" xfId="12564" xr:uid="{89B0F817-9238-4DE8-8172-AB01418E3106}"/>
    <cellStyle name="20% - Accent4 3 2 5 3" xfId="6187" xr:uid="{00000000-0005-0000-0000-000043020000}"/>
    <cellStyle name="20% - Accent4 3 2 5 3 2" xfId="31526" xr:uid="{7466A625-7206-4437-B86C-4632DD34EC1E}"/>
    <cellStyle name="20% - Accent4 3 2 5 3 3" xfId="23085" xr:uid="{AF7DAA88-4EB6-4967-891B-765E03940D73}"/>
    <cellStyle name="20% - Accent4 3 2 5 3 4" xfId="14637" xr:uid="{FD0D53FF-10DC-4ED7-993F-F60FF59045EA}"/>
    <cellStyle name="20% - Accent4 3 2 5 4" xfId="27308" xr:uid="{AD9E2DD7-1F4E-43CA-AADC-3C4D24006914}"/>
    <cellStyle name="20% - Accent4 3 2 5 5" xfId="18867" xr:uid="{57D68727-BE68-438F-AB77-DCD00956B657}"/>
    <cellStyle name="20% - Accent4 3 2 5 6" xfId="10419" xr:uid="{EEF524B8-7126-435E-9EB5-592F480E6124}"/>
    <cellStyle name="20% - Accent4 3 2 6" xfId="2294" xr:uid="{00000000-0005-0000-0000-000044020000}"/>
    <cellStyle name="20% - Accent4 3 2 6 2" xfId="6600" xr:uid="{00000000-0005-0000-0000-000045020000}"/>
    <cellStyle name="20% - Accent4 3 2 6 2 2" xfId="31939" xr:uid="{7AAF4E4D-7C04-400D-9662-5D9B46D22B23}"/>
    <cellStyle name="20% - Accent4 3 2 6 2 3" xfId="23498" xr:uid="{752681B2-145B-4B85-BFF2-052B5B9BEAA1}"/>
    <cellStyle name="20% - Accent4 3 2 6 2 4" xfId="15050" xr:uid="{487C52F6-B169-4F6C-995A-7972D390FB74}"/>
    <cellStyle name="20% - Accent4 3 2 6 3" xfId="27721" xr:uid="{B32A3F3C-12EE-4BF7-9215-C9486506C7D4}"/>
    <cellStyle name="20% - Accent4 3 2 6 4" xfId="19280" xr:uid="{23CF8E2F-3FDE-4301-942B-529110D23A83}"/>
    <cellStyle name="20% - Accent4 3 2 6 5" xfId="10832" xr:uid="{BAEA04F2-0024-44EF-AE51-DFDF4D9F741A}"/>
    <cellStyle name="20% - Accent4 3 2 7" xfId="4534" xr:uid="{00000000-0005-0000-0000-000046020000}"/>
    <cellStyle name="20% - Accent4 3 2 7 2" xfId="29873" xr:uid="{29BC8BDE-8B73-4E8C-B2D2-A460F7025529}"/>
    <cellStyle name="20% - Accent4 3 2 7 3" xfId="21432" xr:uid="{D2F3331D-A7CB-494C-9D39-C66008753489}"/>
    <cellStyle name="20% - Accent4 3 2 7 4" xfId="12984" xr:uid="{2BEC3334-2526-4CAF-95C9-274185FA6A5B}"/>
    <cellStyle name="20% - Accent4 3 2 8" xfId="25655" xr:uid="{A31C8499-0033-4A39-A573-4C41F2FCDAB1}"/>
    <cellStyle name="20% - Accent4 3 2 9" xfId="17214" xr:uid="{A9DA305A-053B-4D3B-BF16-65283604F436}"/>
    <cellStyle name="20% - Accent4 3 3" xfId="599" xr:uid="{00000000-0005-0000-0000-000047020000}"/>
    <cellStyle name="20% - Accent4 3 3 2" xfId="2870" xr:uid="{00000000-0005-0000-0000-000048020000}"/>
    <cellStyle name="20% - Accent4 3 3 2 2" xfId="7092" xr:uid="{00000000-0005-0000-0000-000049020000}"/>
    <cellStyle name="20% - Accent4 3 3 2 2 2" xfId="32431" xr:uid="{C0FF905E-B58D-439D-A60E-5B2641DD946F}"/>
    <cellStyle name="20% - Accent4 3 3 2 2 3" xfId="23990" xr:uid="{073F78EA-FBE8-4EB1-9F8D-68AEE209CAFF}"/>
    <cellStyle name="20% - Accent4 3 3 2 2 4" xfId="15542" xr:uid="{B5E7B0E5-6018-4400-B49A-965B130D3DBC}"/>
    <cellStyle name="20% - Accent4 3 3 2 3" xfId="28213" xr:uid="{7EE80AEC-CBC1-450D-BB69-E66D343CEBE4}"/>
    <cellStyle name="20% - Accent4 3 3 2 4" xfId="19772" xr:uid="{1D21E762-A405-4E9C-8F62-A138AE59AA8D}"/>
    <cellStyle name="20% - Accent4 3 3 2 5" xfId="11324" xr:uid="{4B5B9DE6-D837-4B4C-817E-4D114D4E52EC}"/>
    <cellStyle name="20% - Accent4 3 3 3" xfId="4947" xr:uid="{00000000-0005-0000-0000-00004A020000}"/>
    <cellStyle name="20% - Accent4 3 3 3 2" xfId="30286" xr:uid="{B0306D8A-F799-4432-9B7B-0A5FB7DE7EEC}"/>
    <cellStyle name="20% - Accent4 3 3 3 3" xfId="21845" xr:uid="{873E87C9-F5BD-41D9-9E87-D0FD1CB06D69}"/>
    <cellStyle name="20% - Accent4 3 3 3 4" xfId="13397" xr:uid="{CA8AFC98-96E0-48B6-B88B-1A9CFE311FA6}"/>
    <cellStyle name="20% - Accent4 3 3 4" xfId="26068" xr:uid="{D9715D5C-D478-46A6-9408-D54D25F8D03D}"/>
    <cellStyle name="20% - Accent4 3 3 5" xfId="17627" xr:uid="{6EFC563B-B4BD-40AD-ABCF-43E58B42DF85}"/>
    <cellStyle name="20% - Accent4 3 3 6" xfId="9179" xr:uid="{A0F91613-0E07-433F-9FE6-8602EC3CC9C6}"/>
    <cellStyle name="20% - Accent4 3 4" xfId="1052" xr:uid="{00000000-0005-0000-0000-00004B020000}"/>
    <cellStyle name="20% - Accent4 3 4 2" xfId="3283" xr:uid="{00000000-0005-0000-0000-00004C020000}"/>
    <cellStyle name="20% - Accent4 3 4 2 2" xfId="7505" xr:uid="{00000000-0005-0000-0000-00004D020000}"/>
    <cellStyle name="20% - Accent4 3 4 2 2 2" xfId="32844" xr:uid="{BC9B0D8D-83B4-4B55-B49B-A644CF7AD812}"/>
    <cellStyle name="20% - Accent4 3 4 2 2 3" xfId="24403" xr:uid="{74E1B5FA-7A7D-4683-B83E-62D1072E40D0}"/>
    <cellStyle name="20% - Accent4 3 4 2 2 4" xfId="15955" xr:uid="{79396A82-5759-4E7E-9887-EC5BC16124AD}"/>
    <cellStyle name="20% - Accent4 3 4 2 3" xfId="28626" xr:uid="{7C410BDB-2B58-427E-8652-08480DEDBCE9}"/>
    <cellStyle name="20% - Accent4 3 4 2 4" xfId="20185" xr:uid="{5F59AB38-1CC2-4312-BD4F-FFBD0CFD2A04}"/>
    <cellStyle name="20% - Accent4 3 4 2 5" xfId="11737" xr:uid="{52CAED33-D42F-42FE-903E-4AD874CC07AA}"/>
    <cellStyle name="20% - Accent4 3 4 3" xfId="5360" xr:uid="{00000000-0005-0000-0000-00004E020000}"/>
    <cellStyle name="20% - Accent4 3 4 3 2" xfId="30699" xr:uid="{A9671AEE-F386-4ECA-9B2E-44726097E04F}"/>
    <cellStyle name="20% - Accent4 3 4 3 3" xfId="22258" xr:uid="{CEDA23BF-66E7-4183-BC3F-E28515753713}"/>
    <cellStyle name="20% - Accent4 3 4 3 4" xfId="13810" xr:uid="{043A2AAD-445B-4433-A33A-2F18E0E0037C}"/>
    <cellStyle name="20% - Accent4 3 4 4" xfId="26481" xr:uid="{DB45F073-F9D1-47E7-B25D-2F12E47FDD5C}"/>
    <cellStyle name="20% - Accent4 3 4 5" xfId="18040" xr:uid="{5EFF8E38-5A54-4E8B-B8A7-6DA5BE436681}"/>
    <cellStyle name="20% - Accent4 3 4 6" xfId="9592" xr:uid="{C53A1BB1-42A9-44BD-8991-A011B85F48DA}"/>
    <cellStyle name="20% - Accent4 3 5" xfId="1466" xr:uid="{00000000-0005-0000-0000-00004F020000}"/>
    <cellStyle name="20% - Accent4 3 5 2" xfId="3696" xr:uid="{00000000-0005-0000-0000-000050020000}"/>
    <cellStyle name="20% - Accent4 3 5 2 2" xfId="7918" xr:uid="{00000000-0005-0000-0000-000051020000}"/>
    <cellStyle name="20% - Accent4 3 5 2 2 2" xfId="33257" xr:uid="{E7076FFA-518B-4180-B3ED-445DEE7590B7}"/>
    <cellStyle name="20% - Accent4 3 5 2 2 3" xfId="24816" xr:uid="{2BFA2FCD-1A8B-40F1-B29B-3CD6BF6AB151}"/>
    <cellStyle name="20% - Accent4 3 5 2 2 4" xfId="16368" xr:uid="{BACD16C7-53CD-4321-A717-9AFC0D86383E}"/>
    <cellStyle name="20% - Accent4 3 5 2 3" xfId="29039" xr:uid="{214E747B-DCBA-4378-B1CD-A589AB4C8D50}"/>
    <cellStyle name="20% - Accent4 3 5 2 4" xfId="20598" xr:uid="{F4AE5771-CCF4-49FD-ABB7-C1352DC29BC7}"/>
    <cellStyle name="20% - Accent4 3 5 2 5" xfId="12150" xr:uid="{036211AC-345E-474C-9553-F5C7D7430F6D}"/>
    <cellStyle name="20% - Accent4 3 5 3" xfId="5773" xr:uid="{00000000-0005-0000-0000-000052020000}"/>
    <cellStyle name="20% - Accent4 3 5 3 2" xfId="31112" xr:uid="{66141143-8976-4B03-9095-9923C8DA41CB}"/>
    <cellStyle name="20% - Accent4 3 5 3 3" xfId="22671" xr:uid="{5C83A827-1601-4EE8-A94E-E47157887158}"/>
    <cellStyle name="20% - Accent4 3 5 3 4" xfId="14223" xr:uid="{90BD4E0B-F399-408B-9745-E8E923A5EE66}"/>
    <cellStyle name="20% - Accent4 3 5 4" xfId="26894" xr:uid="{CAE2E97B-FD0A-42C5-B0DB-4A54BE3EE500}"/>
    <cellStyle name="20% - Accent4 3 5 5" xfId="18453" xr:uid="{3EF1805C-3DCE-49A7-94FF-5CABF9D23460}"/>
    <cellStyle name="20% - Accent4 3 5 6" xfId="10005" xr:uid="{FC3DACC0-91B8-4524-832E-77903354705B}"/>
    <cellStyle name="20% - Accent4 3 6" xfId="1880" xr:uid="{00000000-0005-0000-0000-000053020000}"/>
    <cellStyle name="20% - Accent4 3 6 2" xfId="4109" xr:uid="{00000000-0005-0000-0000-000054020000}"/>
    <cellStyle name="20% - Accent4 3 6 2 2" xfId="8331" xr:uid="{00000000-0005-0000-0000-000055020000}"/>
    <cellStyle name="20% - Accent4 3 6 2 2 2" xfId="33670" xr:uid="{11AD135E-8047-4F51-9BBB-54B45C1E92F1}"/>
    <cellStyle name="20% - Accent4 3 6 2 2 3" xfId="25229" xr:uid="{DA82696D-1C3C-441D-92E4-5F3CF0A98A90}"/>
    <cellStyle name="20% - Accent4 3 6 2 2 4" xfId="16781" xr:uid="{D78FFEAB-D54C-43BB-8B69-C68096B1F7E4}"/>
    <cellStyle name="20% - Accent4 3 6 2 3" xfId="29452" xr:uid="{A4281C98-E337-4567-B09E-EFC126536172}"/>
    <cellStyle name="20% - Accent4 3 6 2 4" xfId="21011" xr:uid="{CFDD74D7-4AA8-405A-A1FB-C5DEDE6FCB26}"/>
    <cellStyle name="20% - Accent4 3 6 2 5" xfId="12563" xr:uid="{D816CA31-EBDC-4D05-9BBF-F12520B1EF7F}"/>
    <cellStyle name="20% - Accent4 3 6 3" xfId="6186" xr:uid="{00000000-0005-0000-0000-000056020000}"/>
    <cellStyle name="20% - Accent4 3 6 3 2" xfId="31525" xr:uid="{EE5AE2A7-624A-4FF9-8C20-C3AE8F1C9BFE}"/>
    <cellStyle name="20% - Accent4 3 6 3 3" xfId="23084" xr:uid="{A8E45881-9048-41CD-A74B-934A4A2BA7B3}"/>
    <cellStyle name="20% - Accent4 3 6 3 4" xfId="14636" xr:uid="{B5F4B39B-6DE7-4161-B40B-EC3CD8364A55}"/>
    <cellStyle name="20% - Accent4 3 6 4" xfId="27307" xr:uid="{777692AD-4F7C-47DF-9BF5-AFC2F1A7DAB0}"/>
    <cellStyle name="20% - Accent4 3 6 5" xfId="18866" xr:uid="{5BFE9C48-49BA-4737-AA0E-3E1B652BDE3B}"/>
    <cellStyle name="20% - Accent4 3 6 6" xfId="10418" xr:uid="{640635FA-C392-495A-B54C-E69FFB9E4AA5}"/>
    <cellStyle name="20% - Accent4 3 7" xfId="2293" xr:uid="{00000000-0005-0000-0000-000057020000}"/>
    <cellStyle name="20% - Accent4 3 7 2" xfId="6599" xr:uid="{00000000-0005-0000-0000-000058020000}"/>
    <cellStyle name="20% - Accent4 3 7 2 2" xfId="31938" xr:uid="{454861FE-DD0A-417A-9B3B-9B6BF0C9ED27}"/>
    <cellStyle name="20% - Accent4 3 7 2 3" xfId="23497" xr:uid="{16AC09DE-4A4E-419C-804F-9CB21710DD91}"/>
    <cellStyle name="20% - Accent4 3 7 2 4" xfId="15049" xr:uid="{26E80E04-78CB-4D9E-B475-2F99116E28F4}"/>
    <cellStyle name="20% - Accent4 3 7 3" xfId="27720" xr:uid="{D93E5B22-DE6E-4EAA-902B-193010C6B879}"/>
    <cellStyle name="20% - Accent4 3 7 4" xfId="19279" xr:uid="{4FDE1F7A-7890-482E-9D31-98D10211142E}"/>
    <cellStyle name="20% - Accent4 3 7 5" xfId="10831" xr:uid="{6F54A351-7D1F-441A-BBC1-5CA8285AD56C}"/>
    <cellStyle name="20% - Accent4 3 8" xfId="4533" xr:uid="{00000000-0005-0000-0000-000059020000}"/>
    <cellStyle name="20% - Accent4 3 8 2" xfId="29872" xr:uid="{CB900AAC-6AE5-4277-9A1B-56A356927839}"/>
    <cellStyle name="20% - Accent4 3 8 3" xfId="21431" xr:uid="{2F38CBEB-39C4-4525-8546-13725B602254}"/>
    <cellStyle name="20% - Accent4 3 8 4" xfId="12983" xr:uid="{B01A4638-B485-4EE7-8C59-06618982447F}"/>
    <cellStyle name="20% - Accent4 3 9" xfId="25654" xr:uid="{5BD16CDF-BDED-460D-BCC2-253896BA0EF5}"/>
    <cellStyle name="20% - Accent4 4" xfId="32" xr:uid="{00000000-0005-0000-0000-00005A020000}"/>
    <cellStyle name="20% - Accent4 4 10" xfId="8767" xr:uid="{32A202B0-E444-4E8E-BC7C-8BDC54231616}"/>
    <cellStyle name="20% - Accent4 4 2" xfId="601" xr:uid="{00000000-0005-0000-0000-00005B020000}"/>
    <cellStyle name="20% - Accent4 4 2 2" xfId="2872" xr:uid="{00000000-0005-0000-0000-00005C020000}"/>
    <cellStyle name="20% - Accent4 4 2 2 2" xfId="7094" xr:uid="{00000000-0005-0000-0000-00005D020000}"/>
    <cellStyle name="20% - Accent4 4 2 2 2 2" xfId="32433" xr:uid="{EB27A558-BD89-41EE-8C0E-AB83D8170768}"/>
    <cellStyle name="20% - Accent4 4 2 2 2 3" xfId="23992" xr:uid="{AB5AE550-278A-48B0-B122-C8A1A408DC59}"/>
    <cellStyle name="20% - Accent4 4 2 2 2 4" xfId="15544" xr:uid="{AD2DA434-DEA9-43B0-B0B2-786286D3F03D}"/>
    <cellStyle name="20% - Accent4 4 2 2 3" xfId="28215" xr:uid="{15A3C657-3B2A-4357-BA37-3D4BE60EB094}"/>
    <cellStyle name="20% - Accent4 4 2 2 4" xfId="19774" xr:uid="{4AFBC06C-6BFE-4E25-ADB5-D9F8C0212CAE}"/>
    <cellStyle name="20% - Accent4 4 2 2 5" xfId="11326" xr:uid="{73264288-1BC4-4F9F-B485-6E10B41DEF8C}"/>
    <cellStyle name="20% - Accent4 4 2 3" xfId="4949" xr:uid="{00000000-0005-0000-0000-00005E020000}"/>
    <cellStyle name="20% - Accent4 4 2 3 2" xfId="30288" xr:uid="{B4C3FB5C-1ABF-4DB4-AC6D-83C9F7A637FE}"/>
    <cellStyle name="20% - Accent4 4 2 3 3" xfId="21847" xr:uid="{C48B98A5-FD1C-482F-A8A9-B6C9DA2F1546}"/>
    <cellStyle name="20% - Accent4 4 2 3 4" xfId="13399" xr:uid="{2B88120E-26C3-4408-88F2-66CDA959311E}"/>
    <cellStyle name="20% - Accent4 4 2 4" xfId="26070" xr:uid="{AAA48EFD-2F25-4BAD-8EA0-CDBA0248FFAB}"/>
    <cellStyle name="20% - Accent4 4 2 5" xfId="17629" xr:uid="{8CFF7C86-EA53-430B-B8FA-BC0E843D530C}"/>
    <cellStyle name="20% - Accent4 4 2 6" xfId="9181" xr:uid="{5FE0E9BC-D554-493A-ABBF-B41704178654}"/>
    <cellStyle name="20% - Accent4 4 3" xfId="1054" xr:uid="{00000000-0005-0000-0000-00005F020000}"/>
    <cellStyle name="20% - Accent4 4 3 2" xfId="3285" xr:uid="{00000000-0005-0000-0000-000060020000}"/>
    <cellStyle name="20% - Accent4 4 3 2 2" xfId="7507" xr:uid="{00000000-0005-0000-0000-000061020000}"/>
    <cellStyle name="20% - Accent4 4 3 2 2 2" xfId="32846" xr:uid="{CEABA58B-59C7-4326-949D-20FB36EC8557}"/>
    <cellStyle name="20% - Accent4 4 3 2 2 3" xfId="24405" xr:uid="{9F0DC3DF-222E-4B3A-82A9-5B59A871AECA}"/>
    <cellStyle name="20% - Accent4 4 3 2 2 4" xfId="15957" xr:uid="{95E4CD71-AC4F-4D7C-B2C4-7CCDF6AB55E1}"/>
    <cellStyle name="20% - Accent4 4 3 2 3" xfId="28628" xr:uid="{4874435A-9C01-48DC-9A19-DBA533003698}"/>
    <cellStyle name="20% - Accent4 4 3 2 4" xfId="20187" xr:uid="{44025C38-EF21-4877-8D50-F261942B9923}"/>
    <cellStyle name="20% - Accent4 4 3 2 5" xfId="11739" xr:uid="{A8B5D9F0-9A01-4A6D-988C-30B305F6EE3E}"/>
    <cellStyle name="20% - Accent4 4 3 3" xfId="5362" xr:uid="{00000000-0005-0000-0000-000062020000}"/>
    <cellStyle name="20% - Accent4 4 3 3 2" xfId="30701" xr:uid="{B3580E3B-69A1-4F99-BA38-55E28361C58D}"/>
    <cellStyle name="20% - Accent4 4 3 3 3" xfId="22260" xr:uid="{CB64922B-4A5E-4ECA-90BB-B2F31988BD51}"/>
    <cellStyle name="20% - Accent4 4 3 3 4" xfId="13812" xr:uid="{B65D9C7F-9038-4600-8637-031C06DA9D7A}"/>
    <cellStyle name="20% - Accent4 4 3 4" xfId="26483" xr:uid="{172B2402-427A-433D-A7B0-EB000DC5E290}"/>
    <cellStyle name="20% - Accent4 4 3 5" xfId="18042" xr:uid="{E782E331-A78F-4B49-B8BA-F5AC8E319F23}"/>
    <cellStyle name="20% - Accent4 4 3 6" xfId="9594" xr:uid="{DA3F0375-7B49-440C-B275-E1C5BDA13AC4}"/>
    <cellStyle name="20% - Accent4 4 4" xfId="1468" xr:uid="{00000000-0005-0000-0000-000063020000}"/>
    <cellStyle name="20% - Accent4 4 4 2" xfId="3698" xr:uid="{00000000-0005-0000-0000-000064020000}"/>
    <cellStyle name="20% - Accent4 4 4 2 2" xfId="7920" xr:uid="{00000000-0005-0000-0000-000065020000}"/>
    <cellStyle name="20% - Accent4 4 4 2 2 2" xfId="33259" xr:uid="{D6067402-BD09-410C-ADA7-A2ADF39DF14C}"/>
    <cellStyle name="20% - Accent4 4 4 2 2 3" xfId="24818" xr:uid="{0B936E2A-B661-4DC0-A983-73DC752FB4DF}"/>
    <cellStyle name="20% - Accent4 4 4 2 2 4" xfId="16370" xr:uid="{EC979CC4-7D55-48FE-BEEF-371AAC78E828}"/>
    <cellStyle name="20% - Accent4 4 4 2 3" xfId="29041" xr:uid="{0656992C-A276-464C-9BA7-E0B731650A0A}"/>
    <cellStyle name="20% - Accent4 4 4 2 4" xfId="20600" xr:uid="{DAE61CC9-4F9C-4A98-AD5A-A0A969441514}"/>
    <cellStyle name="20% - Accent4 4 4 2 5" xfId="12152" xr:uid="{1758577F-B267-4C19-ACC3-D2E28CDC3985}"/>
    <cellStyle name="20% - Accent4 4 4 3" xfId="5775" xr:uid="{00000000-0005-0000-0000-000066020000}"/>
    <cellStyle name="20% - Accent4 4 4 3 2" xfId="31114" xr:uid="{52F4A708-EBF1-4FC5-B98A-A605F912EEA0}"/>
    <cellStyle name="20% - Accent4 4 4 3 3" xfId="22673" xr:uid="{6D36DDB1-59D1-4065-B061-2795BA3E1A5D}"/>
    <cellStyle name="20% - Accent4 4 4 3 4" xfId="14225" xr:uid="{0B9135D1-7926-4678-B587-2E46349178A2}"/>
    <cellStyle name="20% - Accent4 4 4 4" xfId="26896" xr:uid="{85FBB9BF-B9C8-4F4C-8AFD-68B30A1ED2C7}"/>
    <cellStyle name="20% - Accent4 4 4 5" xfId="18455" xr:uid="{6403B06E-5E95-45E1-B3A9-A2787FBEB0E1}"/>
    <cellStyle name="20% - Accent4 4 4 6" xfId="10007" xr:uid="{585907AC-58A5-4A7C-AFD1-8CC24E366092}"/>
    <cellStyle name="20% - Accent4 4 5" xfId="1882" xr:uid="{00000000-0005-0000-0000-000067020000}"/>
    <cellStyle name="20% - Accent4 4 5 2" xfId="4111" xr:uid="{00000000-0005-0000-0000-000068020000}"/>
    <cellStyle name="20% - Accent4 4 5 2 2" xfId="8333" xr:uid="{00000000-0005-0000-0000-000069020000}"/>
    <cellStyle name="20% - Accent4 4 5 2 2 2" xfId="33672" xr:uid="{5E4E5755-3FED-4B02-A34B-A2A9119F4996}"/>
    <cellStyle name="20% - Accent4 4 5 2 2 3" xfId="25231" xr:uid="{AD0986B9-C747-4B25-B2F7-A54D341B9CDA}"/>
    <cellStyle name="20% - Accent4 4 5 2 2 4" xfId="16783" xr:uid="{2BF1C0BF-EF5F-4A0A-A016-CCC1D98F457E}"/>
    <cellStyle name="20% - Accent4 4 5 2 3" xfId="29454" xr:uid="{1FAD4339-1B18-4426-8BD2-D959026D3CC3}"/>
    <cellStyle name="20% - Accent4 4 5 2 4" xfId="21013" xr:uid="{B73A748C-808C-48EA-A08D-CFEEA9367366}"/>
    <cellStyle name="20% - Accent4 4 5 2 5" xfId="12565" xr:uid="{589A39BE-8879-4292-8223-5E28375864FE}"/>
    <cellStyle name="20% - Accent4 4 5 3" xfId="6188" xr:uid="{00000000-0005-0000-0000-00006A020000}"/>
    <cellStyle name="20% - Accent4 4 5 3 2" xfId="31527" xr:uid="{A54A46E3-045E-490C-8AD2-9BC450424950}"/>
    <cellStyle name="20% - Accent4 4 5 3 3" xfId="23086" xr:uid="{0AFD9AC9-1518-4E18-A45F-5A315B708E7B}"/>
    <cellStyle name="20% - Accent4 4 5 3 4" xfId="14638" xr:uid="{03E1C5B7-D918-4946-9775-22C9FECC893B}"/>
    <cellStyle name="20% - Accent4 4 5 4" xfId="27309" xr:uid="{E95EC565-B37C-4014-8E3A-5775B9486D55}"/>
    <cellStyle name="20% - Accent4 4 5 5" xfId="18868" xr:uid="{4A602FB1-67E8-4D06-A4B4-4D2CDA799A45}"/>
    <cellStyle name="20% - Accent4 4 5 6" xfId="10420" xr:uid="{02DD057B-A508-4B5E-9D45-87F77BB86ADB}"/>
    <cellStyle name="20% - Accent4 4 6" xfId="2295" xr:uid="{00000000-0005-0000-0000-00006B020000}"/>
    <cellStyle name="20% - Accent4 4 6 2" xfId="6601" xr:uid="{00000000-0005-0000-0000-00006C020000}"/>
    <cellStyle name="20% - Accent4 4 6 2 2" xfId="31940" xr:uid="{CE4067DE-55D1-4A60-89BE-B42761F3B223}"/>
    <cellStyle name="20% - Accent4 4 6 2 3" xfId="23499" xr:uid="{AC751A08-FCDA-4CA3-8FD4-4205B84013B8}"/>
    <cellStyle name="20% - Accent4 4 6 2 4" xfId="15051" xr:uid="{228568B0-BDBE-4EF3-8630-C2CB36333DB4}"/>
    <cellStyle name="20% - Accent4 4 6 3" xfId="27722" xr:uid="{87F80910-A062-4817-8244-5B4160E5B62D}"/>
    <cellStyle name="20% - Accent4 4 6 4" xfId="19281" xr:uid="{AADD5962-4F58-45E5-A465-1BF65784110A}"/>
    <cellStyle name="20% - Accent4 4 6 5" xfId="10833" xr:uid="{407AF541-1607-44BE-A549-6F015E87F8A4}"/>
    <cellStyle name="20% - Accent4 4 7" xfId="4535" xr:uid="{00000000-0005-0000-0000-00006D020000}"/>
    <cellStyle name="20% - Accent4 4 7 2" xfId="29874" xr:uid="{7203148A-4904-4553-8C68-FF6AFC209976}"/>
    <cellStyle name="20% - Accent4 4 7 3" xfId="21433" xr:uid="{D6A61B73-4D32-4647-9AD6-91F24940E48A}"/>
    <cellStyle name="20% - Accent4 4 7 4" xfId="12985" xr:uid="{F4A33F75-1DC3-426E-8B30-02162E019975}"/>
    <cellStyle name="20% - Accent4 4 8" xfId="25656" xr:uid="{F01B3221-1100-4104-9E13-B6A8F8E04C89}"/>
    <cellStyle name="20% - Accent4 4 9" xfId="17215" xr:uid="{73F70589-4E5B-4EBD-B089-BCEE82B5E028}"/>
    <cellStyle name="20% - Accent4 5" xfId="594" xr:uid="{00000000-0005-0000-0000-00006E020000}"/>
    <cellStyle name="20% - Accent4 5 2" xfId="2865" xr:uid="{00000000-0005-0000-0000-00006F020000}"/>
    <cellStyle name="20% - Accent4 5 2 2" xfId="7087" xr:uid="{00000000-0005-0000-0000-000070020000}"/>
    <cellStyle name="20% - Accent4 5 2 2 2" xfId="32426" xr:uid="{FD7B30B7-21BC-4049-A0AB-F70EEB595A2E}"/>
    <cellStyle name="20% - Accent4 5 2 2 3" xfId="23985" xr:uid="{E850670E-83D2-4CBB-9DDE-BC592D110FD0}"/>
    <cellStyle name="20% - Accent4 5 2 2 4" xfId="15537" xr:uid="{5080AE95-7EBB-42B0-A5A7-BEFCF768CAFC}"/>
    <cellStyle name="20% - Accent4 5 2 3" xfId="28208" xr:uid="{3886471F-CD38-41C1-9700-792865BDC9CB}"/>
    <cellStyle name="20% - Accent4 5 2 4" xfId="19767" xr:uid="{5F45BB72-3310-47DC-BE57-CE42060A176B}"/>
    <cellStyle name="20% - Accent4 5 2 5" xfId="11319" xr:uid="{EE573437-9C3B-439F-9571-AC84321B189E}"/>
    <cellStyle name="20% - Accent4 5 3" xfId="4942" xr:uid="{00000000-0005-0000-0000-000071020000}"/>
    <cellStyle name="20% - Accent4 5 3 2" xfId="30281" xr:uid="{0B14CC9C-B707-44CE-B7F0-96A4903105BA}"/>
    <cellStyle name="20% - Accent4 5 3 3" xfId="21840" xr:uid="{87EC58FC-8DCF-42B7-8967-BC4050DB824D}"/>
    <cellStyle name="20% - Accent4 5 3 4" xfId="13392" xr:uid="{D2EDF3F4-2815-469C-9611-79258D67CCD7}"/>
    <cellStyle name="20% - Accent4 5 4" xfId="26063" xr:uid="{5AE04FDE-142E-44DE-88B2-CDFAE25B36D7}"/>
    <cellStyle name="20% - Accent4 5 5" xfId="17622" xr:uid="{EDAA8E7A-DBAE-4F99-94E4-8E636B1CAEED}"/>
    <cellStyle name="20% - Accent4 5 6" xfId="9174" xr:uid="{9DFB3CF4-6D67-4846-AFA0-17D81782C9DA}"/>
    <cellStyle name="20% - Accent4 6" xfId="1047" xr:uid="{00000000-0005-0000-0000-000072020000}"/>
    <cellStyle name="20% - Accent4 6 2" xfId="3278" xr:uid="{00000000-0005-0000-0000-000073020000}"/>
    <cellStyle name="20% - Accent4 6 2 2" xfId="7500" xr:uid="{00000000-0005-0000-0000-000074020000}"/>
    <cellStyle name="20% - Accent4 6 2 2 2" xfId="32839" xr:uid="{630D7ACC-D1FD-460E-A1E6-A99381E57AF2}"/>
    <cellStyle name="20% - Accent4 6 2 2 3" xfId="24398" xr:uid="{EED2B8E5-35EC-425E-932B-13728865780E}"/>
    <cellStyle name="20% - Accent4 6 2 2 4" xfId="15950" xr:uid="{427FAE88-FBE6-4D86-8CEC-1F682E0BEDEF}"/>
    <cellStyle name="20% - Accent4 6 2 3" xfId="28621" xr:uid="{B835A6C9-B234-4502-A6DC-3A1830C40CE8}"/>
    <cellStyle name="20% - Accent4 6 2 4" xfId="20180" xr:uid="{2FC87A35-F20D-4C84-A80D-C563FB8DA47E}"/>
    <cellStyle name="20% - Accent4 6 2 5" xfId="11732" xr:uid="{02FD1370-8A48-4193-A94D-55F9881C8C7E}"/>
    <cellStyle name="20% - Accent4 6 3" xfId="5355" xr:uid="{00000000-0005-0000-0000-000075020000}"/>
    <cellStyle name="20% - Accent4 6 3 2" xfId="30694" xr:uid="{B0119D66-6F15-4136-A8BD-09165DCF294E}"/>
    <cellStyle name="20% - Accent4 6 3 3" xfId="22253" xr:uid="{276E634C-3B08-485C-A2CC-BE2A4CC0EA96}"/>
    <cellStyle name="20% - Accent4 6 3 4" xfId="13805" xr:uid="{0C211EB9-DEBC-4B0F-804E-B840A0828BC4}"/>
    <cellStyle name="20% - Accent4 6 4" xfId="26476" xr:uid="{DE3AA43A-16E1-4474-836C-DC23582846BE}"/>
    <cellStyle name="20% - Accent4 6 5" xfId="18035" xr:uid="{1CDB91FC-0C86-4FA2-87CE-96BEF3E9E221}"/>
    <cellStyle name="20% - Accent4 6 6" xfId="9587" xr:uid="{C20A544F-C344-4021-92AF-DB57211627C0}"/>
    <cellStyle name="20% - Accent4 7" xfId="1461" xr:uid="{00000000-0005-0000-0000-000076020000}"/>
    <cellStyle name="20% - Accent4 7 2" xfId="3691" xr:uid="{00000000-0005-0000-0000-000077020000}"/>
    <cellStyle name="20% - Accent4 7 2 2" xfId="7913" xr:uid="{00000000-0005-0000-0000-000078020000}"/>
    <cellStyle name="20% - Accent4 7 2 2 2" xfId="33252" xr:uid="{4CF25FD7-9602-4242-8991-757FE20F068D}"/>
    <cellStyle name="20% - Accent4 7 2 2 3" xfId="24811" xr:uid="{F8F3052D-2096-4F18-BE99-794E593CD100}"/>
    <cellStyle name="20% - Accent4 7 2 2 4" xfId="16363" xr:uid="{D5B66894-0CFD-44AC-B008-BB28EC121CE4}"/>
    <cellStyle name="20% - Accent4 7 2 3" xfId="29034" xr:uid="{412E3674-D0D6-4391-9005-AC279A45E79B}"/>
    <cellStyle name="20% - Accent4 7 2 4" xfId="20593" xr:uid="{C1187070-2BA6-4EEA-9434-71AA2017A302}"/>
    <cellStyle name="20% - Accent4 7 2 5" xfId="12145" xr:uid="{F4B50910-FDDF-4DFA-8B2B-2F82BCC6BEFC}"/>
    <cellStyle name="20% - Accent4 7 3" xfId="5768" xr:uid="{00000000-0005-0000-0000-000079020000}"/>
    <cellStyle name="20% - Accent4 7 3 2" xfId="31107" xr:uid="{52E3040E-5187-445D-9663-E082087AE03A}"/>
    <cellStyle name="20% - Accent4 7 3 3" xfId="22666" xr:uid="{83D73E99-A97C-4D15-BFDA-911DD3016913}"/>
    <cellStyle name="20% - Accent4 7 3 4" xfId="14218" xr:uid="{8D31FE5D-8008-4886-AC00-CFF8A5BFB83C}"/>
    <cellStyle name="20% - Accent4 7 4" xfId="26889" xr:uid="{A7D222ED-BCF9-444A-BBE7-6137253F3654}"/>
    <cellStyle name="20% - Accent4 7 5" xfId="18448" xr:uid="{4B975951-DFB1-4EEA-B5FE-B1FA830E3F5F}"/>
    <cellStyle name="20% - Accent4 7 6" xfId="10000" xr:uid="{615F8932-9928-46FD-8D06-A4E1A8F3DBC0}"/>
    <cellStyle name="20% - Accent4 8" xfId="1875" xr:uid="{00000000-0005-0000-0000-00007A020000}"/>
    <cellStyle name="20% - Accent4 8 2" xfId="4104" xr:uid="{00000000-0005-0000-0000-00007B020000}"/>
    <cellStyle name="20% - Accent4 8 2 2" xfId="8326" xr:uid="{00000000-0005-0000-0000-00007C020000}"/>
    <cellStyle name="20% - Accent4 8 2 2 2" xfId="33665" xr:uid="{1904B91F-8389-44E6-9314-29817305A0BA}"/>
    <cellStyle name="20% - Accent4 8 2 2 3" xfId="25224" xr:uid="{F8C8F3D6-5105-457C-82DD-D06E9361350A}"/>
    <cellStyle name="20% - Accent4 8 2 2 4" xfId="16776" xr:uid="{9C73B0F5-74CF-4F33-BEB7-560A7E6CE970}"/>
    <cellStyle name="20% - Accent4 8 2 3" xfId="29447" xr:uid="{C9A47FBD-AA04-45E0-9DF5-9FEE36D1B54D}"/>
    <cellStyle name="20% - Accent4 8 2 4" xfId="21006" xr:uid="{DB3F246F-13D0-4005-BBA2-AF2720DDAE7E}"/>
    <cellStyle name="20% - Accent4 8 2 5" xfId="12558" xr:uid="{7E1B9C3B-BDFA-49CA-A660-7D010A51B35A}"/>
    <cellStyle name="20% - Accent4 8 3" xfId="6181" xr:uid="{00000000-0005-0000-0000-00007D020000}"/>
    <cellStyle name="20% - Accent4 8 3 2" xfId="31520" xr:uid="{B332EF34-5686-467B-A4F0-891FB7722935}"/>
    <cellStyle name="20% - Accent4 8 3 3" xfId="23079" xr:uid="{2F0570CE-3BE9-450E-B917-6564B2785364}"/>
    <cellStyle name="20% - Accent4 8 3 4" xfId="14631" xr:uid="{4EB3D19C-D77A-46D9-9C31-6E52C72F6641}"/>
    <cellStyle name="20% - Accent4 8 4" xfId="27302" xr:uid="{CDFE9E2B-73AE-46B8-B747-1D98FC34AA41}"/>
    <cellStyle name="20% - Accent4 8 5" xfId="18861" xr:uid="{068B7B8A-8DFA-40E5-A977-6268A8F42673}"/>
    <cellStyle name="20% - Accent4 8 6" xfId="10413" xr:uid="{575159D6-08DF-4851-B68E-EFC1EA89B473}"/>
    <cellStyle name="20% - Accent4 9" xfId="2288" xr:uid="{00000000-0005-0000-0000-00007E020000}"/>
    <cellStyle name="20% - Accent4 9 2" xfId="6594" xr:uid="{00000000-0005-0000-0000-00007F020000}"/>
    <cellStyle name="20% - Accent4 9 2 2" xfId="31933" xr:uid="{85382503-9467-4106-AD5D-742736CABFAD}"/>
    <cellStyle name="20% - Accent4 9 2 3" xfId="23492" xr:uid="{75A350FC-F6A0-4E7C-BE24-DCF724F1EB17}"/>
    <cellStyle name="20% - Accent4 9 2 4" xfId="15044" xr:uid="{7D30A7D5-E31B-4F1C-B8F8-186B695F7923}"/>
    <cellStyle name="20% - Accent4 9 3" xfId="27715" xr:uid="{DB57F847-E01E-445A-8B39-B5BDF1B61E35}"/>
    <cellStyle name="20% - Accent4 9 4" xfId="19274" xr:uid="{66046522-0FF9-448E-9264-C3EA0393546A}"/>
    <cellStyle name="20% - Accent4 9 5" xfId="10826" xr:uid="{1983A89C-7952-46C4-9DCE-770187ED8EBA}"/>
    <cellStyle name="20% - Accent5" xfId="33" builtinId="46" customBuiltin="1"/>
    <cellStyle name="20% - Accent5 10" xfId="4536" xr:uid="{00000000-0005-0000-0000-000081020000}"/>
    <cellStyle name="20% - Accent5 10 2" xfId="29875" xr:uid="{020D8D34-9FF0-45D3-83A4-9745AC822E74}"/>
    <cellStyle name="20% - Accent5 10 3" xfId="21434" xr:uid="{D791F07C-0B7D-4B7B-8CAB-99F895E36C5B}"/>
    <cellStyle name="20% - Accent5 10 4" xfId="12986" xr:uid="{8AB375AE-7080-4AB0-9F74-587801510969}"/>
    <cellStyle name="20% - Accent5 11" xfId="25657" xr:uid="{BAD56DD4-9E47-498A-8D52-47A58FC73455}"/>
    <cellStyle name="20% - Accent5 12" xfId="17216" xr:uid="{C91F7247-324A-4F36-BE50-67A8D333A300}"/>
    <cellStyle name="20% - Accent5 13" xfId="8768" xr:uid="{C21BFFE9-E03A-4D4C-9AF6-3A9CA9D989EE}"/>
    <cellStyle name="20% - Accent5 2" xfId="34" xr:uid="{00000000-0005-0000-0000-000082020000}"/>
    <cellStyle name="20% - Accent5 2 10" xfId="25658" xr:uid="{10F5FAF7-B0B0-4732-8EE7-D9F5A14522C3}"/>
    <cellStyle name="20% - Accent5 2 11" xfId="17217" xr:uid="{287732FB-050F-48E0-905B-EF7DCC82481B}"/>
    <cellStyle name="20% - Accent5 2 12" xfId="8769" xr:uid="{50C44F04-7FE6-4A2D-913B-E22BAC493693}"/>
    <cellStyle name="20% - Accent5 2 2" xfId="35" xr:uid="{00000000-0005-0000-0000-000083020000}"/>
    <cellStyle name="20% - Accent5 2 2 10" xfId="17218" xr:uid="{55615949-8730-41DB-A6FF-40867205F74D}"/>
    <cellStyle name="20% - Accent5 2 2 11" xfId="8770" xr:uid="{A19D9BC9-DF40-4125-A4F2-B45C379055FC}"/>
    <cellStyle name="20% - Accent5 2 2 2" xfId="36" xr:uid="{00000000-0005-0000-0000-000084020000}"/>
    <cellStyle name="20% - Accent5 2 2 2 10" xfId="8771" xr:uid="{4DAF7D6B-0E41-4AD0-8F13-2317E34C404B}"/>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32437" xr:uid="{E5B52E47-4C37-4408-9CAF-7BD580ED3240}"/>
    <cellStyle name="20% - Accent5 2 2 2 2 2 2 3" xfId="23996" xr:uid="{E28B44C9-550C-439E-A9FC-955683BAF243}"/>
    <cellStyle name="20% - Accent5 2 2 2 2 2 2 4" xfId="15548" xr:uid="{EEE21FE1-537C-4FB3-BE38-02C7C51C1A3C}"/>
    <cellStyle name="20% - Accent5 2 2 2 2 2 3" xfId="28219" xr:uid="{27A6D388-25CE-4A11-84DD-55C8761D47E0}"/>
    <cellStyle name="20% - Accent5 2 2 2 2 2 4" xfId="19778" xr:uid="{7ACDDCB9-2907-46CD-9538-5434D41D041B}"/>
    <cellStyle name="20% - Accent5 2 2 2 2 2 5" xfId="11330" xr:uid="{DB9727C0-FD03-426A-AA01-BA7B8EACA65A}"/>
    <cellStyle name="20% - Accent5 2 2 2 2 3" xfId="4953" xr:uid="{00000000-0005-0000-0000-000088020000}"/>
    <cellStyle name="20% - Accent5 2 2 2 2 3 2" xfId="30292" xr:uid="{B6EB9313-7D7C-4343-8753-37E9A7520FC7}"/>
    <cellStyle name="20% - Accent5 2 2 2 2 3 3" xfId="21851" xr:uid="{BAD5515E-D070-43A9-AA15-E6AFC9B3E0B5}"/>
    <cellStyle name="20% - Accent5 2 2 2 2 3 4" xfId="13403" xr:uid="{72ADDAA0-F800-44C2-B724-7EBE1B7B323C}"/>
    <cellStyle name="20% - Accent5 2 2 2 2 4" xfId="26074" xr:uid="{3690174A-C824-4C8C-BB3C-34F124EBC602}"/>
    <cellStyle name="20% - Accent5 2 2 2 2 5" xfId="17633" xr:uid="{DE20F275-DCB7-441E-BDA1-FD6BA6B37716}"/>
    <cellStyle name="20% - Accent5 2 2 2 2 6" xfId="9185" xr:uid="{9B544DEE-8965-40C3-94A2-5AB520B60F6F}"/>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32850" xr:uid="{283C24E9-C13D-4E30-AA21-5C0CF03296F1}"/>
    <cellStyle name="20% - Accent5 2 2 2 3 2 2 3" xfId="24409" xr:uid="{7A3D19A5-2D4B-4BE0-9CFB-74E5496801E5}"/>
    <cellStyle name="20% - Accent5 2 2 2 3 2 2 4" xfId="15961" xr:uid="{73A0541F-8982-411A-9B6A-C6B658F04809}"/>
    <cellStyle name="20% - Accent5 2 2 2 3 2 3" xfId="28632" xr:uid="{17521C05-FB5A-4F3C-AB19-A77B3EAEFD6B}"/>
    <cellStyle name="20% - Accent5 2 2 2 3 2 4" xfId="20191" xr:uid="{01683EDA-B3BB-43F4-99EF-99B7B5C8779A}"/>
    <cellStyle name="20% - Accent5 2 2 2 3 2 5" xfId="11743" xr:uid="{BCEB637F-3448-476B-BD34-CD9F5B05C9F9}"/>
    <cellStyle name="20% - Accent5 2 2 2 3 3" xfId="5366" xr:uid="{00000000-0005-0000-0000-00008C020000}"/>
    <cellStyle name="20% - Accent5 2 2 2 3 3 2" xfId="30705" xr:uid="{34719B0E-E040-43FC-A4A6-0A8BAF204E63}"/>
    <cellStyle name="20% - Accent5 2 2 2 3 3 3" xfId="22264" xr:uid="{7AECEB85-35B2-472E-8611-CFC53A8D8D4E}"/>
    <cellStyle name="20% - Accent5 2 2 2 3 3 4" xfId="13816" xr:uid="{6322DA38-A57D-4319-BE9F-68D8929085D4}"/>
    <cellStyle name="20% - Accent5 2 2 2 3 4" xfId="26487" xr:uid="{D6CBD646-9A5B-403A-BB27-FBA6C40BEAAC}"/>
    <cellStyle name="20% - Accent5 2 2 2 3 5" xfId="18046" xr:uid="{F3F97450-B8C8-4562-9BEF-BCC8132D7D6F}"/>
    <cellStyle name="20% - Accent5 2 2 2 3 6" xfId="9598" xr:uid="{E0056EB7-7A10-48E6-AF03-8506D8028245}"/>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33263" xr:uid="{9EFB3401-D577-4397-9C3A-31C91DD58ECA}"/>
    <cellStyle name="20% - Accent5 2 2 2 4 2 2 3" xfId="24822" xr:uid="{FFCA41CB-2674-4A41-A87D-02F7F550EE59}"/>
    <cellStyle name="20% - Accent5 2 2 2 4 2 2 4" xfId="16374" xr:uid="{6A6EBF89-F831-46F8-99E5-84EE623B16A4}"/>
    <cellStyle name="20% - Accent5 2 2 2 4 2 3" xfId="29045" xr:uid="{31AB3646-16CD-4271-95B5-9A8D17C0425D}"/>
    <cellStyle name="20% - Accent5 2 2 2 4 2 4" xfId="20604" xr:uid="{9A18EF32-FA9F-477D-98BE-6F5605E9868A}"/>
    <cellStyle name="20% - Accent5 2 2 2 4 2 5" xfId="12156" xr:uid="{F436DA37-DC3E-4A32-A807-56A1C4894773}"/>
    <cellStyle name="20% - Accent5 2 2 2 4 3" xfId="5779" xr:uid="{00000000-0005-0000-0000-000090020000}"/>
    <cellStyle name="20% - Accent5 2 2 2 4 3 2" xfId="31118" xr:uid="{8B3C3DA1-3B2A-4C36-B7F2-DBC695FDD530}"/>
    <cellStyle name="20% - Accent5 2 2 2 4 3 3" xfId="22677" xr:uid="{81EB7A74-2259-4D27-913A-A43756B34C60}"/>
    <cellStyle name="20% - Accent5 2 2 2 4 3 4" xfId="14229" xr:uid="{1816AB66-A044-440F-AF88-FA291AD07126}"/>
    <cellStyle name="20% - Accent5 2 2 2 4 4" xfId="26900" xr:uid="{E847E435-BE4F-42A2-827C-63763C5FEFF0}"/>
    <cellStyle name="20% - Accent5 2 2 2 4 5" xfId="18459" xr:uid="{EE0E9A88-E6C1-46C3-A7E9-0BD37E7C4AAE}"/>
    <cellStyle name="20% - Accent5 2 2 2 4 6" xfId="10011" xr:uid="{482FA2C6-618C-4B1F-9FCD-5DC08AB36BE5}"/>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33676" xr:uid="{73777B6B-EA4E-4114-AE30-62A0C8AA16A2}"/>
    <cellStyle name="20% - Accent5 2 2 2 5 2 2 3" xfId="25235" xr:uid="{542856DE-4198-4AD0-8414-C3BB0DE81417}"/>
    <cellStyle name="20% - Accent5 2 2 2 5 2 2 4" xfId="16787" xr:uid="{B6B8EA45-6617-43B8-8B30-A0AAA191776D}"/>
    <cellStyle name="20% - Accent5 2 2 2 5 2 3" xfId="29458" xr:uid="{6BFCCD2C-F68D-46B2-B319-46049A15A215}"/>
    <cellStyle name="20% - Accent5 2 2 2 5 2 4" xfId="21017" xr:uid="{AFFD074E-DC5D-42F5-A222-EDC733E9876A}"/>
    <cellStyle name="20% - Accent5 2 2 2 5 2 5" xfId="12569" xr:uid="{28AB3DDA-5218-4976-87FC-A9109791F43F}"/>
    <cellStyle name="20% - Accent5 2 2 2 5 3" xfId="6192" xr:uid="{00000000-0005-0000-0000-000094020000}"/>
    <cellStyle name="20% - Accent5 2 2 2 5 3 2" xfId="31531" xr:uid="{BECDC3FC-9895-4878-9EB6-4231B0846037}"/>
    <cellStyle name="20% - Accent5 2 2 2 5 3 3" xfId="23090" xr:uid="{E93B626C-C814-4905-BC99-1EC774646F70}"/>
    <cellStyle name="20% - Accent5 2 2 2 5 3 4" xfId="14642" xr:uid="{93B621F2-84E4-4047-BCD5-CBAE2BD6B4D6}"/>
    <cellStyle name="20% - Accent5 2 2 2 5 4" xfId="27313" xr:uid="{8756078C-7DF8-46FD-8DE2-B8DC3742A82A}"/>
    <cellStyle name="20% - Accent5 2 2 2 5 5" xfId="18872" xr:uid="{38BC85B0-3BCA-41E4-A21D-A1008E529DB9}"/>
    <cellStyle name="20% - Accent5 2 2 2 5 6" xfId="10424" xr:uid="{F4002AD2-74D2-4618-B3C2-1AD2B15B1454}"/>
    <cellStyle name="20% - Accent5 2 2 2 6" xfId="2299" xr:uid="{00000000-0005-0000-0000-000095020000}"/>
    <cellStyle name="20% - Accent5 2 2 2 6 2" xfId="6605" xr:uid="{00000000-0005-0000-0000-000096020000}"/>
    <cellStyle name="20% - Accent5 2 2 2 6 2 2" xfId="31944" xr:uid="{6CBD137F-F27A-4FD6-8CEF-CCD61F888C8E}"/>
    <cellStyle name="20% - Accent5 2 2 2 6 2 3" xfId="23503" xr:uid="{FA9EE5A4-C0C9-4B4D-B72A-F88DF286AE04}"/>
    <cellStyle name="20% - Accent5 2 2 2 6 2 4" xfId="15055" xr:uid="{84C2846C-C8FC-4AA8-85EC-6D1085215B89}"/>
    <cellStyle name="20% - Accent5 2 2 2 6 3" xfId="27726" xr:uid="{45F93778-2E99-49EA-A7BA-BE00326B82B9}"/>
    <cellStyle name="20% - Accent5 2 2 2 6 4" xfId="19285" xr:uid="{958034ED-F6A2-4A99-96CB-BF57CC097F1D}"/>
    <cellStyle name="20% - Accent5 2 2 2 6 5" xfId="10837" xr:uid="{E56F6CAB-FEC3-4280-A155-9471C80E68F4}"/>
    <cellStyle name="20% - Accent5 2 2 2 7" xfId="4539" xr:uid="{00000000-0005-0000-0000-000097020000}"/>
    <cellStyle name="20% - Accent5 2 2 2 7 2" xfId="29878" xr:uid="{6AD5F4B5-B23D-4192-9143-A2D716BB4473}"/>
    <cellStyle name="20% - Accent5 2 2 2 7 3" xfId="21437" xr:uid="{AFE802E7-9658-405F-992F-B4D734A60B8F}"/>
    <cellStyle name="20% - Accent5 2 2 2 7 4" xfId="12989" xr:uid="{58F10385-41A4-4E14-8E58-9D66F5484037}"/>
    <cellStyle name="20% - Accent5 2 2 2 8" xfId="25660" xr:uid="{836357D5-3858-4160-A0BA-640B4A421402}"/>
    <cellStyle name="20% - Accent5 2 2 2 9" xfId="17219" xr:uid="{5C66F318-3BDB-47CB-9DE9-E7D9D5C7741C}"/>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32436" xr:uid="{4AAA7265-8219-4E35-B7A5-27FAADECB590}"/>
    <cellStyle name="20% - Accent5 2 2 3 2 2 3" xfId="23995" xr:uid="{DCB77901-137A-422E-851C-7CCFB6EA0589}"/>
    <cellStyle name="20% - Accent5 2 2 3 2 2 4" xfId="15547" xr:uid="{125E9DD9-F6BA-4942-B507-0ECE3EA234E7}"/>
    <cellStyle name="20% - Accent5 2 2 3 2 3" xfId="28218" xr:uid="{7FE6B5D1-A28C-474F-81EA-98208970E10F}"/>
    <cellStyle name="20% - Accent5 2 2 3 2 4" xfId="19777" xr:uid="{E7494C6E-2E36-49BA-9FB1-95BB531C925F}"/>
    <cellStyle name="20% - Accent5 2 2 3 2 5" xfId="11329" xr:uid="{307E07DC-4CB4-4037-8507-1476CCEA655B}"/>
    <cellStyle name="20% - Accent5 2 2 3 3" xfId="4952" xr:uid="{00000000-0005-0000-0000-00009B020000}"/>
    <cellStyle name="20% - Accent5 2 2 3 3 2" xfId="30291" xr:uid="{721F5789-47CB-4E91-9FA1-ED1F0FA4F812}"/>
    <cellStyle name="20% - Accent5 2 2 3 3 3" xfId="21850" xr:uid="{4FA237B2-8E58-4C3E-8101-A03E4A8F9DE9}"/>
    <cellStyle name="20% - Accent5 2 2 3 3 4" xfId="13402" xr:uid="{DEF4F5EB-787D-456B-B659-81CCB66374B8}"/>
    <cellStyle name="20% - Accent5 2 2 3 4" xfId="26073" xr:uid="{626A4144-8551-4369-AE32-BE00157608F9}"/>
    <cellStyle name="20% - Accent5 2 2 3 5" xfId="17632" xr:uid="{3A08BBAC-A05A-4B0D-9883-568CA6B94A1B}"/>
    <cellStyle name="20% - Accent5 2 2 3 6" xfId="9184" xr:uid="{D26BB3AE-9FD8-482B-8166-91D316C3DAF5}"/>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32849" xr:uid="{F6A3783E-60C8-4026-8DCA-59774B7E1C2F}"/>
    <cellStyle name="20% - Accent5 2 2 4 2 2 3" xfId="24408" xr:uid="{B3851AA7-7465-4876-911C-CF6BBD085AF6}"/>
    <cellStyle name="20% - Accent5 2 2 4 2 2 4" xfId="15960" xr:uid="{B237FF35-0CB8-41FB-8FD9-51EA4343471A}"/>
    <cellStyle name="20% - Accent5 2 2 4 2 3" xfId="28631" xr:uid="{39A25F9F-8580-4CCB-8490-E4572D505503}"/>
    <cellStyle name="20% - Accent5 2 2 4 2 4" xfId="20190" xr:uid="{497DCA7E-9FD6-4E53-85FF-B650F819727D}"/>
    <cellStyle name="20% - Accent5 2 2 4 2 5" xfId="11742" xr:uid="{5E3E87A1-B088-4D50-BEDD-F8ACB55A0D98}"/>
    <cellStyle name="20% - Accent5 2 2 4 3" xfId="5365" xr:uid="{00000000-0005-0000-0000-00009F020000}"/>
    <cellStyle name="20% - Accent5 2 2 4 3 2" xfId="30704" xr:uid="{746551C5-EF53-43F0-9BEC-8B838DF50613}"/>
    <cellStyle name="20% - Accent5 2 2 4 3 3" xfId="22263" xr:uid="{47D92321-8DCD-4EF6-BFB1-9DCCFD0AF4BB}"/>
    <cellStyle name="20% - Accent5 2 2 4 3 4" xfId="13815" xr:uid="{252CD84F-79E1-4DD8-AED2-D88E7D9C7E5D}"/>
    <cellStyle name="20% - Accent5 2 2 4 4" xfId="26486" xr:uid="{C886CA80-F292-4C3E-B52B-C60C7F600914}"/>
    <cellStyle name="20% - Accent5 2 2 4 5" xfId="18045" xr:uid="{03C1BA9B-6ECC-404F-893A-ED11E6C2FE0D}"/>
    <cellStyle name="20% - Accent5 2 2 4 6" xfId="9597" xr:uid="{4E9026C0-F0F2-4A25-BA15-2AF71538D1C6}"/>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33262" xr:uid="{D275EE9A-59BC-488A-90B1-643020121781}"/>
    <cellStyle name="20% - Accent5 2 2 5 2 2 3" xfId="24821" xr:uid="{1E8778CC-3612-473B-9EEF-23E186A8D46E}"/>
    <cellStyle name="20% - Accent5 2 2 5 2 2 4" xfId="16373" xr:uid="{2F38FEA2-2410-48D0-964D-7D25F3F5E2BF}"/>
    <cellStyle name="20% - Accent5 2 2 5 2 3" xfId="29044" xr:uid="{2D38662C-76A1-4CFA-8F75-6554A45B480A}"/>
    <cellStyle name="20% - Accent5 2 2 5 2 4" xfId="20603" xr:uid="{D6EA1790-65B4-4728-941A-53357F3A4F11}"/>
    <cellStyle name="20% - Accent5 2 2 5 2 5" xfId="12155" xr:uid="{4DD7235E-3D1A-40C9-9A76-089D71A490AC}"/>
    <cellStyle name="20% - Accent5 2 2 5 3" xfId="5778" xr:uid="{00000000-0005-0000-0000-0000A3020000}"/>
    <cellStyle name="20% - Accent5 2 2 5 3 2" xfId="31117" xr:uid="{5F79A157-05FB-4F1F-BCDE-A4B2BF07CFA9}"/>
    <cellStyle name="20% - Accent5 2 2 5 3 3" xfId="22676" xr:uid="{2AD4B733-F4D4-430E-9462-9CB6A6EAA954}"/>
    <cellStyle name="20% - Accent5 2 2 5 3 4" xfId="14228" xr:uid="{A1113CE1-0CBC-454B-9EA9-4CA144B5AE94}"/>
    <cellStyle name="20% - Accent5 2 2 5 4" xfId="26899" xr:uid="{BB216681-C03E-4DA9-94BE-119710FA23DC}"/>
    <cellStyle name="20% - Accent5 2 2 5 5" xfId="18458" xr:uid="{6879933A-563C-4326-BF9E-C3B9CE7D9378}"/>
    <cellStyle name="20% - Accent5 2 2 5 6" xfId="10010" xr:uid="{6EEB57D3-75DA-45C2-A40E-54BA289E80C6}"/>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33675" xr:uid="{6E8E05B8-1313-4262-B0F6-52CBF866E083}"/>
    <cellStyle name="20% - Accent5 2 2 6 2 2 3" xfId="25234" xr:uid="{DBF850AF-5886-412E-B273-65CCEA896591}"/>
    <cellStyle name="20% - Accent5 2 2 6 2 2 4" xfId="16786" xr:uid="{C2C3E9B4-25A1-4F14-8FC1-C9AA444DC442}"/>
    <cellStyle name="20% - Accent5 2 2 6 2 3" xfId="29457" xr:uid="{4D52971C-0235-4016-B1FA-1AB17804C1B9}"/>
    <cellStyle name="20% - Accent5 2 2 6 2 4" xfId="21016" xr:uid="{27546C8B-EC7B-4A39-B0FB-4305C6EAEF29}"/>
    <cellStyle name="20% - Accent5 2 2 6 2 5" xfId="12568" xr:uid="{63F69A25-B22F-4AED-B522-394F5AB3F2EE}"/>
    <cellStyle name="20% - Accent5 2 2 6 3" xfId="6191" xr:uid="{00000000-0005-0000-0000-0000A7020000}"/>
    <cellStyle name="20% - Accent5 2 2 6 3 2" xfId="31530" xr:uid="{7198985E-AB70-49F9-AC33-E45586F6C9EB}"/>
    <cellStyle name="20% - Accent5 2 2 6 3 3" xfId="23089" xr:uid="{E4BF5ED2-C445-4590-92E7-6816352406B6}"/>
    <cellStyle name="20% - Accent5 2 2 6 3 4" xfId="14641" xr:uid="{9CE713D4-9235-41EA-99C1-20A8B7D3C959}"/>
    <cellStyle name="20% - Accent5 2 2 6 4" xfId="27312" xr:uid="{8F764420-6312-4BAC-AC6D-82D142FA602B}"/>
    <cellStyle name="20% - Accent5 2 2 6 5" xfId="18871" xr:uid="{171B2FAC-FE12-417A-BAB5-C2D89B1F1BB9}"/>
    <cellStyle name="20% - Accent5 2 2 6 6" xfId="10423" xr:uid="{3504C93D-3673-44C3-90BA-6C79473E8991}"/>
    <cellStyle name="20% - Accent5 2 2 7" xfId="2298" xr:uid="{00000000-0005-0000-0000-0000A8020000}"/>
    <cellStyle name="20% - Accent5 2 2 7 2" xfId="6604" xr:uid="{00000000-0005-0000-0000-0000A9020000}"/>
    <cellStyle name="20% - Accent5 2 2 7 2 2" xfId="31943" xr:uid="{01C64881-7A7F-4478-A727-FB910A2F892E}"/>
    <cellStyle name="20% - Accent5 2 2 7 2 3" xfId="23502" xr:uid="{E6C437F2-E725-4D15-A995-9538B0396CC6}"/>
    <cellStyle name="20% - Accent5 2 2 7 2 4" xfId="15054" xr:uid="{27BBD7B2-B510-410D-97B0-BD60CEB122A3}"/>
    <cellStyle name="20% - Accent5 2 2 7 3" xfId="27725" xr:uid="{52EA29B8-9B17-4CE0-A2D3-A17C07DD0430}"/>
    <cellStyle name="20% - Accent5 2 2 7 4" xfId="19284" xr:uid="{C65018B7-79BD-4AA8-899F-C49DC6FD6DF7}"/>
    <cellStyle name="20% - Accent5 2 2 7 5" xfId="10836" xr:uid="{AFAF8456-6302-4AF9-BF8D-A17802396E53}"/>
    <cellStyle name="20% - Accent5 2 2 8" xfId="4538" xr:uid="{00000000-0005-0000-0000-0000AA020000}"/>
    <cellStyle name="20% - Accent5 2 2 8 2" xfId="29877" xr:uid="{E710DAA6-7D87-4A3F-8E8A-4BC1C859BACE}"/>
    <cellStyle name="20% - Accent5 2 2 8 3" xfId="21436" xr:uid="{313ADB28-8CA6-419B-B3C7-D4B8DC0C74DE}"/>
    <cellStyle name="20% - Accent5 2 2 8 4" xfId="12988" xr:uid="{D9014911-3502-49FE-A011-59A8BC799429}"/>
    <cellStyle name="20% - Accent5 2 2 9" xfId="25659" xr:uid="{C8851178-DD48-4BCA-8AA5-9F9C5BFCE17D}"/>
    <cellStyle name="20% - Accent5 2 3" xfId="37" xr:uid="{00000000-0005-0000-0000-0000AB020000}"/>
    <cellStyle name="20% - Accent5 2 3 10" xfId="8772" xr:uid="{ADBF979E-9A52-4D41-9BD7-77FCB8310BA5}"/>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32438" xr:uid="{02814EE4-3E74-4CED-A848-81F5765E7580}"/>
    <cellStyle name="20% - Accent5 2 3 2 2 2 3" xfId="23997" xr:uid="{2A380CD9-B2B5-4920-94E1-E267EEA5FB35}"/>
    <cellStyle name="20% - Accent5 2 3 2 2 2 4" xfId="15549" xr:uid="{6AF480BF-CB1C-445E-B9F2-B347643E0AF7}"/>
    <cellStyle name="20% - Accent5 2 3 2 2 3" xfId="28220" xr:uid="{340B955A-B11B-4F0E-AD6F-8A35003A4CA5}"/>
    <cellStyle name="20% - Accent5 2 3 2 2 4" xfId="19779" xr:uid="{592D815B-EE78-44E2-B15E-056A333DB4D7}"/>
    <cellStyle name="20% - Accent5 2 3 2 2 5" xfId="11331" xr:uid="{A3354FF4-F359-4299-A172-40E3892A558D}"/>
    <cellStyle name="20% - Accent5 2 3 2 3" xfId="4954" xr:uid="{00000000-0005-0000-0000-0000AF020000}"/>
    <cellStyle name="20% - Accent5 2 3 2 3 2" xfId="30293" xr:uid="{9A709C34-5ADF-4D23-9B81-C39E6E3D2566}"/>
    <cellStyle name="20% - Accent5 2 3 2 3 3" xfId="21852" xr:uid="{A3D3133E-B64A-4907-A65F-871D2721D585}"/>
    <cellStyle name="20% - Accent5 2 3 2 3 4" xfId="13404" xr:uid="{EEFDBCE9-1E99-444C-B744-41E86617FCE6}"/>
    <cellStyle name="20% - Accent5 2 3 2 4" xfId="26075" xr:uid="{39EA32F5-C57A-4EC2-9FB5-22CC07E76171}"/>
    <cellStyle name="20% - Accent5 2 3 2 5" xfId="17634" xr:uid="{5C11D05F-0F00-4C92-B315-E783F51EC2BF}"/>
    <cellStyle name="20% - Accent5 2 3 2 6" xfId="9186" xr:uid="{11329A7A-CE97-407C-B0AA-A49E4A500518}"/>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32851" xr:uid="{439C32DF-E495-48F1-BE77-5F3ABD4BD6C3}"/>
    <cellStyle name="20% - Accent5 2 3 3 2 2 3" xfId="24410" xr:uid="{1A9C23BA-4801-4A60-BF29-B9AF576AE3F2}"/>
    <cellStyle name="20% - Accent5 2 3 3 2 2 4" xfId="15962" xr:uid="{F39A5C1C-132F-4E51-898C-92FC4487FEB6}"/>
    <cellStyle name="20% - Accent5 2 3 3 2 3" xfId="28633" xr:uid="{9BEC671B-A77F-413F-AAD6-72CC01D92CFA}"/>
    <cellStyle name="20% - Accent5 2 3 3 2 4" xfId="20192" xr:uid="{64277427-F26A-49A4-965C-2C303A10EA23}"/>
    <cellStyle name="20% - Accent5 2 3 3 2 5" xfId="11744" xr:uid="{02BCA996-7861-4084-A3C8-D741D1218472}"/>
    <cellStyle name="20% - Accent5 2 3 3 3" xfId="5367" xr:uid="{00000000-0005-0000-0000-0000B3020000}"/>
    <cellStyle name="20% - Accent5 2 3 3 3 2" xfId="30706" xr:uid="{9E8401D0-E676-4F9B-80C1-BE7FD691FDE1}"/>
    <cellStyle name="20% - Accent5 2 3 3 3 3" xfId="22265" xr:uid="{97C1C412-1C7E-4137-94C2-C732E81676D8}"/>
    <cellStyle name="20% - Accent5 2 3 3 3 4" xfId="13817" xr:uid="{CD7E936C-F800-45C3-B33C-D9ED232C914A}"/>
    <cellStyle name="20% - Accent5 2 3 3 4" xfId="26488" xr:uid="{CF950AC4-8DF4-47A8-86A1-0D21CD803EDC}"/>
    <cellStyle name="20% - Accent5 2 3 3 5" xfId="18047" xr:uid="{A1CE7141-887F-4BCB-B8BB-A87548CD7FA6}"/>
    <cellStyle name="20% - Accent5 2 3 3 6" xfId="9599" xr:uid="{DC7FF1BA-7E1B-4938-A67D-2A58D9E08C4F}"/>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33264" xr:uid="{71192521-0DC7-428F-9594-BABFB0C90F74}"/>
    <cellStyle name="20% - Accent5 2 3 4 2 2 3" xfId="24823" xr:uid="{08B8A35D-6160-4FB0-AD90-F94EC198373F}"/>
    <cellStyle name="20% - Accent5 2 3 4 2 2 4" xfId="16375" xr:uid="{E6A7CCCD-78F9-43B9-8FEC-06AFB428B53E}"/>
    <cellStyle name="20% - Accent5 2 3 4 2 3" xfId="29046" xr:uid="{00AB5F66-1F3A-4E24-9E37-E6455162351C}"/>
    <cellStyle name="20% - Accent5 2 3 4 2 4" xfId="20605" xr:uid="{A975E7F0-DFF6-41C0-A0CE-8F72B94864CA}"/>
    <cellStyle name="20% - Accent5 2 3 4 2 5" xfId="12157" xr:uid="{95E3FD23-7A8B-43A3-A4AF-3569B840300A}"/>
    <cellStyle name="20% - Accent5 2 3 4 3" xfId="5780" xr:uid="{00000000-0005-0000-0000-0000B7020000}"/>
    <cellStyle name="20% - Accent5 2 3 4 3 2" xfId="31119" xr:uid="{343000AE-CA6D-431F-910C-0F0526386ADF}"/>
    <cellStyle name="20% - Accent5 2 3 4 3 3" xfId="22678" xr:uid="{98D6AA14-4CDE-45F8-8E08-322CF394EAFD}"/>
    <cellStyle name="20% - Accent5 2 3 4 3 4" xfId="14230" xr:uid="{0C7ADA52-E20C-4377-90C4-081BACE6772D}"/>
    <cellStyle name="20% - Accent5 2 3 4 4" xfId="26901" xr:uid="{AD7DB32F-AD35-4523-93D1-5683831D5C2C}"/>
    <cellStyle name="20% - Accent5 2 3 4 5" xfId="18460" xr:uid="{F4EC3F7F-1483-49C6-92B4-3CFDEF7FAE48}"/>
    <cellStyle name="20% - Accent5 2 3 4 6" xfId="10012" xr:uid="{B95D937B-0ABB-4562-A89D-E026DCDD746E}"/>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33677" xr:uid="{F2E5288C-F236-4207-B1F6-0DCD20077C90}"/>
    <cellStyle name="20% - Accent5 2 3 5 2 2 3" xfId="25236" xr:uid="{8AA5B4AC-9A6B-4BA0-B053-15D162D8A2D9}"/>
    <cellStyle name="20% - Accent5 2 3 5 2 2 4" xfId="16788" xr:uid="{920CE87D-A93F-4A06-A677-73881EA274C5}"/>
    <cellStyle name="20% - Accent5 2 3 5 2 3" xfId="29459" xr:uid="{A1036150-213A-4701-A3CE-A51B00265DB6}"/>
    <cellStyle name="20% - Accent5 2 3 5 2 4" xfId="21018" xr:uid="{B8E6906B-F2B7-411A-86B0-477815F4DFD9}"/>
    <cellStyle name="20% - Accent5 2 3 5 2 5" xfId="12570" xr:uid="{3BA09C32-E6B7-4651-ABB3-B4C1E7E3B78C}"/>
    <cellStyle name="20% - Accent5 2 3 5 3" xfId="6193" xr:uid="{00000000-0005-0000-0000-0000BB020000}"/>
    <cellStyle name="20% - Accent5 2 3 5 3 2" xfId="31532" xr:uid="{F1C0F5EA-E415-4C11-8874-FAD3A360D36E}"/>
    <cellStyle name="20% - Accent5 2 3 5 3 3" xfId="23091" xr:uid="{4EE4A636-3755-4BB4-B49E-402A8FF19FFE}"/>
    <cellStyle name="20% - Accent5 2 3 5 3 4" xfId="14643" xr:uid="{B4CD0158-0D38-4302-BA86-2FE79DFDF519}"/>
    <cellStyle name="20% - Accent5 2 3 5 4" xfId="27314" xr:uid="{DCACC87B-A470-42CB-9860-18400E94C28E}"/>
    <cellStyle name="20% - Accent5 2 3 5 5" xfId="18873" xr:uid="{7A5A9FE4-1B79-4816-A697-C0BED5D779AE}"/>
    <cellStyle name="20% - Accent5 2 3 5 6" xfId="10425" xr:uid="{31BB3454-2F88-4AA9-8D8F-571CA0F6C5EA}"/>
    <cellStyle name="20% - Accent5 2 3 6" xfId="2300" xr:uid="{00000000-0005-0000-0000-0000BC020000}"/>
    <cellStyle name="20% - Accent5 2 3 6 2" xfId="6606" xr:uid="{00000000-0005-0000-0000-0000BD020000}"/>
    <cellStyle name="20% - Accent5 2 3 6 2 2" xfId="31945" xr:uid="{C177506C-445F-4436-99C8-00C4B44A945C}"/>
    <cellStyle name="20% - Accent5 2 3 6 2 3" xfId="23504" xr:uid="{5EB89AC6-040F-4CBF-9CBC-7FAC8935BEA3}"/>
    <cellStyle name="20% - Accent5 2 3 6 2 4" xfId="15056" xr:uid="{BE6EBB46-D661-446F-A668-B3FA61566349}"/>
    <cellStyle name="20% - Accent5 2 3 6 3" xfId="27727" xr:uid="{2D6C9CF7-2683-4BD6-9D58-BE7687CA3C27}"/>
    <cellStyle name="20% - Accent5 2 3 6 4" xfId="19286" xr:uid="{7FF22B87-DEC2-4969-B355-52B7595EC7F0}"/>
    <cellStyle name="20% - Accent5 2 3 6 5" xfId="10838" xr:uid="{437309B4-D5B9-4B7F-AD42-626120FE9AB9}"/>
    <cellStyle name="20% - Accent5 2 3 7" xfId="4540" xr:uid="{00000000-0005-0000-0000-0000BE020000}"/>
    <cellStyle name="20% - Accent5 2 3 7 2" xfId="29879" xr:uid="{8433ED73-7B74-49DC-84FE-5E31028C648F}"/>
    <cellStyle name="20% - Accent5 2 3 7 3" xfId="21438" xr:uid="{AAE8FE77-4713-47B7-91D7-B84980E3AF9E}"/>
    <cellStyle name="20% - Accent5 2 3 7 4" xfId="12990" xr:uid="{C9F92193-C818-4C3A-84F0-28D2AA9657C9}"/>
    <cellStyle name="20% - Accent5 2 3 8" xfId="25661" xr:uid="{DE22595C-25A1-4012-BE85-4FDFC4CC9CCB}"/>
    <cellStyle name="20% - Accent5 2 3 9" xfId="17220" xr:uid="{D3C69C8D-68EE-430D-8E0D-E13EE3FBCE83}"/>
    <cellStyle name="20% - Accent5 2 4" xfId="603" xr:uid="{00000000-0005-0000-0000-0000BF020000}"/>
    <cellStyle name="20% - Accent5 2 4 2" xfId="2874" xr:uid="{00000000-0005-0000-0000-0000C0020000}"/>
    <cellStyle name="20% - Accent5 2 4 2 2" xfId="7096" xr:uid="{00000000-0005-0000-0000-0000C1020000}"/>
    <cellStyle name="20% - Accent5 2 4 2 2 2" xfId="32435" xr:uid="{D6E92CD4-3252-42E8-9355-29B6515D549D}"/>
    <cellStyle name="20% - Accent5 2 4 2 2 3" xfId="23994" xr:uid="{1CEB3306-7349-48D3-8F06-43A95D574E4A}"/>
    <cellStyle name="20% - Accent5 2 4 2 2 4" xfId="15546" xr:uid="{995640AB-9622-4B47-8BB9-47859C7F2B7D}"/>
    <cellStyle name="20% - Accent5 2 4 2 3" xfId="28217" xr:uid="{326D0E9A-45AB-4838-9F6F-66790F7BE021}"/>
    <cellStyle name="20% - Accent5 2 4 2 4" xfId="19776" xr:uid="{54AA674C-E972-4F87-A540-11780B95E625}"/>
    <cellStyle name="20% - Accent5 2 4 2 5" xfId="11328" xr:uid="{B2609CF8-F8F7-4151-B9C6-86903D66CAE3}"/>
    <cellStyle name="20% - Accent5 2 4 3" xfId="4951" xr:uid="{00000000-0005-0000-0000-0000C2020000}"/>
    <cellStyle name="20% - Accent5 2 4 3 2" xfId="30290" xr:uid="{D77AD736-63D5-4AFF-9F5D-52BD691AE1CE}"/>
    <cellStyle name="20% - Accent5 2 4 3 3" xfId="21849" xr:uid="{8452CC9F-8F67-4D8F-9DBA-FA52BF312D63}"/>
    <cellStyle name="20% - Accent5 2 4 3 4" xfId="13401" xr:uid="{3E53C61C-0D1B-46DB-AB09-D7220517F41E}"/>
    <cellStyle name="20% - Accent5 2 4 4" xfId="26072" xr:uid="{1E9B6AAD-A358-4902-9D83-E3109A8229FF}"/>
    <cellStyle name="20% - Accent5 2 4 5" xfId="17631" xr:uid="{BEEEDA91-5004-4A6B-84D3-9B010CE63044}"/>
    <cellStyle name="20% - Accent5 2 4 6" xfId="9183" xr:uid="{CB883174-6AB5-4F2B-9D79-78974DCF4657}"/>
    <cellStyle name="20% - Accent5 2 5" xfId="1056" xr:uid="{00000000-0005-0000-0000-0000C3020000}"/>
    <cellStyle name="20% - Accent5 2 5 2" xfId="3287" xr:uid="{00000000-0005-0000-0000-0000C4020000}"/>
    <cellStyle name="20% - Accent5 2 5 2 2" xfId="7509" xr:uid="{00000000-0005-0000-0000-0000C5020000}"/>
    <cellStyle name="20% - Accent5 2 5 2 2 2" xfId="32848" xr:uid="{E9A4CF9C-02D4-4CC2-97BD-1D5241D30C56}"/>
    <cellStyle name="20% - Accent5 2 5 2 2 3" xfId="24407" xr:uid="{9B2B50A1-BAAF-465B-AE11-684C75D8A109}"/>
    <cellStyle name="20% - Accent5 2 5 2 2 4" xfId="15959" xr:uid="{4395B4A7-664D-4DFA-8193-D307FE1A4911}"/>
    <cellStyle name="20% - Accent5 2 5 2 3" xfId="28630" xr:uid="{D77B09E5-2718-4F69-9B54-26236D1BB501}"/>
    <cellStyle name="20% - Accent5 2 5 2 4" xfId="20189" xr:uid="{A5E27523-25EA-4178-86B7-F97598BA6C11}"/>
    <cellStyle name="20% - Accent5 2 5 2 5" xfId="11741" xr:uid="{85C4EC33-3537-4558-A5D2-2E5D6BC941B8}"/>
    <cellStyle name="20% - Accent5 2 5 3" xfId="5364" xr:uid="{00000000-0005-0000-0000-0000C6020000}"/>
    <cellStyle name="20% - Accent5 2 5 3 2" xfId="30703" xr:uid="{E32A6F9E-4BA7-48D8-A29E-B3868CF8973A}"/>
    <cellStyle name="20% - Accent5 2 5 3 3" xfId="22262" xr:uid="{80582F78-32CB-4D78-823A-6E717D5E5D13}"/>
    <cellStyle name="20% - Accent5 2 5 3 4" xfId="13814" xr:uid="{2B4965A1-A8C3-4691-B726-2BA0F606D1F0}"/>
    <cellStyle name="20% - Accent5 2 5 4" xfId="26485" xr:uid="{66B393D9-7DB1-458F-AE98-906BD9B2659D}"/>
    <cellStyle name="20% - Accent5 2 5 5" xfId="18044" xr:uid="{CF3B6589-0E29-4D98-9EC0-D9FD0554D001}"/>
    <cellStyle name="20% - Accent5 2 5 6" xfId="9596" xr:uid="{0FD17A5E-A174-4E8B-9F61-7D568C8255B8}"/>
    <cellStyle name="20% - Accent5 2 6" xfId="1470" xr:uid="{00000000-0005-0000-0000-0000C7020000}"/>
    <cellStyle name="20% - Accent5 2 6 2" xfId="3700" xr:uid="{00000000-0005-0000-0000-0000C8020000}"/>
    <cellStyle name="20% - Accent5 2 6 2 2" xfId="7922" xr:uid="{00000000-0005-0000-0000-0000C9020000}"/>
    <cellStyle name="20% - Accent5 2 6 2 2 2" xfId="33261" xr:uid="{53F487C8-F88C-4F0C-AE7E-902BC7EF06C9}"/>
    <cellStyle name="20% - Accent5 2 6 2 2 3" xfId="24820" xr:uid="{AA71403B-EEEF-435A-AE88-334C1FFEDB38}"/>
    <cellStyle name="20% - Accent5 2 6 2 2 4" xfId="16372" xr:uid="{ABA1B0A7-AC78-4EAB-A98C-697CD4E7B8D4}"/>
    <cellStyle name="20% - Accent5 2 6 2 3" xfId="29043" xr:uid="{85524EF7-C8FA-44E2-B32E-48B98F2AF1FA}"/>
    <cellStyle name="20% - Accent5 2 6 2 4" xfId="20602" xr:uid="{4E4543BD-5C87-4B5C-BA66-01DA07B5E303}"/>
    <cellStyle name="20% - Accent5 2 6 2 5" xfId="12154" xr:uid="{E23BFB28-B7E9-4C56-895C-16EC1BC19BFF}"/>
    <cellStyle name="20% - Accent5 2 6 3" xfId="5777" xr:uid="{00000000-0005-0000-0000-0000CA020000}"/>
    <cellStyle name="20% - Accent5 2 6 3 2" xfId="31116" xr:uid="{0FCCFEC8-F354-4AF6-8842-70D64E232170}"/>
    <cellStyle name="20% - Accent5 2 6 3 3" xfId="22675" xr:uid="{1129F135-648A-4323-9642-66F132D5F70C}"/>
    <cellStyle name="20% - Accent5 2 6 3 4" xfId="14227" xr:uid="{C4A5A360-614B-42EB-9B5A-D878F8A80519}"/>
    <cellStyle name="20% - Accent5 2 6 4" xfId="26898" xr:uid="{EC157ACD-A37B-4016-AF0E-402B89267682}"/>
    <cellStyle name="20% - Accent5 2 6 5" xfId="18457" xr:uid="{8011F610-B3B6-4DA8-A7F2-79F1A5CF06FD}"/>
    <cellStyle name="20% - Accent5 2 6 6" xfId="10009" xr:uid="{6CAE568C-AA6A-4E6F-BE2A-9320775D73D3}"/>
    <cellStyle name="20% - Accent5 2 7" xfId="1884" xr:uid="{00000000-0005-0000-0000-0000CB020000}"/>
    <cellStyle name="20% - Accent5 2 7 2" xfId="4113" xr:uid="{00000000-0005-0000-0000-0000CC020000}"/>
    <cellStyle name="20% - Accent5 2 7 2 2" xfId="8335" xr:uid="{00000000-0005-0000-0000-0000CD020000}"/>
    <cellStyle name="20% - Accent5 2 7 2 2 2" xfId="33674" xr:uid="{1BA396F0-D04A-4296-A024-9EE20448F016}"/>
    <cellStyle name="20% - Accent5 2 7 2 2 3" xfId="25233" xr:uid="{E0A32391-BAE5-4BB2-B45B-4FDBB2BF4408}"/>
    <cellStyle name="20% - Accent5 2 7 2 2 4" xfId="16785" xr:uid="{58378159-C6DB-4D96-A212-EF160A28A050}"/>
    <cellStyle name="20% - Accent5 2 7 2 3" xfId="29456" xr:uid="{AFE7B73C-5DF4-4AA8-A51E-BCE431AA4327}"/>
    <cellStyle name="20% - Accent5 2 7 2 4" xfId="21015" xr:uid="{FC7D2E7F-4D36-4837-B599-7D46D2A66B22}"/>
    <cellStyle name="20% - Accent5 2 7 2 5" xfId="12567" xr:uid="{B6806E97-1876-4140-8F41-BC9B88A56E8A}"/>
    <cellStyle name="20% - Accent5 2 7 3" xfId="6190" xr:uid="{00000000-0005-0000-0000-0000CE020000}"/>
    <cellStyle name="20% - Accent5 2 7 3 2" xfId="31529" xr:uid="{B82F9B97-C776-4150-B534-BE09445150F9}"/>
    <cellStyle name="20% - Accent5 2 7 3 3" xfId="23088" xr:uid="{42826C3B-D1F0-4B8F-8F03-E38AC99FEE6E}"/>
    <cellStyle name="20% - Accent5 2 7 3 4" xfId="14640" xr:uid="{8D279368-D747-4C3A-979D-829A394CAC1C}"/>
    <cellStyle name="20% - Accent5 2 7 4" xfId="27311" xr:uid="{4C54A94E-3C31-4A18-8EC1-177545108CB3}"/>
    <cellStyle name="20% - Accent5 2 7 5" xfId="18870" xr:uid="{74A6656C-F6FA-4502-99DF-ED2283A40FE7}"/>
    <cellStyle name="20% - Accent5 2 7 6" xfId="10422" xr:uid="{5A28A00A-DEF3-492F-9B79-4304815D3BDA}"/>
    <cellStyle name="20% - Accent5 2 8" xfId="2297" xr:uid="{00000000-0005-0000-0000-0000CF020000}"/>
    <cellStyle name="20% - Accent5 2 8 2" xfId="6603" xr:uid="{00000000-0005-0000-0000-0000D0020000}"/>
    <cellStyle name="20% - Accent5 2 8 2 2" xfId="31942" xr:uid="{75DA7FE0-CA9C-4F32-A75C-31874DDCA636}"/>
    <cellStyle name="20% - Accent5 2 8 2 3" xfId="23501" xr:uid="{3AB7F8DA-8DB1-4560-8C1E-81399F6FAC62}"/>
    <cellStyle name="20% - Accent5 2 8 2 4" xfId="15053" xr:uid="{5D20FBC6-A9AD-4E74-9D04-50EE90E3D8E1}"/>
    <cellStyle name="20% - Accent5 2 8 3" xfId="27724" xr:uid="{5D150F59-A004-4D20-8A41-663E35F9EEC3}"/>
    <cellStyle name="20% - Accent5 2 8 4" xfId="19283" xr:uid="{94072915-F7A6-49CE-8200-DC7D7D162C81}"/>
    <cellStyle name="20% - Accent5 2 8 5" xfId="10835" xr:uid="{1E5D3CB7-8F94-483C-82D1-DDF832202BC5}"/>
    <cellStyle name="20% - Accent5 2 9" xfId="4537" xr:uid="{00000000-0005-0000-0000-0000D1020000}"/>
    <cellStyle name="20% - Accent5 2 9 2" xfId="29876" xr:uid="{517380E6-9DF6-4419-A368-C7B0CB8707F3}"/>
    <cellStyle name="20% - Accent5 2 9 3" xfId="21435" xr:uid="{65494CD3-F67D-475B-B52F-14E243D6A4E8}"/>
    <cellStyle name="20% - Accent5 2 9 4" xfId="12987" xr:uid="{4B58C839-59A3-43D5-B828-858817CCEA36}"/>
    <cellStyle name="20% - Accent5 3" xfId="38" xr:uid="{00000000-0005-0000-0000-0000D2020000}"/>
    <cellStyle name="20% - Accent5 3 10" xfId="17221" xr:uid="{EC89550E-777B-4ED0-8E30-F10B3C799B28}"/>
    <cellStyle name="20% - Accent5 3 11" xfId="8773" xr:uid="{A2C9F098-B601-4C99-B354-D26BFB2000BB}"/>
    <cellStyle name="20% - Accent5 3 2" xfId="39" xr:uid="{00000000-0005-0000-0000-0000D3020000}"/>
    <cellStyle name="20% - Accent5 3 2 10" xfId="8774" xr:uid="{4D8E7FB9-D60B-490A-B056-D04FFF6F513E}"/>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32440" xr:uid="{A865CF3C-556D-4B13-8166-5516EE689E05}"/>
    <cellStyle name="20% - Accent5 3 2 2 2 2 3" xfId="23999" xr:uid="{05ABDA20-C013-4C6C-80D0-8A7A8BE15CD5}"/>
    <cellStyle name="20% - Accent5 3 2 2 2 2 4" xfId="15551" xr:uid="{AEB632F9-7971-496C-8653-F9C1EBB17A30}"/>
    <cellStyle name="20% - Accent5 3 2 2 2 3" xfId="28222" xr:uid="{811AC4B0-4214-4260-9371-45F18D73D231}"/>
    <cellStyle name="20% - Accent5 3 2 2 2 4" xfId="19781" xr:uid="{BFAC0365-06B2-4790-90AE-E57EBDC894AF}"/>
    <cellStyle name="20% - Accent5 3 2 2 2 5" xfId="11333" xr:uid="{6F00F7E5-2479-4573-8127-9D79AACA02B5}"/>
    <cellStyle name="20% - Accent5 3 2 2 3" xfId="4956" xr:uid="{00000000-0005-0000-0000-0000D7020000}"/>
    <cellStyle name="20% - Accent5 3 2 2 3 2" xfId="30295" xr:uid="{098A155C-CAB5-49A6-B226-4D29C324720C}"/>
    <cellStyle name="20% - Accent5 3 2 2 3 3" xfId="21854" xr:uid="{DD12857C-4B3F-4C90-9663-316D71F927F0}"/>
    <cellStyle name="20% - Accent5 3 2 2 3 4" xfId="13406" xr:uid="{E80491AE-7FE9-4588-A547-3A74D8C85F1B}"/>
    <cellStyle name="20% - Accent5 3 2 2 4" xfId="26077" xr:uid="{06B77035-D3B0-477D-9F36-5ADC61C6F9E1}"/>
    <cellStyle name="20% - Accent5 3 2 2 5" xfId="17636" xr:uid="{5B4FA7FC-B2B7-441B-84AF-3FF60CB54BBA}"/>
    <cellStyle name="20% - Accent5 3 2 2 6" xfId="9188" xr:uid="{5BABBA24-304D-41D3-9E0D-E74A26A179F9}"/>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32853" xr:uid="{BA5A82D4-26DA-483F-A411-1A1D1CC56B48}"/>
    <cellStyle name="20% - Accent5 3 2 3 2 2 3" xfId="24412" xr:uid="{7DE6F641-0F18-4B73-A775-8ACF6D45ABB2}"/>
    <cellStyle name="20% - Accent5 3 2 3 2 2 4" xfId="15964" xr:uid="{9A1379C1-CB0A-41E8-BD7D-8D54DBBFDD89}"/>
    <cellStyle name="20% - Accent5 3 2 3 2 3" xfId="28635" xr:uid="{60E92E30-4FFF-4212-B3ED-7EA16C6664D4}"/>
    <cellStyle name="20% - Accent5 3 2 3 2 4" xfId="20194" xr:uid="{B84C86B7-20C3-4C0B-B9CF-061764A548C2}"/>
    <cellStyle name="20% - Accent5 3 2 3 2 5" xfId="11746" xr:uid="{43D5F1A6-77EB-4C93-9E04-9A9666D9B06B}"/>
    <cellStyle name="20% - Accent5 3 2 3 3" xfId="5369" xr:uid="{00000000-0005-0000-0000-0000DB020000}"/>
    <cellStyle name="20% - Accent5 3 2 3 3 2" xfId="30708" xr:uid="{FE203892-C7CC-4700-9EC7-BBEC217EBA8E}"/>
    <cellStyle name="20% - Accent5 3 2 3 3 3" xfId="22267" xr:uid="{7F42CED3-6B47-46FF-B65E-AA2BF9CD5FEE}"/>
    <cellStyle name="20% - Accent5 3 2 3 3 4" xfId="13819" xr:uid="{B5B58705-6AD4-4AC5-A083-D386D127A79D}"/>
    <cellStyle name="20% - Accent5 3 2 3 4" xfId="26490" xr:uid="{D69C302C-A6CB-412B-91EC-BC055AC34615}"/>
    <cellStyle name="20% - Accent5 3 2 3 5" xfId="18049" xr:uid="{C8FB1945-EDEF-4064-8286-2E031BF99579}"/>
    <cellStyle name="20% - Accent5 3 2 3 6" xfId="9601" xr:uid="{C3BCBF3B-3BC8-4FEF-9B4D-E480DA37FD14}"/>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33266" xr:uid="{A765493E-228E-4295-9ADD-DB6EDF1E96FF}"/>
    <cellStyle name="20% - Accent5 3 2 4 2 2 3" xfId="24825" xr:uid="{364BAC6C-AA76-4F45-AEAB-D39CCB89D6DA}"/>
    <cellStyle name="20% - Accent5 3 2 4 2 2 4" xfId="16377" xr:uid="{0F139045-4A61-4118-B645-6BB44B97727D}"/>
    <cellStyle name="20% - Accent5 3 2 4 2 3" xfId="29048" xr:uid="{AA6BAFA6-8F21-4BCF-838B-CA42235D7462}"/>
    <cellStyle name="20% - Accent5 3 2 4 2 4" xfId="20607" xr:uid="{207BAE3D-03CD-4D09-BB90-9D28A77DA795}"/>
    <cellStyle name="20% - Accent5 3 2 4 2 5" xfId="12159" xr:uid="{80783784-0A8E-46C9-8A84-2D9085D15D48}"/>
    <cellStyle name="20% - Accent5 3 2 4 3" xfId="5782" xr:uid="{00000000-0005-0000-0000-0000DF020000}"/>
    <cellStyle name="20% - Accent5 3 2 4 3 2" xfId="31121" xr:uid="{470B4D71-7944-4F2A-9E30-3765A794DB91}"/>
    <cellStyle name="20% - Accent5 3 2 4 3 3" xfId="22680" xr:uid="{92F937A9-3988-4BE6-A77B-0CB81F8F8F2F}"/>
    <cellStyle name="20% - Accent5 3 2 4 3 4" xfId="14232" xr:uid="{482AF2CF-0FC8-45E2-8F8D-3A5E0D8339EA}"/>
    <cellStyle name="20% - Accent5 3 2 4 4" xfId="26903" xr:uid="{D77F7728-0737-4F17-BFB0-EEFC882818AC}"/>
    <cellStyle name="20% - Accent5 3 2 4 5" xfId="18462" xr:uid="{315CA5B0-0F19-4D04-9EF3-9B7116ADD963}"/>
    <cellStyle name="20% - Accent5 3 2 4 6" xfId="10014" xr:uid="{4EC42AB9-BBC0-474A-9522-5872A94B577F}"/>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33679" xr:uid="{00433E46-B6D4-4803-8D8A-E0E62380DB4C}"/>
    <cellStyle name="20% - Accent5 3 2 5 2 2 3" xfId="25238" xr:uid="{36E46D9A-7DD6-4AAA-9FC6-464293329F56}"/>
    <cellStyle name="20% - Accent5 3 2 5 2 2 4" xfId="16790" xr:uid="{6DFAAEDA-5E5A-4E72-A8F0-119A7BDFED02}"/>
    <cellStyle name="20% - Accent5 3 2 5 2 3" xfId="29461" xr:uid="{DD5701D0-8738-4D7F-BD35-4269D8EC7718}"/>
    <cellStyle name="20% - Accent5 3 2 5 2 4" xfId="21020" xr:uid="{D416E34C-E11F-470B-961B-7C21379DFFC7}"/>
    <cellStyle name="20% - Accent5 3 2 5 2 5" xfId="12572" xr:uid="{1C922B82-8D51-497A-8C30-1281EE3B13FB}"/>
    <cellStyle name="20% - Accent5 3 2 5 3" xfId="6195" xr:uid="{00000000-0005-0000-0000-0000E3020000}"/>
    <cellStyle name="20% - Accent5 3 2 5 3 2" xfId="31534" xr:uid="{410C6B5E-8F55-488D-B21A-97B43F49505A}"/>
    <cellStyle name="20% - Accent5 3 2 5 3 3" xfId="23093" xr:uid="{548899EC-4B70-416C-9645-736323F9BBE8}"/>
    <cellStyle name="20% - Accent5 3 2 5 3 4" xfId="14645" xr:uid="{AAB17DBC-D715-4023-8E8A-4E7FC8D178D7}"/>
    <cellStyle name="20% - Accent5 3 2 5 4" xfId="27316" xr:uid="{583D29C0-2B82-4BAB-B1C9-A48D259233B6}"/>
    <cellStyle name="20% - Accent5 3 2 5 5" xfId="18875" xr:uid="{E83F44AA-C377-4387-A930-F235ED89E669}"/>
    <cellStyle name="20% - Accent5 3 2 5 6" xfId="10427" xr:uid="{BB219FD3-034F-4F2C-B327-0E6D3D695F13}"/>
    <cellStyle name="20% - Accent5 3 2 6" xfId="2302" xr:uid="{00000000-0005-0000-0000-0000E4020000}"/>
    <cellStyle name="20% - Accent5 3 2 6 2" xfId="6608" xr:uid="{00000000-0005-0000-0000-0000E5020000}"/>
    <cellStyle name="20% - Accent5 3 2 6 2 2" xfId="31947" xr:uid="{5C90A44C-FD4F-41B9-9B0E-3DE1AE6D63D0}"/>
    <cellStyle name="20% - Accent5 3 2 6 2 3" xfId="23506" xr:uid="{CCA45BCB-5E37-4FD3-809F-28F4DE207A94}"/>
    <cellStyle name="20% - Accent5 3 2 6 2 4" xfId="15058" xr:uid="{0BB7C96E-361C-4F5A-9B3F-4091C59E0913}"/>
    <cellStyle name="20% - Accent5 3 2 6 3" xfId="27729" xr:uid="{D53C23BF-2BEB-42EC-AC90-2BA5C79BC8F9}"/>
    <cellStyle name="20% - Accent5 3 2 6 4" xfId="19288" xr:uid="{FF89A587-4882-4D58-9665-846343250B3A}"/>
    <cellStyle name="20% - Accent5 3 2 6 5" xfId="10840" xr:uid="{C7188638-BE9C-4B53-833A-57F2F94266CE}"/>
    <cellStyle name="20% - Accent5 3 2 7" xfId="4542" xr:uid="{00000000-0005-0000-0000-0000E6020000}"/>
    <cellStyle name="20% - Accent5 3 2 7 2" xfId="29881" xr:uid="{AFD04B6F-64E1-4F5B-9115-73D5D413BA77}"/>
    <cellStyle name="20% - Accent5 3 2 7 3" xfId="21440" xr:uid="{39264743-F56D-4814-8475-44079AD39D70}"/>
    <cellStyle name="20% - Accent5 3 2 7 4" xfId="12992" xr:uid="{9278085E-AFDE-4B37-B761-6F4A856FA2F0}"/>
    <cellStyle name="20% - Accent5 3 2 8" xfId="25663" xr:uid="{71D005A4-E41F-4732-84EE-9D24366BEE71}"/>
    <cellStyle name="20% - Accent5 3 2 9" xfId="17222" xr:uid="{324CCD73-E594-4910-894C-7A43FE222F48}"/>
    <cellStyle name="20% - Accent5 3 3" xfId="607" xr:uid="{00000000-0005-0000-0000-0000E7020000}"/>
    <cellStyle name="20% - Accent5 3 3 2" xfId="2878" xr:uid="{00000000-0005-0000-0000-0000E8020000}"/>
    <cellStyle name="20% - Accent5 3 3 2 2" xfId="7100" xr:uid="{00000000-0005-0000-0000-0000E9020000}"/>
    <cellStyle name="20% - Accent5 3 3 2 2 2" xfId="32439" xr:uid="{202B20C6-F96B-4062-BC14-2A2AF6C42EC3}"/>
    <cellStyle name="20% - Accent5 3 3 2 2 3" xfId="23998" xr:uid="{4707033A-8130-49D3-B593-B8BF1B9B944F}"/>
    <cellStyle name="20% - Accent5 3 3 2 2 4" xfId="15550" xr:uid="{EC841586-9AD3-4D01-B0AD-99A8D6260A41}"/>
    <cellStyle name="20% - Accent5 3 3 2 3" xfId="28221" xr:uid="{D5F3BFE6-C549-4F22-AAC4-AAE520447588}"/>
    <cellStyle name="20% - Accent5 3 3 2 4" xfId="19780" xr:uid="{3A1A51F8-3D24-48BD-9DA4-B8969FD8823A}"/>
    <cellStyle name="20% - Accent5 3 3 2 5" xfId="11332" xr:uid="{7398EF79-662D-4361-8191-1B99ED0D4102}"/>
    <cellStyle name="20% - Accent5 3 3 3" xfId="4955" xr:uid="{00000000-0005-0000-0000-0000EA020000}"/>
    <cellStyle name="20% - Accent5 3 3 3 2" xfId="30294" xr:uid="{1DA8C8D2-73F3-4CF9-B189-B001C0C94D95}"/>
    <cellStyle name="20% - Accent5 3 3 3 3" xfId="21853" xr:uid="{A6270F0A-D151-457E-8B18-275BD8301DCE}"/>
    <cellStyle name="20% - Accent5 3 3 3 4" xfId="13405" xr:uid="{3844B955-7834-4AFE-87CF-BAB7EE7E8FD7}"/>
    <cellStyle name="20% - Accent5 3 3 4" xfId="26076" xr:uid="{4D762AB2-7E36-4654-8E8B-4512EBD44D8E}"/>
    <cellStyle name="20% - Accent5 3 3 5" xfId="17635" xr:uid="{FE2148F7-612B-4959-BD4D-3A6E8BBCAD95}"/>
    <cellStyle name="20% - Accent5 3 3 6" xfId="9187" xr:uid="{D1E1A72F-031B-4463-ADBC-1740E1D30E3F}"/>
    <cellStyle name="20% - Accent5 3 4" xfId="1060" xr:uid="{00000000-0005-0000-0000-0000EB020000}"/>
    <cellStyle name="20% - Accent5 3 4 2" xfId="3291" xr:uid="{00000000-0005-0000-0000-0000EC020000}"/>
    <cellStyle name="20% - Accent5 3 4 2 2" xfId="7513" xr:uid="{00000000-0005-0000-0000-0000ED020000}"/>
    <cellStyle name="20% - Accent5 3 4 2 2 2" xfId="32852" xr:uid="{D263F017-8212-4902-BBCA-F7F18FBBDADF}"/>
    <cellStyle name="20% - Accent5 3 4 2 2 3" xfId="24411" xr:uid="{F0B4D6C5-3311-4A73-B593-BB1073D45928}"/>
    <cellStyle name="20% - Accent5 3 4 2 2 4" xfId="15963" xr:uid="{190AE4F7-C263-47CE-8C14-D9CBC61D9290}"/>
    <cellStyle name="20% - Accent5 3 4 2 3" xfId="28634" xr:uid="{CC294645-A942-4F0F-B59B-A3C02D534DAA}"/>
    <cellStyle name="20% - Accent5 3 4 2 4" xfId="20193" xr:uid="{1687566F-85D5-435C-98B1-C9C0C3C1DFAA}"/>
    <cellStyle name="20% - Accent5 3 4 2 5" xfId="11745" xr:uid="{7F00A926-FF95-4A6E-BFF7-5FD825BA7417}"/>
    <cellStyle name="20% - Accent5 3 4 3" xfId="5368" xr:uid="{00000000-0005-0000-0000-0000EE020000}"/>
    <cellStyle name="20% - Accent5 3 4 3 2" xfId="30707" xr:uid="{87639E74-25CA-4364-BAF2-E99B7F7B359C}"/>
    <cellStyle name="20% - Accent5 3 4 3 3" xfId="22266" xr:uid="{00D8CB82-5546-46A1-A355-EC12E2F85FF0}"/>
    <cellStyle name="20% - Accent5 3 4 3 4" xfId="13818" xr:uid="{6445D08D-F666-4679-BED1-145E782063E2}"/>
    <cellStyle name="20% - Accent5 3 4 4" xfId="26489" xr:uid="{F6CDFBF3-525A-4A26-80CC-7EE337B1DC63}"/>
    <cellStyle name="20% - Accent5 3 4 5" xfId="18048" xr:uid="{68117099-A337-4D16-A224-BF5F69FB24E3}"/>
    <cellStyle name="20% - Accent5 3 4 6" xfId="9600" xr:uid="{39199915-BFAE-449D-A2D1-8C86A9E33AFB}"/>
    <cellStyle name="20% - Accent5 3 5" xfId="1474" xr:uid="{00000000-0005-0000-0000-0000EF020000}"/>
    <cellStyle name="20% - Accent5 3 5 2" xfId="3704" xr:uid="{00000000-0005-0000-0000-0000F0020000}"/>
    <cellStyle name="20% - Accent5 3 5 2 2" xfId="7926" xr:uid="{00000000-0005-0000-0000-0000F1020000}"/>
    <cellStyle name="20% - Accent5 3 5 2 2 2" xfId="33265" xr:uid="{18375047-8EB9-43EA-B568-41D6A0D864C7}"/>
    <cellStyle name="20% - Accent5 3 5 2 2 3" xfId="24824" xr:uid="{09F9BC31-5943-4B7B-96DB-0CB8A30E69C6}"/>
    <cellStyle name="20% - Accent5 3 5 2 2 4" xfId="16376" xr:uid="{0CAB1A3A-AA52-42F7-B7BA-1E2C67F46CE1}"/>
    <cellStyle name="20% - Accent5 3 5 2 3" xfId="29047" xr:uid="{0E451164-A820-4A0D-8590-135632BCFA11}"/>
    <cellStyle name="20% - Accent5 3 5 2 4" xfId="20606" xr:uid="{CB6D31C1-D9E1-4014-A252-B6DCD823BB29}"/>
    <cellStyle name="20% - Accent5 3 5 2 5" xfId="12158" xr:uid="{55883B81-FD61-4776-8BB0-DEDFF69CFB4E}"/>
    <cellStyle name="20% - Accent5 3 5 3" xfId="5781" xr:uid="{00000000-0005-0000-0000-0000F2020000}"/>
    <cellStyle name="20% - Accent5 3 5 3 2" xfId="31120" xr:uid="{60961175-378A-4ACF-B2F0-26AC68AADCB5}"/>
    <cellStyle name="20% - Accent5 3 5 3 3" xfId="22679" xr:uid="{2F2C69FD-5730-465E-83DD-6381455E3BDA}"/>
    <cellStyle name="20% - Accent5 3 5 3 4" xfId="14231" xr:uid="{AF7661D3-B09A-47B2-8BC5-5F9855A8962B}"/>
    <cellStyle name="20% - Accent5 3 5 4" xfId="26902" xr:uid="{DDA55342-2C55-464D-997D-6CBB58B36EC6}"/>
    <cellStyle name="20% - Accent5 3 5 5" xfId="18461" xr:uid="{0A980019-8ADC-4C48-B65A-D4FF10C7C3FB}"/>
    <cellStyle name="20% - Accent5 3 5 6" xfId="10013" xr:uid="{DB5C09AB-44C8-42EF-9AD1-946E54A77185}"/>
    <cellStyle name="20% - Accent5 3 6" xfId="1888" xr:uid="{00000000-0005-0000-0000-0000F3020000}"/>
    <cellStyle name="20% - Accent5 3 6 2" xfId="4117" xr:uid="{00000000-0005-0000-0000-0000F4020000}"/>
    <cellStyle name="20% - Accent5 3 6 2 2" xfId="8339" xr:uid="{00000000-0005-0000-0000-0000F5020000}"/>
    <cellStyle name="20% - Accent5 3 6 2 2 2" xfId="33678" xr:uid="{7C28FAB2-D228-4235-A42A-6BE87631F620}"/>
    <cellStyle name="20% - Accent5 3 6 2 2 3" xfId="25237" xr:uid="{84F56BD2-84A1-4D51-9446-FAEE84CD59D2}"/>
    <cellStyle name="20% - Accent5 3 6 2 2 4" xfId="16789" xr:uid="{7ADC1E8C-2093-44EB-898C-1B56BCC1233F}"/>
    <cellStyle name="20% - Accent5 3 6 2 3" xfId="29460" xr:uid="{D224E1B1-656A-47E3-886D-2D316857DD30}"/>
    <cellStyle name="20% - Accent5 3 6 2 4" xfId="21019" xr:uid="{F6B99E52-E3F0-418F-9AAA-1DBB23F20102}"/>
    <cellStyle name="20% - Accent5 3 6 2 5" xfId="12571" xr:uid="{0D5A4AA6-FB49-4CCD-A9C3-0CBFCBF022EB}"/>
    <cellStyle name="20% - Accent5 3 6 3" xfId="6194" xr:uid="{00000000-0005-0000-0000-0000F6020000}"/>
    <cellStyle name="20% - Accent5 3 6 3 2" xfId="31533" xr:uid="{88769785-19E6-4F15-B531-87E72278B266}"/>
    <cellStyle name="20% - Accent5 3 6 3 3" xfId="23092" xr:uid="{29562352-0A34-44CB-B6B7-247F9E88A85A}"/>
    <cellStyle name="20% - Accent5 3 6 3 4" xfId="14644" xr:uid="{E3665B3D-8A74-40A0-9F00-C3780DF3EEE1}"/>
    <cellStyle name="20% - Accent5 3 6 4" xfId="27315" xr:uid="{125848A4-6C28-429E-846F-BFA6E22AD375}"/>
    <cellStyle name="20% - Accent5 3 6 5" xfId="18874" xr:uid="{ADD338BE-7739-4D9D-9CC3-EDA813125F78}"/>
    <cellStyle name="20% - Accent5 3 6 6" xfId="10426" xr:uid="{F8BDB069-D0E0-40EF-A664-7896C61C91B0}"/>
    <cellStyle name="20% - Accent5 3 7" xfId="2301" xr:uid="{00000000-0005-0000-0000-0000F7020000}"/>
    <cellStyle name="20% - Accent5 3 7 2" xfId="6607" xr:uid="{00000000-0005-0000-0000-0000F8020000}"/>
    <cellStyle name="20% - Accent5 3 7 2 2" xfId="31946" xr:uid="{5BE27718-AB91-45E0-B93E-49DB101DC36E}"/>
    <cellStyle name="20% - Accent5 3 7 2 3" xfId="23505" xr:uid="{5CEAB00F-07E7-4B53-9006-7CFA7888682B}"/>
    <cellStyle name="20% - Accent5 3 7 2 4" xfId="15057" xr:uid="{1BF6DB9F-57E8-48A0-82E6-F488DADF327B}"/>
    <cellStyle name="20% - Accent5 3 7 3" xfId="27728" xr:uid="{F813D50F-EBA4-4EDE-86F7-737DE94233BB}"/>
    <cellStyle name="20% - Accent5 3 7 4" xfId="19287" xr:uid="{F38FC5DA-4D1B-4508-B184-BDD804550F41}"/>
    <cellStyle name="20% - Accent5 3 7 5" xfId="10839" xr:uid="{F26B1236-6540-4BD8-92E8-97CA0F8C8E45}"/>
    <cellStyle name="20% - Accent5 3 8" xfId="4541" xr:uid="{00000000-0005-0000-0000-0000F9020000}"/>
    <cellStyle name="20% - Accent5 3 8 2" xfId="29880" xr:uid="{C74EEC8F-346C-4F3D-9388-7704A2BFF412}"/>
    <cellStyle name="20% - Accent5 3 8 3" xfId="21439" xr:uid="{8520E78F-D9A9-4C67-B585-742BEB62799C}"/>
    <cellStyle name="20% - Accent5 3 8 4" xfId="12991" xr:uid="{CFDEA24C-A7AB-4E75-92E2-B5B0E28C577A}"/>
    <cellStyle name="20% - Accent5 3 9" xfId="25662" xr:uid="{4D3A6D49-E58E-4259-934A-6B6D3704F6A1}"/>
    <cellStyle name="20% - Accent5 4" xfId="40" xr:uid="{00000000-0005-0000-0000-0000FA020000}"/>
    <cellStyle name="20% - Accent5 4 10" xfId="8775" xr:uid="{07BDB552-A29D-4632-A12D-C17BBDCA50B3}"/>
    <cellStyle name="20% - Accent5 4 2" xfId="609" xr:uid="{00000000-0005-0000-0000-0000FB020000}"/>
    <cellStyle name="20% - Accent5 4 2 2" xfId="2880" xr:uid="{00000000-0005-0000-0000-0000FC020000}"/>
    <cellStyle name="20% - Accent5 4 2 2 2" xfId="7102" xr:uid="{00000000-0005-0000-0000-0000FD020000}"/>
    <cellStyle name="20% - Accent5 4 2 2 2 2" xfId="32441" xr:uid="{C16B8114-FC18-4C61-969D-5D60E5A84E4F}"/>
    <cellStyle name="20% - Accent5 4 2 2 2 3" xfId="24000" xr:uid="{FAAF1FBA-B946-4045-9455-D1026C684F93}"/>
    <cellStyle name="20% - Accent5 4 2 2 2 4" xfId="15552" xr:uid="{0E95DCEB-96E6-4861-9B7F-53846224139F}"/>
    <cellStyle name="20% - Accent5 4 2 2 3" xfId="28223" xr:uid="{919235E7-ABFB-42F3-959C-2A48F029B2BF}"/>
    <cellStyle name="20% - Accent5 4 2 2 4" xfId="19782" xr:uid="{438AED66-70ED-4573-9F4E-E1B7464F559A}"/>
    <cellStyle name="20% - Accent5 4 2 2 5" xfId="11334" xr:uid="{C690AA96-8063-4A94-A78C-AE131049E2D7}"/>
    <cellStyle name="20% - Accent5 4 2 3" xfId="4957" xr:uid="{00000000-0005-0000-0000-0000FE020000}"/>
    <cellStyle name="20% - Accent5 4 2 3 2" xfId="30296" xr:uid="{4C72F548-8D73-4ECC-BE89-F183D864931E}"/>
    <cellStyle name="20% - Accent5 4 2 3 3" xfId="21855" xr:uid="{F78A5474-6BF3-4A66-9DB5-BBAD6938B6EF}"/>
    <cellStyle name="20% - Accent5 4 2 3 4" xfId="13407" xr:uid="{96CE085A-5A8E-4339-BE15-1CA36395064C}"/>
    <cellStyle name="20% - Accent5 4 2 4" xfId="26078" xr:uid="{9920BD6E-E4F6-4796-BC67-1124B2748664}"/>
    <cellStyle name="20% - Accent5 4 2 5" xfId="17637" xr:uid="{B2F22CDD-BE0F-4AA3-A110-AF05A12FBF64}"/>
    <cellStyle name="20% - Accent5 4 2 6" xfId="9189" xr:uid="{53F9434B-7CD2-4F6B-A365-0085B1DE5F30}"/>
    <cellStyle name="20% - Accent5 4 3" xfId="1062" xr:uid="{00000000-0005-0000-0000-0000FF020000}"/>
    <cellStyle name="20% - Accent5 4 3 2" xfId="3293" xr:uid="{00000000-0005-0000-0000-000000030000}"/>
    <cellStyle name="20% - Accent5 4 3 2 2" xfId="7515" xr:uid="{00000000-0005-0000-0000-000001030000}"/>
    <cellStyle name="20% - Accent5 4 3 2 2 2" xfId="32854" xr:uid="{CC20BD07-7B0F-43C4-9FB4-918D356FD47C}"/>
    <cellStyle name="20% - Accent5 4 3 2 2 3" xfId="24413" xr:uid="{DD6AE34E-38BA-45DF-9B28-C23DC5C46AAA}"/>
    <cellStyle name="20% - Accent5 4 3 2 2 4" xfId="15965" xr:uid="{E391EA95-EFD7-468E-A166-AFBAC3EEBF52}"/>
    <cellStyle name="20% - Accent5 4 3 2 3" xfId="28636" xr:uid="{05DEA892-E6A0-4276-9FA9-A18656A48C91}"/>
    <cellStyle name="20% - Accent5 4 3 2 4" xfId="20195" xr:uid="{8C9134AA-761C-41BA-994A-8722E1B6160F}"/>
    <cellStyle name="20% - Accent5 4 3 2 5" xfId="11747" xr:uid="{9C329D26-A1A5-4B6C-B5AD-012E30649F7C}"/>
    <cellStyle name="20% - Accent5 4 3 3" xfId="5370" xr:uid="{00000000-0005-0000-0000-000002030000}"/>
    <cellStyle name="20% - Accent5 4 3 3 2" xfId="30709" xr:uid="{6D66C63E-15F3-44F2-95A0-62C9A9B2D480}"/>
    <cellStyle name="20% - Accent5 4 3 3 3" xfId="22268" xr:uid="{B69DC105-B18C-4565-BAC3-CCDC4C83B99F}"/>
    <cellStyle name="20% - Accent5 4 3 3 4" xfId="13820" xr:uid="{64647B50-8877-4ED0-A825-BA344D4727A8}"/>
    <cellStyle name="20% - Accent5 4 3 4" xfId="26491" xr:uid="{D69A1C9E-87C7-4A42-9956-23F5F4B141E4}"/>
    <cellStyle name="20% - Accent5 4 3 5" xfId="18050" xr:uid="{646CDB0C-F3D9-4AA8-A92E-359DF35B990E}"/>
    <cellStyle name="20% - Accent5 4 3 6" xfId="9602" xr:uid="{9B1E3238-01B6-4A5E-8A20-6B07D12E85EA}"/>
    <cellStyle name="20% - Accent5 4 4" xfId="1476" xr:uid="{00000000-0005-0000-0000-000003030000}"/>
    <cellStyle name="20% - Accent5 4 4 2" xfId="3706" xr:uid="{00000000-0005-0000-0000-000004030000}"/>
    <cellStyle name="20% - Accent5 4 4 2 2" xfId="7928" xr:uid="{00000000-0005-0000-0000-000005030000}"/>
    <cellStyle name="20% - Accent5 4 4 2 2 2" xfId="33267" xr:uid="{C10AFD32-20EA-4F21-8303-9C8EC1BE63F6}"/>
    <cellStyle name="20% - Accent5 4 4 2 2 3" xfId="24826" xr:uid="{D6FF38E3-1E58-41E4-BE43-F55C2897B5D0}"/>
    <cellStyle name="20% - Accent5 4 4 2 2 4" xfId="16378" xr:uid="{D7447ABC-1BC5-456C-9D56-E43382271A06}"/>
    <cellStyle name="20% - Accent5 4 4 2 3" xfId="29049" xr:uid="{A2A7AC02-A6CF-4771-9CA2-C4B573700AD7}"/>
    <cellStyle name="20% - Accent5 4 4 2 4" xfId="20608" xr:uid="{BC43BA33-C50B-4CB7-910C-7D4E97ECE647}"/>
    <cellStyle name="20% - Accent5 4 4 2 5" xfId="12160" xr:uid="{69A2F487-4160-4C15-B45E-F53F46057659}"/>
    <cellStyle name="20% - Accent5 4 4 3" xfId="5783" xr:uid="{00000000-0005-0000-0000-000006030000}"/>
    <cellStyle name="20% - Accent5 4 4 3 2" xfId="31122" xr:uid="{356DE292-F810-4B94-AC83-4C2B9FCA6DD0}"/>
    <cellStyle name="20% - Accent5 4 4 3 3" xfId="22681" xr:uid="{CF761DE1-58E9-4590-A057-8B87A6AF3662}"/>
    <cellStyle name="20% - Accent5 4 4 3 4" xfId="14233" xr:uid="{8FC6DC3A-17A4-4E85-90F3-94E16F829729}"/>
    <cellStyle name="20% - Accent5 4 4 4" xfId="26904" xr:uid="{31D23FE1-BE72-4AF5-B2E3-CCBA5C2F4C00}"/>
    <cellStyle name="20% - Accent5 4 4 5" xfId="18463" xr:uid="{750FC056-9D04-4710-ACAB-28A181CEFD21}"/>
    <cellStyle name="20% - Accent5 4 4 6" xfId="10015" xr:uid="{C8C0B8E0-44D5-4132-BA0F-5F31D668E9CE}"/>
    <cellStyle name="20% - Accent5 4 5" xfId="1890" xr:uid="{00000000-0005-0000-0000-000007030000}"/>
    <cellStyle name="20% - Accent5 4 5 2" xfId="4119" xr:uid="{00000000-0005-0000-0000-000008030000}"/>
    <cellStyle name="20% - Accent5 4 5 2 2" xfId="8341" xr:uid="{00000000-0005-0000-0000-000009030000}"/>
    <cellStyle name="20% - Accent5 4 5 2 2 2" xfId="33680" xr:uid="{A1373ED9-326B-41C6-86D1-13D6EA8425E6}"/>
    <cellStyle name="20% - Accent5 4 5 2 2 3" xfId="25239" xr:uid="{4EED530D-73E0-4EA2-B5E7-CC8EE37847D0}"/>
    <cellStyle name="20% - Accent5 4 5 2 2 4" xfId="16791" xr:uid="{A354DBFF-394B-4692-BFEE-831F81DEEE58}"/>
    <cellStyle name="20% - Accent5 4 5 2 3" xfId="29462" xr:uid="{23DE77BB-F880-446A-920E-E303E83BDB8F}"/>
    <cellStyle name="20% - Accent5 4 5 2 4" xfId="21021" xr:uid="{7BE823E1-BA40-49ED-A12D-A0617A9F1875}"/>
    <cellStyle name="20% - Accent5 4 5 2 5" xfId="12573" xr:uid="{D80294DD-C869-42F5-9A5E-4AA737EDBE5E}"/>
    <cellStyle name="20% - Accent5 4 5 3" xfId="6196" xr:uid="{00000000-0005-0000-0000-00000A030000}"/>
    <cellStyle name="20% - Accent5 4 5 3 2" xfId="31535" xr:uid="{173B124D-23D1-4810-A25E-8E51CFB404C3}"/>
    <cellStyle name="20% - Accent5 4 5 3 3" xfId="23094" xr:uid="{4B1A901A-301E-4424-BB11-52259455AF88}"/>
    <cellStyle name="20% - Accent5 4 5 3 4" xfId="14646" xr:uid="{9E48764E-FEE7-405C-9CC9-5C0B0B19E813}"/>
    <cellStyle name="20% - Accent5 4 5 4" xfId="27317" xr:uid="{2558503C-FFAA-4929-AB03-17AD31C5B22B}"/>
    <cellStyle name="20% - Accent5 4 5 5" xfId="18876" xr:uid="{6BBCD7FC-1104-46BA-A09C-474037F80655}"/>
    <cellStyle name="20% - Accent5 4 5 6" xfId="10428" xr:uid="{680B5451-9811-41A9-8644-EBFDA0F52B57}"/>
    <cellStyle name="20% - Accent5 4 6" xfId="2303" xr:uid="{00000000-0005-0000-0000-00000B030000}"/>
    <cellStyle name="20% - Accent5 4 6 2" xfId="6609" xr:uid="{00000000-0005-0000-0000-00000C030000}"/>
    <cellStyle name="20% - Accent5 4 6 2 2" xfId="31948" xr:uid="{0E0DBC93-CB6B-4C8D-984A-72F1524672E2}"/>
    <cellStyle name="20% - Accent5 4 6 2 3" xfId="23507" xr:uid="{1AC8E685-9D54-455C-8D78-1A9F22F533DA}"/>
    <cellStyle name="20% - Accent5 4 6 2 4" xfId="15059" xr:uid="{924B4DEC-2BC1-4C98-A7A6-4D0CF718DFA2}"/>
    <cellStyle name="20% - Accent5 4 6 3" xfId="27730" xr:uid="{62481A2B-04D5-4A01-9F0D-C52FCD4DBA71}"/>
    <cellStyle name="20% - Accent5 4 6 4" xfId="19289" xr:uid="{D37F9585-2733-44AB-AFA1-836B511EE1DA}"/>
    <cellStyle name="20% - Accent5 4 6 5" xfId="10841" xr:uid="{CF9EFDF7-82B0-4454-AF57-6E05B668B335}"/>
    <cellStyle name="20% - Accent5 4 7" xfId="4543" xr:uid="{00000000-0005-0000-0000-00000D030000}"/>
    <cellStyle name="20% - Accent5 4 7 2" xfId="29882" xr:uid="{2DF87365-B5E7-46FA-9FB5-78C057BFB817}"/>
    <cellStyle name="20% - Accent5 4 7 3" xfId="21441" xr:uid="{BD99124D-DF42-49D7-B2E4-B7050A7E6B7F}"/>
    <cellStyle name="20% - Accent5 4 7 4" xfId="12993" xr:uid="{D3715016-853C-4E72-990D-9F8E227B31C0}"/>
    <cellStyle name="20% - Accent5 4 8" xfId="25664" xr:uid="{2A8BADC8-10F1-41DC-9CE3-F1F31FA56794}"/>
    <cellStyle name="20% - Accent5 4 9" xfId="17223" xr:uid="{9E719D8B-1E26-46F4-BCE7-A8A89B83B0AF}"/>
    <cellStyle name="20% - Accent5 5" xfId="602" xr:uid="{00000000-0005-0000-0000-00000E030000}"/>
    <cellStyle name="20% - Accent5 5 2" xfId="2873" xr:uid="{00000000-0005-0000-0000-00000F030000}"/>
    <cellStyle name="20% - Accent5 5 2 2" xfId="7095" xr:uid="{00000000-0005-0000-0000-000010030000}"/>
    <cellStyle name="20% - Accent5 5 2 2 2" xfId="32434" xr:uid="{8212F1B7-28BE-4CE2-9660-3E4A2E6CD700}"/>
    <cellStyle name="20% - Accent5 5 2 2 3" xfId="23993" xr:uid="{58F8B343-DB5D-423F-8ACA-79E7BB07EAAC}"/>
    <cellStyle name="20% - Accent5 5 2 2 4" xfId="15545" xr:uid="{289C8094-0FBA-4F83-AE25-FA083C0E52E9}"/>
    <cellStyle name="20% - Accent5 5 2 3" xfId="28216" xr:uid="{A80BA783-E03E-4975-B220-86A4C66179FC}"/>
    <cellStyle name="20% - Accent5 5 2 4" xfId="19775" xr:uid="{CCE67994-6D73-49B1-8747-11F43D31A201}"/>
    <cellStyle name="20% - Accent5 5 2 5" xfId="11327" xr:uid="{9903A1BF-128E-4529-B35E-6B5D27739B7F}"/>
    <cellStyle name="20% - Accent5 5 3" xfId="4950" xr:uid="{00000000-0005-0000-0000-000011030000}"/>
    <cellStyle name="20% - Accent5 5 3 2" xfId="30289" xr:uid="{C6AE31C5-D58D-49FD-9B75-C7A7A24D50DE}"/>
    <cellStyle name="20% - Accent5 5 3 3" xfId="21848" xr:uid="{07FE9515-CA96-4C58-9FA7-A38CE077D507}"/>
    <cellStyle name="20% - Accent5 5 3 4" xfId="13400" xr:uid="{EA527E62-D1A3-457E-8417-2C9A6C5FD504}"/>
    <cellStyle name="20% - Accent5 5 4" xfId="26071" xr:uid="{B08BC65D-6C06-4E5C-B9A6-055000E13062}"/>
    <cellStyle name="20% - Accent5 5 5" xfId="17630" xr:uid="{5C164E5B-4693-4681-A072-1F638ABCD550}"/>
    <cellStyle name="20% - Accent5 5 6" xfId="9182" xr:uid="{8D91777E-9BE0-41CB-9608-21E91F7719D6}"/>
    <cellStyle name="20% - Accent5 6" xfId="1055" xr:uid="{00000000-0005-0000-0000-000012030000}"/>
    <cellStyle name="20% - Accent5 6 2" xfId="3286" xr:uid="{00000000-0005-0000-0000-000013030000}"/>
    <cellStyle name="20% - Accent5 6 2 2" xfId="7508" xr:uid="{00000000-0005-0000-0000-000014030000}"/>
    <cellStyle name="20% - Accent5 6 2 2 2" xfId="32847" xr:uid="{77376CAE-7877-4A8C-B68B-A47EDA4BF660}"/>
    <cellStyle name="20% - Accent5 6 2 2 3" xfId="24406" xr:uid="{B4C6C3D4-3E69-4935-8C21-514E9F15D161}"/>
    <cellStyle name="20% - Accent5 6 2 2 4" xfId="15958" xr:uid="{2501D78A-0345-4787-B47D-2961A946824C}"/>
    <cellStyle name="20% - Accent5 6 2 3" xfId="28629" xr:uid="{BA295F68-79EF-4BA4-A760-998E6E33A171}"/>
    <cellStyle name="20% - Accent5 6 2 4" xfId="20188" xr:uid="{139BB6E4-F7A4-40D1-8DE8-43CC31991BD7}"/>
    <cellStyle name="20% - Accent5 6 2 5" xfId="11740" xr:uid="{0B4144FC-8581-4686-8C1E-AB4F657EFAE7}"/>
    <cellStyle name="20% - Accent5 6 3" xfId="5363" xr:uid="{00000000-0005-0000-0000-000015030000}"/>
    <cellStyle name="20% - Accent5 6 3 2" xfId="30702" xr:uid="{F8ECC0B8-EA9B-44DB-BFAB-34F26BCD74AC}"/>
    <cellStyle name="20% - Accent5 6 3 3" xfId="22261" xr:uid="{6478A15A-331A-4DA0-B9B1-5C01324B2B04}"/>
    <cellStyle name="20% - Accent5 6 3 4" xfId="13813" xr:uid="{F6EA2771-5908-488D-9241-B5E85A724629}"/>
    <cellStyle name="20% - Accent5 6 4" xfId="26484" xr:uid="{6785687C-25E8-4241-B10A-CC844321488A}"/>
    <cellStyle name="20% - Accent5 6 5" xfId="18043" xr:uid="{83D924A6-CF1F-47B8-A2C6-2BCE2B089A27}"/>
    <cellStyle name="20% - Accent5 6 6" xfId="9595" xr:uid="{27C4963F-7AF8-4BD3-8C45-61B247942DB9}"/>
    <cellStyle name="20% - Accent5 7" xfId="1469" xr:uid="{00000000-0005-0000-0000-000016030000}"/>
    <cellStyle name="20% - Accent5 7 2" xfId="3699" xr:uid="{00000000-0005-0000-0000-000017030000}"/>
    <cellStyle name="20% - Accent5 7 2 2" xfId="7921" xr:uid="{00000000-0005-0000-0000-000018030000}"/>
    <cellStyle name="20% - Accent5 7 2 2 2" xfId="33260" xr:uid="{C3F5C4BA-28AF-4897-91E7-9D9BFCA5106D}"/>
    <cellStyle name="20% - Accent5 7 2 2 3" xfId="24819" xr:uid="{C66DB6A4-46EE-4723-BA96-94875D5348B6}"/>
    <cellStyle name="20% - Accent5 7 2 2 4" xfId="16371" xr:uid="{71B12F34-D1E3-4356-8C9F-B19FE27521C2}"/>
    <cellStyle name="20% - Accent5 7 2 3" xfId="29042" xr:uid="{62BA02B9-CB5A-4D01-9D63-5762B96F8963}"/>
    <cellStyle name="20% - Accent5 7 2 4" xfId="20601" xr:uid="{00D4DBA8-4922-4987-8742-1AB439FF51BC}"/>
    <cellStyle name="20% - Accent5 7 2 5" xfId="12153" xr:uid="{AEA3349C-24A4-4CEE-A6B3-C12F10DFA2C5}"/>
    <cellStyle name="20% - Accent5 7 3" xfId="5776" xr:uid="{00000000-0005-0000-0000-000019030000}"/>
    <cellStyle name="20% - Accent5 7 3 2" xfId="31115" xr:uid="{883BE3FD-377F-45BE-ACBF-A4D430B796D3}"/>
    <cellStyle name="20% - Accent5 7 3 3" xfId="22674" xr:uid="{46E4BA09-BB8C-4400-AB04-3EB427E9C1CD}"/>
    <cellStyle name="20% - Accent5 7 3 4" xfId="14226" xr:uid="{4B7C57F8-526F-4213-8546-09EED9534541}"/>
    <cellStyle name="20% - Accent5 7 4" xfId="26897" xr:uid="{C91BC59A-C941-4BD5-B1C2-B8FA6AECE956}"/>
    <cellStyle name="20% - Accent5 7 5" xfId="18456" xr:uid="{5062A89A-5FA3-4A78-91C3-6E80BF5A796A}"/>
    <cellStyle name="20% - Accent5 7 6" xfId="10008" xr:uid="{1E1EB1BE-13D9-4644-A6C1-FA34BA471945}"/>
    <cellStyle name="20% - Accent5 8" xfId="1883" xr:uid="{00000000-0005-0000-0000-00001A030000}"/>
    <cellStyle name="20% - Accent5 8 2" xfId="4112" xr:uid="{00000000-0005-0000-0000-00001B030000}"/>
    <cellStyle name="20% - Accent5 8 2 2" xfId="8334" xr:uid="{00000000-0005-0000-0000-00001C030000}"/>
    <cellStyle name="20% - Accent5 8 2 2 2" xfId="33673" xr:uid="{B0A17092-0712-4115-8DFE-D6C5BB5A15D7}"/>
    <cellStyle name="20% - Accent5 8 2 2 3" xfId="25232" xr:uid="{D4AEC157-74E3-483B-9EC6-D1B4536CDDD9}"/>
    <cellStyle name="20% - Accent5 8 2 2 4" xfId="16784" xr:uid="{7539808E-2DE3-4545-A1FB-01ABCF7AD973}"/>
    <cellStyle name="20% - Accent5 8 2 3" xfId="29455" xr:uid="{791A7690-3613-4386-A3AD-3B96566EC611}"/>
    <cellStyle name="20% - Accent5 8 2 4" xfId="21014" xr:uid="{E6BA1370-68D5-4DAC-9554-D889F1B98D75}"/>
    <cellStyle name="20% - Accent5 8 2 5" xfId="12566" xr:uid="{365313AC-29EC-4457-8BE7-8CD7C4180B90}"/>
    <cellStyle name="20% - Accent5 8 3" xfId="6189" xr:uid="{00000000-0005-0000-0000-00001D030000}"/>
    <cellStyle name="20% - Accent5 8 3 2" xfId="31528" xr:uid="{5F23CBFA-AEA6-425F-B2DB-7416CFC87BFF}"/>
    <cellStyle name="20% - Accent5 8 3 3" xfId="23087" xr:uid="{072490A0-09B4-422D-AD05-6DADC5264325}"/>
    <cellStyle name="20% - Accent5 8 3 4" xfId="14639" xr:uid="{E87CCE54-2C04-4FA2-A0F7-A450CCBA5C0F}"/>
    <cellStyle name="20% - Accent5 8 4" xfId="27310" xr:uid="{0943EF21-C46E-454C-A19B-2EB2C00F688D}"/>
    <cellStyle name="20% - Accent5 8 5" xfId="18869" xr:uid="{CDD9DA03-5558-408E-AC4F-04DAD7229BA7}"/>
    <cellStyle name="20% - Accent5 8 6" xfId="10421" xr:uid="{7430B231-D4B1-490C-A6A0-889F851BACEA}"/>
    <cellStyle name="20% - Accent5 9" xfId="2296" xr:uid="{00000000-0005-0000-0000-00001E030000}"/>
    <cellStyle name="20% - Accent5 9 2" xfId="6602" xr:uid="{00000000-0005-0000-0000-00001F030000}"/>
    <cellStyle name="20% - Accent5 9 2 2" xfId="31941" xr:uid="{88A608F7-7313-4AE1-9250-7E82344C0C07}"/>
    <cellStyle name="20% - Accent5 9 2 3" xfId="23500" xr:uid="{B23E598E-98A5-48C1-BB93-3B0D4F0E4CF3}"/>
    <cellStyle name="20% - Accent5 9 2 4" xfId="15052" xr:uid="{132933D0-0047-4FDF-88EB-C3AC23722F23}"/>
    <cellStyle name="20% - Accent5 9 3" xfId="27723" xr:uid="{60F20910-1ACB-4DD2-9127-4D497BC12531}"/>
    <cellStyle name="20% - Accent5 9 4" xfId="19282" xr:uid="{D62AD90A-93B5-466E-8EF5-420C2E2EBFBD}"/>
    <cellStyle name="20% - Accent5 9 5" xfId="10834" xr:uid="{C73AC246-DD9B-4BD9-B327-1E4DB5AD95F8}"/>
    <cellStyle name="20% - Accent6" xfId="41" builtinId="50" customBuiltin="1"/>
    <cellStyle name="20% - Accent6 10" xfId="4544" xr:uid="{00000000-0005-0000-0000-000021030000}"/>
    <cellStyle name="20% - Accent6 10 2" xfId="29883" xr:uid="{325AB996-6D19-441D-9885-89EB5828C79D}"/>
    <cellStyle name="20% - Accent6 10 3" xfId="21442" xr:uid="{0564D60D-DC31-4DA2-8409-A76EE1BC3828}"/>
    <cellStyle name="20% - Accent6 10 4" xfId="12994" xr:uid="{44F8A254-1EEB-4255-BAF1-6CB2AD98C649}"/>
    <cellStyle name="20% - Accent6 11" xfId="25665" xr:uid="{235DEECB-D203-4021-84D3-B0D2AD0C2670}"/>
    <cellStyle name="20% - Accent6 12" xfId="17224" xr:uid="{F8CD346D-0196-4FDA-93EB-1E6EBC90D1C2}"/>
    <cellStyle name="20% - Accent6 13" xfId="8776" xr:uid="{B71D1619-BDC9-4944-8101-93B86689FDD3}"/>
    <cellStyle name="20% - Accent6 2" xfId="42" xr:uid="{00000000-0005-0000-0000-000022030000}"/>
    <cellStyle name="20% - Accent6 2 10" xfId="25666" xr:uid="{FAF72435-3988-4B51-91D5-DD786C18AD0A}"/>
    <cellStyle name="20% - Accent6 2 11" xfId="17225" xr:uid="{4229E465-D1D6-41A5-9A5B-1F1559804C13}"/>
    <cellStyle name="20% - Accent6 2 12" xfId="8777" xr:uid="{0C6A9C7D-D43D-4276-A660-E4E9AB7CA0B4}"/>
    <cellStyle name="20% - Accent6 2 2" xfId="43" xr:uid="{00000000-0005-0000-0000-000023030000}"/>
    <cellStyle name="20% - Accent6 2 2 10" xfId="17226" xr:uid="{D8A1A7ED-9372-4D8E-BB7F-63E0281EBEF2}"/>
    <cellStyle name="20% - Accent6 2 2 11" xfId="8778" xr:uid="{F70E340C-8E3F-4693-8F11-4F33BF82CB1C}"/>
    <cellStyle name="20% - Accent6 2 2 2" xfId="44" xr:uid="{00000000-0005-0000-0000-000024030000}"/>
    <cellStyle name="20% - Accent6 2 2 2 10" xfId="8779" xr:uid="{62A681FE-CA41-40CA-B050-C0B2169E82E2}"/>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32445" xr:uid="{663AEA4C-3346-46D0-8F34-7A34DF341391}"/>
    <cellStyle name="20% - Accent6 2 2 2 2 2 2 3" xfId="24004" xr:uid="{FE93332C-21ED-4988-981D-A752310B8470}"/>
    <cellStyle name="20% - Accent6 2 2 2 2 2 2 4" xfId="15556" xr:uid="{3990016F-5C4C-4070-9656-1194D6B2FBD3}"/>
    <cellStyle name="20% - Accent6 2 2 2 2 2 3" xfId="28227" xr:uid="{77E29C7E-4283-4277-9089-F3F93FB6F276}"/>
    <cellStyle name="20% - Accent6 2 2 2 2 2 4" xfId="19786" xr:uid="{7BC7C2F4-7196-4600-855E-EA06591F2A3C}"/>
    <cellStyle name="20% - Accent6 2 2 2 2 2 5" xfId="11338" xr:uid="{D62832E8-1FD4-4EB8-8AC5-A9407A8DF5BF}"/>
    <cellStyle name="20% - Accent6 2 2 2 2 3" xfId="4961" xr:uid="{00000000-0005-0000-0000-000028030000}"/>
    <cellStyle name="20% - Accent6 2 2 2 2 3 2" xfId="30300" xr:uid="{9D84B492-24CE-463B-9EA7-A0BD5ED0ADBC}"/>
    <cellStyle name="20% - Accent6 2 2 2 2 3 3" xfId="21859" xr:uid="{A4DE4ADC-16D7-43EA-A518-4A48CCED5832}"/>
    <cellStyle name="20% - Accent6 2 2 2 2 3 4" xfId="13411" xr:uid="{81555EB9-0C7B-401F-B572-454DC6736CE2}"/>
    <cellStyle name="20% - Accent6 2 2 2 2 4" xfId="26082" xr:uid="{A84BCAFB-AC0D-4820-83CB-710A9CA0CAB0}"/>
    <cellStyle name="20% - Accent6 2 2 2 2 5" xfId="17641" xr:uid="{8303F507-04B0-4773-B66C-BB543E2082C6}"/>
    <cellStyle name="20% - Accent6 2 2 2 2 6" xfId="9193" xr:uid="{3AAACE88-7157-439E-B6FB-C8AAFC086DD9}"/>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32858" xr:uid="{75EB5F33-E31A-4186-9AFE-9E7F7EADEBB5}"/>
    <cellStyle name="20% - Accent6 2 2 2 3 2 2 3" xfId="24417" xr:uid="{5E8EC699-BE01-4C1F-AC9C-BA220922206D}"/>
    <cellStyle name="20% - Accent6 2 2 2 3 2 2 4" xfId="15969" xr:uid="{038B636A-F34C-497B-94E8-5F0062042F8E}"/>
    <cellStyle name="20% - Accent6 2 2 2 3 2 3" xfId="28640" xr:uid="{A0C7F701-1B5C-4243-868B-625B91CD21EE}"/>
    <cellStyle name="20% - Accent6 2 2 2 3 2 4" xfId="20199" xr:uid="{D762F9EE-9BB9-43C4-BC9C-392C738FCCB2}"/>
    <cellStyle name="20% - Accent6 2 2 2 3 2 5" xfId="11751" xr:uid="{CA63F464-A043-4217-B87C-3DDFB38520B9}"/>
    <cellStyle name="20% - Accent6 2 2 2 3 3" xfId="5374" xr:uid="{00000000-0005-0000-0000-00002C030000}"/>
    <cellStyle name="20% - Accent6 2 2 2 3 3 2" xfId="30713" xr:uid="{CCD0081D-5856-4035-917B-434B15DD04ED}"/>
    <cellStyle name="20% - Accent6 2 2 2 3 3 3" xfId="22272" xr:uid="{C5F8CB63-28A4-4CFA-9A8C-968E194A1831}"/>
    <cellStyle name="20% - Accent6 2 2 2 3 3 4" xfId="13824" xr:uid="{2203A5C1-2E7F-4A00-8A2F-44D1168B517C}"/>
    <cellStyle name="20% - Accent6 2 2 2 3 4" xfId="26495" xr:uid="{C1F02CAF-525B-4506-8675-474A8D1A2A1E}"/>
    <cellStyle name="20% - Accent6 2 2 2 3 5" xfId="18054" xr:uid="{8A69B4A5-2944-4A17-9BCF-7D4304A482BB}"/>
    <cellStyle name="20% - Accent6 2 2 2 3 6" xfId="9606" xr:uid="{39EE2531-E2F4-484A-870C-23BE0AD2FEAD}"/>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33271" xr:uid="{CC72AD8A-D5F4-45D1-8F8E-6733B4DEE4E7}"/>
    <cellStyle name="20% - Accent6 2 2 2 4 2 2 3" xfId="24830" xr:uid="{CCFC769F-7952-4680-B0F3-446485D419C3}"/>
    <cellStyle name="20% - Accent6 2 2 2 4 2 2 4" xfId="16382" xr:uid="{4E85EF8F-9772-4501-8725-757450E51F31}"/>
    <cellStyle name="20% - Accent6 2 2 2 4 2 3" xfId="29053" xr:uid="{693DE609-C75E-4D2E-8332-6C172499B4E6}"/>
    <cellStyle name="20% - Accent6 2 2 2 4 2 4" xfId="20612" xr:uid="{F6794330-D098-41DD-9F80-A6800B77A622}"/>
    <cellStyle name="20% - Accent6 2 2 2 4 2 5" xfId="12164" xr:uid="{F7E65484-B28E-461C-91DE-47B4EEB0F052}"/>
    <cellStyle name="20% - Accent6 2 2 2 4 3" xfId="5787" xr:uid="{00000000-0005-0000-0000-000030030000}"/>
    <cellStyle name="20% - Accent6 2 2 2 4 3 2" xfId="31126" xr:uid="{216DCAC4-F8BE-4EA9-AEDD-44CE2B3BE200}"/>
    <cellStyle name="20% - Accent6 2 2 2 4 3 3" xfId="22685" xr:uid="{3FDAE2ED-0DF0-436C-B7E2-69E24034211C}"/>
    <cellStyle name="20% - Accent6 2 2 2 4 3 4" xfId="14237" xr:uid="{82237C05-6492-49FF-BB06-6A0AA5EEE120}"/>
    <cellStyle name="20% - Accent6 2 2 2 4 4" xfId="26908" xr:uid="{9A1E70DC-C752-4697-8C4F-E8CB4AD46267}"/>
    <cellStyle name="20% - Accent6 2 2 2 4 5" xfId="18467" xr:uid="{EB583BF5-3DB4-404F-AA0B-DB5CAF7F2434}"/>
    <cellStyle name="20% - Accent6 2 2 2 4 6" xfId="10019" xr:uid="{3860A1CE-711D-4BBC-8E0B-2AF8A743030B}"/>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33684" xr:uid="{7F27DE93-FD7D-4216-828C-6DE3FD9C4D90}"/>
    <cellStyle name="20% - Accent6 2 2 2 5 2 2 3" xfId="25243" xr:uid="{06B18D77-5D72-4199-A8C9-3A03CB954E57}"/>
    <cellStyle name="20% - Accent6 2 2 2 5 2 2 4" xfId="16795" xr:uid="{FC900E51-3119-4ECB-906F-6EE252A2AC16}"/>
    <cellStyle name="20% - Accent6 2 2 2 5 2 3" xfId="29466" xr:uid="{97F3E656-CC9D-43A1-89F1-8874027AFF19}"/>
    <cellStyle name="20% - Accent6 2 2 2 5 2 4" xfId="21025" xr:uid="{CE78B717-4582-4E14-91C0-909DAB80D916}"/>
    <cellStyle name="20% - Accent6 2 2 2 5 2 5" xfId="12577" xr:uid="{5662550D-A793-4403-AF15-E8DB6584A62C}"/>
    <cellStyle name="20% - Accent6 2 2 2 5 3" xfId="6200" xr:uid="{00000000-0005-0000-0000-000034030000}"/>
    <cellStyle name="20% - Accent6 2 2 2 5 3 2" xfId="31539" xr:uid="{203F088A-94AF-46A4-BA18-4500512A4D85}"/>
    <cellStyle name="20% - Accent6 2 2 2 5 3 3" xfId="23098" xr:uid="{C483A9A2-EEF7-4DB7-B700-DA7019A216A0}"/>
    <cellStyle name="20% - Accent6 2 2 2 5 3 4" xfId="14650" xr:uid="{144E1827-5F9B-4BC6-B5E6-DCFA537E1792}"/>
    <cellStyle name="20% - Accent6 2 2 2 5 4" xfId="27321" xr:uid="{A12947DC-5457-43E2-AA9B-13F640500B94}"/>
    <cellStyle name="20% - Accent6 2 2 2 5 5" xfId="18880" xr:uid="{4E3F7C1D-E715-4C74-A040-21B2FEAA81B9}"/>
    <cellStyle name="20% - Accent6 2 2 2 5 6" xfId="10432" xr:uid="{6D6740BC-BFE4-4B1D-8111-7C470AF893D8}"/>
    <cellStyle name="20% - Accent6 2 2 2 6" xfId="2307" xr:uid="{00000000-0005-0000-0000-000035030000}"/>
    <cellStyle name="20% - Accent6 2 2 2 6 2" xfId="6613" xr:uid="{00000000-0005-0000-0000-000036030000}"/>
    <cellStyle name="20% - Accent6 2 2 2 6 2 2" xfId="31952" xr:uid="{615F6745-E63B-4E58-9D34-6DF5E8DF5875}"/>
    <cellStyle name="20% - Accent6 2 2 2 6 2 3" xfId="23511" xr:uid="{27EB24C3-91DB-4EF6-8346-6247EE718374}"/>
    <cellStyle name="20% - Accent6 2 2 2 6 2 4" xfId="15063" xr:uid="{1C71BFB2-03EB-47C1-AF85-D4225EF167FC}"/>
    <cellStyle name="20% - Accent6 2 2 2 6 3" xfId="27734" xr:uid="{BA838CB5-B5C7-4231-AB2A-583AD1B87EF7}"/>
    <cellStyle name="20% - Accent6 2 2 2 6 4" xfId="19293" xr:uid="{AB6982D7-650E-4CB8-A9EC-D6FECBC83322}"/>
    <cellStyle name="20% - Accent6 2 2 2 6 5" xfId="10845" xr:uid="{EC460B5A-CD29-4ED1-91FB-B7882F55F12B}"/>
    <cellStyle name="20% - Accent6 2 2 2 7" xfId="4547" xr:uid="{00000000-0005-0000-0000-000037030000}"/>
    <cellStyle name="20% - Accent6 2 2 2 7 2" xfId="29886" xr:uid="{B6BFF6F4-B0D8-4FF2-BA97-CE550B0BC463}"/>
    <cellStyle name="20% - Accent6 2 2 2 7 3" xfId="21445" xr:uid="{4A597EDE-8EE0-48D0-A8F8-967EF2525785}"/>
    <cellStyle name="20% - Accent6 2 2 2 7 4" xfId="12997" xr:uid="{F3151180-AE79-47EC-81E5-4EF7F9501EBF}"/>
    <cellStyle name="20% - Accent6 2 2 2 8" xfId="25668" xr:uid="{96072ADB-E460-4835-8673-C2BE08BDAE8D}"/>
    <cellStyle name="20% - Accent6 2 2 2 9" xfId="17227" xr:uid="{03122A83-F21F-4229-89A7-456D7E3FD3F3}"/>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32444" xr:uid="{EB10DE15-B486-495A-BBF8-D09288514965}"/>
    <cellStyle name="20% - Accent6 2 2 3 2 2 3" xfId="24003" xr:uid="{27D5FC4A-7318-418A-8232-B8317864E756}"/>
    <cellStyle name="20% - Accent6 2 2 3 2 2 4" xfId="15555" xr:uid="{590D6C96-64B7-4CDC-996E-D2B0E013543E}"/>
    <cellStyle name="20% - Accent6 2 2 3 2 3" xfId="28226" xr:uid="{1062FE27-C179-489F-86CC-97038FF3CD3E}"/>
    <cellStyle name="20% - Accent6 2 2 3 2 4" xfId="19785" xr:uid="{6E9310AF-4CA0-473E-8026-4F71C88FB081}"/>
    <cellStyle name="20% - Accent6 2 2 3 2 5" xfId="11337" xr:uid="{0A0D3635-05A4-4D73-9657-01E6CDB2C416}"/>
    <cellStyle name="20% - Accent6 2 2 3 3" xfId="4960" xr:uid="{00000000-0005-0000-0000-00003B030000}"/>
    <cellStyle name="20% - Accent6 2 2 3 3 2" xfId="30299" xr:uid="{781C7C02-AC6B-434E-95A2-94BE820CF2EF}"/>
    <cellStyle name="20% - Accent6 2 2 3 3 3" xfId="21858" xr:uid="{92AC6846-C31E-4F40-9D40-D74E4A10EBF9}"/>
    <cellStyle name="20% - Accent6 2 2 3 3 4" xfId="13410" xr:uid="{7D7FBA53-B055-44C2-B8C2-4350FB9C754B}"/>
    <cellStyle name="20% - Accent6 2 2 3 4" xfId="26081" xr:uid="{79B40A7E-6CC3-4B3A-8D52-EC728A15C2A8}"/>
    <cellStyle name="20% - Accent6 2 2 3 5" xfId="17640" xr:uid="{13CB3D99-FFEB-4A90-9AB0-5051150B20BE}"/>
    <cellStyle name="20% - Accent6 2 2 3 6" xfId="9192" xr:uid="{F75595C8-E727-4873-BBD0-DCD20883C878}"/>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32857" xr:uid="{4B2416AD-7B10-45B7-8D9A-DE002195A658}"/>
    <cellStyle name="20% - Accent6 2 2 4 2 2 3" xfId="24416" xr:uid="{344EF243-41B9-45E7-8FD3-35262B1F0FB1}"/>
    <cellStyle name="20% - Accent6 2 2 4 2 2 4" xfId="15968" xr:uid="{D158DC37-EA42-4D60-9395-4673F0447997}"/>
    <cellStyle name="20% - Accent6 2 2 4 2 3" xfId="28639" xr:uid="{AC06EF7B-BC81-45CE-B01B-8154E25DF507}"/>
    <cellStyle name="20% - Accent6 2 2 4 2 4" xfId="20198" xr:uid="{E5D1730E-13CE-48BC-9572-00F0138D516F}"/>
    <cellStyle name="20% - Accent6 2 2 4 2 5" xfId="11750" xr:uid="{29CEB3DC-65C7-4DF2-AC52-4250AEBFC887}"/>
    <cellStyle name="20% - Accent6 2 2 4 3" xfId="5373" xr:uid="{00000000-0005-0000-0000-00003F030000}"/>
    <cellStyle name="20% - Accent6 2 2 4 3 2" xfId="30712" xr:uid="{6D623890-CFC6-4661-B980-5FC5CB76FEEE}"/>
    <cellStyle name="20% - Accent6 2 2 4 3 3" xfId="22271" xr:uid="{338C7E3F-D24F-48B0-96CD-D40DE5D911C1}"/>
    <cellStyle name="20% - Accent6 2 2 4 3 4" xfId="13823" xr:uid="{16E9D6AD-5406-44FB-B3ED-00271E466853}"/>
    <cellStyle name="20% - Accent6 2 2 4 4" xfId="26494" xr:uid="{90683CB4-7DE2-4292-B7DE-1CAAC4106D5A}"/>
    <cellStyle name="20% - Accent6 2 2 4 5" xfId="18053" xr:uid="{2663CDCC-2868-4CB5-8C00-66BF757AB1DC}"/>
    <cellStyle name="20% - Accent6 2 2 4 6" xfId="9605" xr:uid="{74B36505-F9AC-48B4-B035-3E24EECA9F92}"/>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33270" xr:uid="{B5FF3126-185C-41B3-9C87-523199F49189}"/>
    <cellStyle name="20% - Accent6 2 2 5 2 2 3" xfId="24829" xr:uid="{798758D0-CBC8-45E4-94CC-9CAB40F3404E}"/>
    <cellStyle name="20% - Accent6 2 2 5 2 2 4" xfId="16381" xr:uid="{21ED37E0-CBB8-44F8-AACD-95834613E139}"/>
    <cellStyle name="20% - Accent6 2 2 5 2 3" xfId="29052" xr:uid="{9E9C0CF5-DC37-445C-BC92-635E344A07BE}"/>
    <cellStyle name="20% - Accent6 2 2 5 2 4" xfId="20611" xr:uid="{174CB19C-0626-4E9D-AB90-9F0DBBCBFADD}"/>
    <cellStyle name="20% - Accent6 2 2 5 2 5" xfId="12163" xr:uid="{64077CAE-6C96-4842-A4C7-B71932DD8A28}"/>
    <cellStyle name="20% - Accent6 2 2 5 3" xfId="5786" xr:uid="{00000000-0005-0000-0000-000043030000}"/>
    <cellStyle name="20% - Accent6 2 2 5 3 2" xfId="31125" xr:uid="{62744A7F-30BE-403A-BF46-84EBA00DAD54}"/>
    <cellStyle name="20% - Accent6 2 2 5 3 3" xfId="22684" xr:uid="{45B2F23C-723E-4115-9069-114BB15AB66A}"/>
    <cellStyle name="20% - Accent6 2 2 5 3 4" xfId="14236" xr:uid="{DBEAEA16-E00A-49F1-8C92-6EFC5F148D01}"/>
    <cellStyle name="20% - Accent6 2 2 5 4" xfId="26907" xr:uid="{A9BD2C65-A30E-4DFF-B4E5-CD35BF0942A3}"/>
    <cellStyle name="20% - Accent6 2 2 5 5" xfId="18466" xr:uid="{0FD529A7-FA21-40C5-A584-310C72886FAA}"/>
    <cellStyle name="20% - Accent6 2 2 5 6" xfId="10018" xr:uid="{7C68FA56-6544-4A44-91A5-B6FC126C4EB9}"/>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33683" xr:uid="{9873D89E-7556-419F-AEAA-6D131877D16D}"/>
    <cellStyle name="20% - Accent6 2 2 6 2 2 3" xfId="25242" xr:uid="{3D379CCA-C935-434C-95F6-ECC8DCAA5154}"/>
    <cellStyle name="20% - Accent6 2 2 6 2 2 4" xfId="16794" xr:uid="{FAFA5F3E-7192-4707-A425-92C8F7F0A99C}"/>
    <cellStyle name="20% - Accent6 2 2 6 2 3" xfId="29465" xr:uid="{9D0622C4-C094-4E22-BD8B-1CD05AE6B5FC}"/>
    <cellStyle name="20% - Accent6 2 2 6 2 4" xfId="21024" xr:uid="{53583EA0-4D78-4BA6-861A-A2680DAAAAC6}"/>
    <cellStyle name="20% - Accent6 2 2 6 2 5" xfId="12576" xr:uid="{B72F6997-5089-4908-BEB7-F8E9C06B6CF2}"/>
    <cellStyle name="20% - Accent6 2 2 6 3" xfId="6199" xr:uid="{00000000-0005-0000-0000-000047030000}"/>
    <cellStyle name="20% - Accent6 2 2 6 3 2" xfId="31538" xr:uid="{372638F2-C7FC-4DC5-817C-03A41C75D0D3}"/>
    <cellStyle name="20% - Accent6 2 2 6 3 3" xfId="23097" xr:uid="{92A5671C-F6F2-4DB8-BD0B-AD8531931E4E}"/>
    <cellStyle name="20% - Accent6 2 2 6 3 4" xfId="14649" xr:uid="{F498DA29-6D0E-4BDC-965F-38B263150E8F}"/>
    <cellStyle name="20% - Accent6 2 2 6 4" xfId="27320" xr:uid="{9A586B57-6F8C-4627-8212-123C6D7B70EF}"/>
    <cellStyle name="20% - Accent6 2 2 6 5" xfId="18879" xr:uid="{3134C37A-7418-429B-8940-7086C78A3FE3}"/>
    <cellStyle name="20% - Accent6 2 2 6 6" xfId="10431" xr:uid="{A26DEF79-B9A4-4DCC-A5A6-009703EB0CF9}"/>
    <cellStyle name="20% - Accent6 2 2 7" xfId="2306" xr:uid="{00000000-0005-0000-0000-000048030000}"/>
    <cellStyle name="20% - Accent6 2 2 7 2" xfId="6612" xr:uid="{00000000-0005-0000-0000-000049030000}"/>
    <cellStyle name="20% - Accent6 2 2 7 2 2" xfId="31951" xr:uid="{0BF46D71-509E-4C2B-AAB9-91C651A91A58}"/>
    <cellStyle name="20% - Accent6 2 2 7 2 3" xfId="23510" xr:uid="{527C22A7-AA8C-4A0E-95BE-A876730FB43E}"/>
    <cellStyle name="20% - Accent6 2 2 7 2 4" xfId="15062" xr:uid="{3FADCCFF-0096-49FD-A869-C46751A8519D}"/>
    <cellStyle name="20% - Accent6 2 2 7 3" xfId="27733" xr:uid="{84C82DDC-7F93-4F70-B307-A2F294A75F57}"/>
    <cellStyle name="20% - Accent6 2 2 7 4" xfId="19292" xr:uid="{E1381CE2-E0FF-4B90-BA8B-BB2AC7856D2B}"/>
    <cellStyle name="20% - Accent6 2 2 7 5" xfId="10844" xr:uid="{73C464A7-0B02-4714-B486-1B0C485D0E0A}"/>
    <cellStyle name="20% - Accent6 2 2 8" xfId="4546" xr:uid="{00000000-0005-0000-0000-00004A030000}"/>
    <cellStyle name="20% - Accent6 2 2 8 2" xfId="29885" xr:uid="{A1A6A98F-EE5D-4153-88F8-F18F1AC6CC94}"/>
    <cellStyle name="20% - Accent6 2 2 8 3" xfId="21444" xr:uid="{5B659D83-766D-49EF-A35F-D47571E658FC}"/>
    <cellStyle name="20% - Accent6 2 2 8 4" xfId="12996" xr:uid="{4EAA036B-A399-4EB2-8CCD-343662A884F8}"/>
    <cellStyle name="20% - Accent6 2 2 9" xfId="25667" xr:uid="{951307AE-9D54-4B75-AF41-254026547C3B}"/>
    <cellStyle name="20% - Accent6 2 3" xfId="45" xr:uid="{00000000-0005-0000-0000-00004B030000}"/>
    <cellStyle name="20% - Accent6 2 3 10" xfId="8780" xr:uid="{DA1EFA18-7F5F-44E4-8ED5-70040BDDE56A}"/>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32446" xr:uid="{4931C4C3-582F-4F7F-A53D-933AAB38C9BE}"/>
    <cellStyle name="20% - Accent6 2 3 2 2 2 3" xfId="24005" xr:uid="{0CFC15F6-76B5-48CB-9E04-602594A5BBC1}"/>
    <cellStyle name="20% - Accent6 2 3 2 2 2 4" xfId="15557" xr:uid="{BCB56921-9E3B-461A-99F2-1AB1922F175B}"/>
    <cellStyle name="20% - Accent6 2 3 2 2 3" xfId="28228" xr:uid="{7D578EDD-30E9-4217-BCAF-5BAB21917BD4}"/>
    <cellStyle name="20% - Accent6 2 3 2 2 4" xfId="19787" xr:uid="{667D2D55-1A3C-4185-8A7C-A9CCA81985E6}"/>
    <cellStyle name="20% - Accent6 2 3 2 2 5" xfId="11339" xr:uid="{7298FB2E-1BBE-45D1-ABCA-A2B6A55C7E18}"/>
    <cellStyle name="20% - Accent6 2 3 2 3" xfId="4962" xr:uid="{00000000-0005-0000-0000-00004F030000}"/>
    <cellStyle name="20% - Accent6 2 3 2 3 2" xfId="30301" xr:uid="{676D0281-3A7A-4EA5-B368-82BF7C7DECB7}"/>
    <cellStyle name="20% - Accent6 2 3 2 3 3" xfId="21860" xr:uid="{538FE205-FAD4-439C-BB5F-69A8B3886B23}"/>
    <cellStyle name="20% - Accent6 2 3 2 3 4" xfId="13412" xr:uid="{C6C13B87-C6A2-459F-B1A5-2ADB1B85624E}"/>
    <cellStyle name="20% - Accent6 2 3 2 4" xfId="26083" xr:uid="{3EC39955-2A0C-4173-9192-498F48DF9F5E}"/>
    <cellStyle name="20% - Accent6 2 3 2 5" xfId="17642" xr:uid="{57173A82-6508-4B9B-808F-C01399AD6D56}"/>
    <cellStyle name="20% - Accent6 2 3 2 6" xfId="9194" xr:uid="{625E67C9-3D46-4FEE-8B92-32BDF3FCB9DC}"/>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32859" xr:uid="{0CE10188-458D-4301-BA52-ECF80837678A}"/>
    <cellStyle name="20% - Accent6 2 3 3 2 2 3" xfId="24418" xr:uid="{BEDC4B8D-4FC5-47C9-9485-F5F7E5490C24}"/>
    <cellStyle name="20% - Accent6 2 3 3 2 2 4" xfId="15970" xr:uid="{0E16EA64-AB9A-411A-9306-3DB281FC16FD}"/>
    <cellStyle name="20% - Accent6 2 3 3 2 3" xfId="28641" xr:uid="{67AFD217-4B29-48A8-9674-0805DA32DACF}"/>
    <cellStyle name="20% - Accent6 2 3 3 2 4" xfId="20200" xr:uid="{271EB918-D166-496E-93C2-A35C90A2F20C}"/>
    <cellStyle name="20% - Accent6 2 3 3 2 5" xfId="11752" xr:uid="{199E1EDE-AF22-4665-818D-96623260323A}"/>
    <cellStyle name="20% - Accent6 2 3 3 3" xfId="5375" xr:uid="{00000000-0005-0000-0000-000053030000}"/>
    <cellStyle name="20% - Accent6 2 3 3 3 2" xfId="30714" xr:uid="{8300EFC5-91D4-4177-AE2D-0A10B7D11ADC}"/>
    <cellStyle name="20% - Accent6 2 3 3 3 3" xfId="22273" xr:uid="{4001F333-279F-4624-B35A-F78348A61F74}"/>
    <cellStyle name="20% - Accent6 2 3 3 3 4" xfId="13825" xr:uid="{02283B59-DF26-4AA8-B2A4-1085BDEEDA9B}"/>
    <cellStyle name="20% - Accent6 2 3 3 4" xfId="26496" xr:uid="{44E4CA8C-5029-4736-BF72-5C2244433EDF}"/>
    <cellStyle name="20% - Accent6 2 3 3 5" xfId="18055" xr:uid="{ED105832-63BD-401B-96F7-2A14BA7AB35F}"/>
    <cellStyle name="20% - Accent6 2 3 3 6" xfId="9607" xr:uid="{C65697FA-B153-4887-A5D1-0B48D5210A20}"/>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33272" xr:uid="{2B28650A-6B4E-4E29-AF22-7D2F3AAE8B35}"/>
    <cellStyle name="20% - Accent6 2 3 4 2 2 3" xfId="24831" xr:uid="{9E4F32C9-3E07-4BE1-B763-997CE17C1C0A}"/>
    <cellStyle name="20% - Accent6 2 3 4 2 2 4" xfId="16383" xr:uid="{309C0745-6BFC-40A2-92A7-42DD9D34ABE8}"/>
    <cellStyle name="20% - Accent6 2 3 4 2 3" xfId="29054" xr:uid="{93E6D270-A1C0-4A8C-9E0B-C49930A08771}"/>
    <cellStyle name="20% - Accent6 2 3 4 2 4" xfId="20613" xr:uid="{325654E2-2BD4-4CBD-B39A-30F6A868E407}"/>
    <cellStyle name="20% - Accent6 2 3 4 2 5" xfId="12165" xr:uid="{F6699E10-93F1-4531-9A46-D3AAFE62B3B2}"/>
    <cellStyle name="20% - Accent6 2 3 4 3" xfId="5788" xr:uid="{00000000-0005-0000-0000-000057030000}"/>
    <cellStyle name="20% - Accent6 2 3 4 3 2" xfId="31127" xr:uid="{4C693C82-7D2A-4B84-8A90-677D984D51D7}"/>
    <cellStyle name="20% - Accent6 2 3 4 3 3" xfId="22686" xr:uid="{8A78DBC5-B4C0-4700-AFC7-3B3B6E6C2424}"/>
    <cellStyle name="20% - Accent6 2 3 4 3 4" xfId="14238" xr:uid="{56424C1E-990C-4A76-83E9-2CA0759A8BF2}"/>
    <cellStyle name="20% - Accent6 2 3 4 4" xfId="26909" xr:uid="{E7062E56-49CE-4E56-9512-C5E925E1EE43}"/>
    <cellStyle name="20% - Accent6 2 3 4 5" xfId="18468" xr:uid="{1F007DE3-ED1F-4048-981A-21EECAD52585}"/>
    <cellStyle name="20% - Accent6 2 3 4 6" xfId="10020" xr:uid="{30A209A4-2EB9-4117-A3CD-954B44EDD1D1}"/>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33685" xr:uid="{F9BED1A7-E900-43A9-B170-DD01FD12A889}"/>
    <cellStyle name="20% - Accent6 2 3 5 2 2 3" xfId="25244" xr:uid="{BD59D260-0E20-4E6B-B116-0D0D89791B33}"/>
    <cellStyle name="20% - Accent6 2 3 5 2 2 4" xfId="16796" xr:uid="{445FDB6A-49A5-4C29-96FC-A873E3CAFEF1}"/>
    <cellStyle name="20% - Accent6 2 3 5 2 3" xfId="29467" xr:uid="{4DB48392-57E0-4E55-BEE6-22965F7D131E}"/>
    <cellStyle name="20% - Accent6 2 3 5 2 4" xfId="21026" xr:uid="{ED2CE713-A4F0-4CD9-A157-AF0ED693B848}"/>
    <cellStyle name="20% - Accent6 2 3 5 2 5" xfId="12578" xr:uid="{DC7C7287-23F9-41C9-AFC7-3850B3B86424}"/>
    <cellStyle name="20% - Accent6 2 3 5 3" xfId="6201" xr:uid="{00000000-0005-0000-0000-00005B030000}"/>
    <cellStyle name="20% - Accent6 2 3 5 3 2" xfId="31540" xr:uid="{1209E61C-E9E5-4762-A578-B96C80F913A7}"/>
    <cellStyle name="20% - Accent6 2 3 5 3 3" xfId="23099" xr:uid="{58EA5F2A-D6A2-4BA1-93E7-2D042DA22B84}"/>
    <cellStyle name="20% - Accent6 2 3 5 3 4" xfId="14651" xr:uid="{9F9914DF-6EA1-476C-BB8C-FBF0EA2B4F49}"/>
    <cellStyle name="20% - Accent6 2 3 5 4" xfId="27322" xr:uid="{20C35C3F-DF4F-49D0-854A-950C1ECC4061}"/>
    <cellStyle name="20% - Accent6 2 3 5 5" xfId="18881" xr:uid="{4CD841AC-F687-4340-A0CE-0D485B9C3B22}"/>
    <cellStyle name="20% - Accent6 2 3 5 6" xfId="10433" xr:uid="{6840E03C-ECD3-4A67-AFC0-4265C04E029A}"/>
    <cellStyle name="20% - Accent6 2 3 6" xfId="2308" xr:uid="{00000000-0005-0000-0000-00005C030000}"/>
    <cellStyle name="20% - Accent6 2 3 6 2" xfId="6614" xr:uid="{00000000-0005-0000-0000-00005D030000}"/>
    <cellStyle name="20% - Accent6 2 3 6 2 2" xfId="31953" xr:uid="{3EAA5C7E-A2A5-4225-BAD7-4E42981F177C}"/>
    <cellStyle name="20% - Accent6 2 3 6 2 3" xfId="23512" xr:uid="{D24A9382-4CA0-47DB-B39E-A8111FBB70C1}"/>
    <cellStyle name="20% - Accent6 2 3 6 2 4" xfId="15064" xr:uid="{D8562FA5-489D-4DD8-8648-24ECCE4C98C1}"/>
    <cellStyle name="20% - Accent6 2 3 6 3" xfId="27735" xr:uid="{6D939CF6-186C-48E7-A008-F98074084461}"/>
    <cellStyle name="20% - Accent6 2 3 6 4" xfId="19294" xr:uid="{4FE659F0-EE85-4664-90EE-D35FE0AE97CD}"/>
    <cellStyle name="20% - Accent6 2 3 6 5" xfId="10846" xr:uid="{22C07D75-2835-47D0-95B4-C2286D1530E8}"/>
    <cellStyle name="20% - Accent6 2 3 7" xfId="4548" xr:uid="{00000000-0005-0000-0000-00005E030000}"/>
    <cellStyle name="20% - Accent6 2 3 7 2" xfId="29887" xr:uid="{E009370C-3BF3-4990-AE58-1D9AADB76798}"/>
    <cellStyle name="20% - Accent6 2 3 7 3" xfId="21446" xr:uid="{517AE819-00F3-42A2-88CC-DD57159F6FDD}"/>
    <cellStyle name="20% - Accent6 2 3 7 4" xfId="12998" xr:uid="{BEDE49CC-678A-4E14-A091-0D1A73B31697}"/>
    <cellStyle name="20% - Accent6 2 3 8" xfId="25669" xr:uid="{154DAFFD-6EF3-4939-8096-C2289CC087E5}"/>
    <cellStyle name="20% - Accent6 2 3 9" xfId="17228" xr:uid="{8F43D81B-9C91-4BF2-B24C-4F007768F19C}"/>
    <cellStyle name="20% - Accent6 2 4" xfId="611" xr:uid="{00000000-0005-0000-0000-00005F030000}"/>
    <cellStyle name="20% - Accent6 2 4 2" xfId="2882" xr:uid="{00000000-0005-0000-0000-000060030000}"/>
    <cellStyle name="20% - Accent6 2 4 2 2" xfId="7104" xr:uid="{00000000-0005-0000-0000-000061030000}"/>
    <cellStyle name="20% - Accent6 2 4 2 2 2" xfId="32443" xr:uid="{9F1D6EBD-EEC7-40F5-8A3D-193E804ED3D6}"/>
    <cellStyle name="20% - Accent6 2 4 2 2 3" xfId="24002" xr:uid="{8BDECD20-26E3-457D-8315-79AB06A3A269}"/>
    <cellStyle name="20% - Accent6 2 4 2 2 4" xfId="15554" xr:uid="{7E7C3B74-877F-4791-9631-A7702FFEB7B2}"/>
    <cellStyle name="20% - Accent6 2 4 2 3" xfId="28225" xr:uid="{4C64E094-19F6-4B5D-B982-C60C1879870D}"/>
    <cellStyle name="20% - Accent6 2 4 2 4" xfId="19784" xr:uid="{DF8FE8FD-84F1-4BF7-957A-0535679314C4}"/>
    <cellStyle name="20% - Accent6 2 4 2 5" xfId="11336" xr:uid="{0CBA0CC1-9073-4521-9928-402685C467ED}"/>
    <cellStyle name="20% - Accent6 2 4 3" xfId="4959" xr:uid="{00000000-0005-0000-0000-000062030000}"/>
    <cellStyle name="20% - Accent6 2 4 3 2" xfId="30298" xr:uid="{7846FB11-97E0-4E0B-B848-A8138744794E}"/>
    <cellStyle name="20% - Accent6 2 4 3 3" xfId="21857" xr:uid="{06B9B7A4-F47A-4D40-86FA-0896B880B628}"/>
    <cellStyle name="20% - Accent6 2 4 3 4" xfId="13409" xr:uid="{C90CB810-6790-4F58-B091-4BBAD95B1D9E}"/>
    <cellStyle name="20% - Accent6 2 4 4" xfId="26080" xr:uid="{8A194733-A958-45E7-9539-E5080F29A8F7}"/>
    <cellStyle name="20% - Accent6 2 4 5" xfId="17639" xr:uid="{A5DFB5B5-0725-4523-88FA-3D6B7EAB9BD2}"/>
    <cellStyle name="20% - Accent6 2 4 6" xfId="9191" xr:uid="{330D86FD-2074-4862-A72F-F32D28B9D323}"/>
    <cellStyle name="20% - Accent6 2 5" xfId="1064" xr:uid="{00000000-0005-0000-0000-000063030000}"/>
    <cellStyle name="20% - Accent6 2 5 2" xfId="3295" xr:uid="{00000000-0005-0000-0000-000064030000}"/>
    <cellStyle name="20% - Accent6 2 5 2 2" xfId="7517" xr:uid="{00000000-0005-0000-0000-000065030000}"/>
    <cellStyle name="20% - Accent6 2 5 2 2 2" xfId="32856" xr:uid="{1EDC4686-B68C-4FC9-96C8-770C90D9D680}"/>
    <cellStyle name="20% - Accent6 2 5 2 2 3" xfId="24415" xr:uid="{638A23A2-D59D-4F03-90DC-74C697F5C0C2}"/>
    <cellStyle name="20% - Accent6 2 5 2 2 4" xfId="15967" xr:uid="{05AD9790-AE28-4FED-9CC0-AD0F62145BDF}"/>
    <cellStyle name="20% - Accent6 2 5 2 3" xfId="28638" xr:uid="{D1738A88-2A14-4117-88A1-42438DF5476A}"/>
    <cellStyle name="20% - Accent6 2 5 2 4" xfId="20197" xr:uid="{65A70098-7382-468E-A24B-5167D3C4E78F}"/>
    <cellStyle name="20% - Accent6 2 5 2 5" xfId="11749" xr:uid="{5B376BE8-1E13-423B-99C9-E449D2DC35D2}"/>
    <cellStyle name="20% - Accent6 2 5 3" xfId="5372" xr:uid="{00000000-0005-0000-0000-000066030000}"/>
    <cellStyle name="20% - Accent6 2 5 3 2" xfId="30711" xr:uid="{DDFB1FEC-EA68-4892-AD28-5AE6E8B4A452}"/>
    <cellStyle name="20% - Accent6 2 5 3 3" xfId="22270" xr:uid="{11F510C8-85C9-4687-8393-4D612E84C7DF}"/>
    <cellStyle name="20% - Accent6 2 5 3 4" xfId="13822" xr:uid="{391166A5-4067-4C4C-949E-A7ACA241CBCF}"/>
    <cellStyle name="20% - Accent6 2 5 4" xfId="26493" xr:uid="{73303451-390D-416D-99E7-1F01313AB972}"/>
    <cellStyle name="20% - Accent6 2 5 5" xfId="18052" xr:uid="{F3C8699A-C126-4070-92C7-DCF6D0A85FED}"/>
    <cellStyle name="20% - Accent6 2 5 6" xfId="9604" xr:uid="{1500D1B8-3175-4044-B107-2F9BE19B8B1D}"/>
    <cellStyle name="20% - Accent6 2 6" xfId="1478" xr:uid="{00000000-0005-0000-0000-000067030000}"/>
    <cellStyle name="20% - Accent6 2 6 2" xfId="3708" xr:uid="{00000000-0005-0000-0000-000068030000}"/>
    <cellStyle name="20% - Accent6 2 6 2 2" xfId="7930" xr:uid="{00000000-0005-0000-0000-000069030000}"/>
    <cellStyle name="20% - Accent6 2 6 2 2 2" xfId="33269" xr:uid="{4DF7CB4C-9319-43C9-B328-271008252DC6}"/>
    <cellStyle name="20% - Accent6 2 6 2 2 3" xfId="24828" xr:uid="{9D73ED20-36D1-4880-AA01-C59297147A69}"/>
    <cellStyle name="20% - Accent6 2 6 2 2 4" xfId="16380" xr:uid="{ED86C25B-1FE3-4745-8EE4-28B5B3AEFF87}"/>
    <cellStyle name="20% - Accent6 2 6 2 3" xfId="29051" xr:uid="{A84DF957-5CCE-4C7D-B78E-115A7BCC1C6C}"/>
    <cellStyle name="20% - Accent6 2 6 2 4" xfId="20610" xr:uid="{CBE64DBF-628A-48C3-AA4C-45D498DB1CB9}"/>
    <cellStyle name="20% - Accent6 2 6 2 5" xfId="12162" xr:uid="{3D8C74AB-EA91-43D3-8F0F-2CAEC220FA8E}"/>
    <cellStyle name="20% - Accent6 2 6 3" xfId="5785" xr:uid="{00000000-0005-0000-0000-00006A030000}"/>
    <cellStyle name="20% - Accent6 2 6 3 2" xfId="31124" xr:uid="{F3CFEDB3-C46E-4333-9D00-BD43B4D3DF2F}"/>
    <cellStyle name="20% - Accent6 2 6 3 3" xfId="22683" xr:uid="{054DA273-F3EA-42A5-90D6-370849A9CC37}"/>
    <cellStyle name="20% - Accent6 2 6 3 4" xfId="14235" xr:uid="{0E876398-0289-4E49-801B-3A52CFAF780C}"/>
    <cellStyle name="20% - Accent6 2 6 4" xfId="26906" xr:uid="{A702613A-B5DB-43A5-A686-FB79D6354076}"/>
    <cellStyle name="20% - Accent6 2 6 5" xfId="18465" xr:uid="{4D62C79B-C9EA-42B3-BC58-EDA55860660F}"/>
    <cellStyle name="20% - Accent6 2 6 6" xfId="10017" xr:uid="{07AAD57C-99C3-42AD-A578-61599725F028}"/>
    <cellStyle name="20% - Accent6 2 7" xfId="1892" xr:uid="{00000000-0005-0000-0000-00006B030000}"/>
    <cellStyle name="20% - Accent6 2 7 2" xfId="4121" xr:uid="{00000000-0005-0000-0000-00006C030000}"/>
    <cellStyle name="20% - Accent6 2 7 2 2" xfId="8343" xr:uid="{00000000-0005-0000-0000-00006D030000}"/>
    <cellStyle name="20% - Accent6 2 7 2 2 2" xfId="33682" xr:uid="{2C5BAB10-F7AB-4913-A319-12A2AFEC82DA}"/>
    <cellStyle name="20% - Accent6 2 7 2 2 3" xfId="25241" xr:uid="{E4EBCA66-EC8D-46C6-86BA-D29FEC8E6876}"/>
    <cellStyle name="20% - Accent6 2 7 2 2 4" xfId="16793" xr:uid="{6F25219C-3F7C-4C90-8FE7-9E43A2F575CF}"/>
    <cellStyle name="20% - Accent6 2 7 2 3" xfId="29464" xr:uid="{A1FB001F-0875-4E45-9229-6DD77FE94E93}"/>
    <cellStyle name="20% - Accent6 2 7 2 4" xfId="21023" xr:uid="{2707EEAA-3D6E-4C7E-8D06-2C1B77309D25}"/>
    <cellStyle name="20% - Accent6 2 7 2 5" xfId="12575" xr:uid="{612BB3D6-BFAE-4921-85E1-7AA9250F6E69}"/>
    <cellStyle name="20% - Accent6 2 7 3" xfId="6198" xr:uid="{00000000-0005-0000-0000-00006E030000}"/>
    <cellStyle name="20% - Accent6 2 7 3 2" xfId="31537" xr:uid="{D1856F70-EB38-4CE3-9125-3FE79D7FBA90}"/>
    <cellStyle name="20% - Accent6 2 7 3 3" xfId="23096" xr:uid="{6D0AF384-5B06-435A-B10F-F8A1F9C1999D}"/>
    <cellStyle name="20% - Accent6 2 7 3 4" xfId="14648" xr:uid="{DB4DC961-8885-473A-8215-EBAEA4711646}"/>
    <cellStyle name="20% - Accent6 2 7 4" xfId="27319" xr:uid="{E40251D4-07BE-4757-B17B-7393AD10C25F}"/>
    <cellStyle name="20% - Accent6 2 7 5" xfId="18878" xr:uid="{4DDD3837-7A89-4CE5-9BDA-C369A116A27D}"/>
    <cellStyle name="20% - Accent6 2 7 6" xfId="10430" xr:uid="{A2A49FE1-0C98-49B2-94DC-07B0CE828789}"/>
    <cellStyle name="20% - Accent6 2 8" xfId="2305" xr:uid="{00000000-0005-0000-0000-00006F030000}"/>
    <cellStyle name="20% - Accent6 2 8 2" xfId="6611" xr:uid="{00000000-0005-0000-0000-000070030000}"/>
    <cellStyle name="20% - Accent6 2 8 2 2" xfId="31950" xr:uid="{7F2F4E54-5938-4DE6-8963-C43A0F3B22C5}"/>
    <cellStyle name="20% - Accent6 2 8 2 3" xfId="23509" xr:uid="{50BD0BDB-7AC8-4EC2-A185-7B1B06D219C1}"/>
    <cellStyle name="20% - Accent6 2 8 2 4" xfId="15061" xr:uid="{F6DBE2D5-3498-4C97-8F13-1D2A03DC0516}"/>
    <cellStyle name="20% - Accent6 2 8 3" xfId="27732" xr:uid="{216E1C1A-DA9D-481A-848D-FC0BAA91B7C7}"/>
    <cellStyle name="20% - Accent6 2 8 4" xfId="19291" xr:uid="{974EB370-BC03-49A1-B355-87403AC899CA}"/>
    <cellStyle name="20% - Accent6 2 8 5" xfId="10843" xr:uid="{F67F92CA-7E8C-4B4D-AB63-2C2CFCDEF4DB}"/>
    <cellStyle name="20% - Accent6 2 9" xfId="4545" xr:uid="{00000000-0005-0000-0000-000071030000}"/>
    <cellStyle name="20% - Accent6 2 9 2" xfId="29884" xr:uid="{56F57E20-A8CB-4845-9A5A-21012A858785}"/>
    <cellStyle name="20% - Accent6 2 9 3" xfId="21443" xr:uid="{DF3A8E91-CC02-414B-8C4E-F734CE2DFA2D}"/>
    <cellStyle name="20% - Accent6 2 9 4" xfId="12995" xr:uid="{3DE1CB46-65B6-4242-9FA3-14DA06D8FB38}"/>
    <cellStyle name="20% - Accent6 3" xfId="46" xr:uid="{00000000-0005-0000-0000-000072030000}"/>
    <cellStyle name="20% - Accent6 3 10" xfId="17229" xr:uid="{38CF759B-3813-4DC3-96A5-83C5FF7174D7}"/>
    <cellStyle name="20% - Accent6 3 11" xfId="8781" xr:uid="{197B72F3-7E9D-4989-85CC-FAE8D53003DA}"/>
    <cellStyle name="20% - Accent6 3 2" xfId="47" xr:uid="{00000000-0005-0000-0000-000073030000}"/>
    <cellStyle name="20% - Accent6 3 2 10" xfId="8782" xr:uid="{4D998D89-0579-4B06-9F31-E3B4F1275DA8}"/>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32448" xr:uid="{EEA410C6-78E8-49F7-900B-906649D65E5D}"/>
    <cellStyle name="20% - Accent6 3 2 2 2 2 3" xfId="24007" xr:uid="{545E2D4F-7E72-4779-98AC-AF09534FFAC3}"/>
    <cellStyle name="20% - Accent6 3 2 2 2 2 4" xfId="15559" xr:uid="{2D050861-D22C-4C8C-9359-A8D9779E22D0}"/>
    <cellStyle name="20% - Accent6 3 2 2 2 3" xfId="28230" xr:uid="{0EED5867-3E0F-4C04-8669-9EF626A4B097}"/>
    <cellStyle name="20% - Accent6 3 2 2 2 4" xfId="19789" xr:uid="{251989D4-40CC-48F9-9FD1-42869F0608D0}"/>
    <cellStyle name="20% - Accent6 3 2 2 2 5" xfId="11341" xr:uid="{B9AE22C3-095E-4167-A263-28ADABA6060D}"/>
    <cellStyle name="20% - Accent6 3 2 2 3" xfId="4964" xr:uid="{00000000-0005-0000-0000-000077030000}"/>
    <cellStyle name="20% - Accent6 3 2 2 3 2" xfId="30303" xr:uid="{A89FB70D-FE49-4BAF-895B-6395BCD51C87}"/>
    <cellStyle name="20% - Accent6 3 2 2 3 3" xfId="21862" xr:uid="{2BCFFDD9-362F-4F7C-8BA9-EEFD97803956}"/>
    <cellStyle name="20% - Accent6 3 2 2 3 4" xfId="13414" xr:uid="{1E113517-0209-408C-805F-2B851DFBABC6}"/>
    <cellStyle name="20% - Accent6 3 2 2 4" xfId="26085" xr:uid="{BC539562-3C63-4BB7-8D8D-B1200C08F9F7}"/>
    <cellStyle name="20% - Accent6 3 2 2 5" xfId="17644" xr:uid="{0F4D7344-BA25-4F6A-99BD-9AF496195A35}"/>
    <cellStyle name="20% - Accent6 3 2 2 6" xfId="9196" xr:uid="{AB751C99-DA3C-4891-B59D-7E6C09A77B4A}"/>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32861" xr:uid="{832E3700-02D1-451E-ABE2-A5EE4789B6F1}"/>
    <cellStyle name="20% - Accent6 3 2 3 2 2 3" xfId="24420" xr:uid="{424677FD-F7AB-4F9C-AF17-ED832437AF97}"/>
    <cellStyle name="20% - Accent6 3 2 3 2 2 4" xfId="15972" xr:uid="{5879DEE9-F4B5-4DEF-B3E0-C374506FB0F5}"/>
    <cellStyle name="20% - Accent6 3 2 3 2 3" xfId="28643" xr:uid="{BBA2ECD7-6AC1-442B-96EC-BFC5B82679F7}"/>
    <cellStyle name="20% - Accent6 3 2 3 2 4" xfId="20202" xr:uid="{8B6EF782-DF5D-47D0-A553-4C283D3DB4D9}"/>
    <cellStyle name="20% - Accent6 3 2 3 2 5" xfId="11754" xr:uid="{2825FB07-6629-438C-AF60-083DBA944374}"/>
    <cellStyle name="20% - Accent6 3 2 3 3" xfId="5377" xr:uid="{00000000-0005-0000-0000-00007B030000}"/>
    <cellStyle name="20% - Accent6 3 2 3 3 2" xfId="30716" xr:uid="{139FF752-75FD-4C39-BED8-0446C5B106F8}"/>
    <cellStyle name="20% - Accent6 3 2 3 3 3" xfId="22275" xr:uid="{303E39F3-B943-4A14-8A0F-6B3022AB2E94}"/>
    <cellStyle name="20% - Accent6 3 2 3 3 4" xfId="13827" xr:uid="{C3BF85D9-4FE3-47C7-AE55-2252048C9463}"/>
    <cellStyle name="20% - Accent6 3 2 3 4" xfId="26498" xr:uid="{BBEDE347-3590-42C8-ABEC-72F8ABEF8ADA}"/>
    <cellStyle name="20% - Accent6 3 2 3 5" xfId="18057" xr:uid="{06B2B25A-352A-4D30-BBDF-C348FDF06417}"/>
    <cellStyle name="20% - Accent6 3 2 3 6" xfId="9609" xr:uid="{4524E4CE-8B3D-47CB-ADED-D9E0F3DC0F20}"/>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33274" xr:uid="{305AEF33-23AA-419A-B10D-E5109EF2FAC5}"/>
    <cellStyle name="20% - Accent6 3 2 4 2 2 3" xfId="24833" xr:uid="{CD73D253-B95D-48BC-AD06-64EFCCD54800}"/>
    <cellStyle name="20% - Accent6 3 2 4 2 2 4" xfId="16385" xr:uid="{F8E9EFCD-84B2-4B9A-9323-C8BD3A63B2C1}"/>
    <cellStyle name="20% - Accent6 3 2 4 2 3" xfId="29056" xr:uid="{C356247A-D052-48F0-8A6C-FEE8D60AA88C}"/>
    <cellStyle name="20% - Accent6 3 2 4 2 4" xfId="20615" xr:uid="{AFFFF2A5-35A7-4958-93C3-D64325952AAB}"/>
    <cellStyle name="20% - Accent6 3 2 4 2 5" xfId="12167" xr:uid="{E0197F17-5CCF-4B16-A386-818FEF044BD5}"/>
    <cellStyle name="20% - Accent6 3 2 4 3" xfId="5790" xr:uid="{00000000-0005-0000-0000-00007F030000}"/>
    <cellStyle name="20% - Accent6 3 2 4 3 2" xfId="31129" xr:uid="{985C0297-36F7-402F-A497-3D98F10B7145}"/>
    <cellStyle name="20% - Accent6 3 2 4 3 3" xfId="22688" xr:uid="{84B6AB37-49E1-4CC7-B7AE-1ACAE0F109E3}"/>
    <cellStyle name="20% - Accent6 3 2 4 3 4" xfId="14240" xr:uid="{162B3F7D-E1B8-4669-BBA2-4FEF07188C56}"/>
    <cellStyle name="20% - Accent6 3 2 4 4" xfId="26911" xr:uid="{1966145E-F22A-4EC6-9CFA-AFD06DD51FDF}"/>
    <cellStyle name="20% - Accent6 3 2 4 5" xfId="18470" xr:uid="{77112D48-6E02-466D-8217-9BD5B1459630}"/>
    <cellStyle name="20% - Accent6 3 2 4 6" xfId="10022" xr:uid="{2C42759B-D32A-440A-8F28-8AD83693DC0F}"/>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33687" xr:uid="{D032591E-FE5B-4DDF-91E1-CE7EA0D1D54F}"/>
    <cellStyle name="20% - Accent6 3 2 5 2 2 3" xfId="25246" xr:uid="{31A35F71-43CB-4888-A88C-E4E8E3B0C968}"/>
    <cellStyle name="20% - Accent6 3 2 5 2 2 4" xfId="16798" xr:uid="{B5E59283-5D59-4244-B4E0-8AD787845C4F}"/>
    <cellStyle name="20% - Accent6 3 2 5 2 3" xfId="29469" xr:uid="{4630E13D-C2D9-45AD-8414-18D58496A4C0}"/>
    <cellStyle name="20% - Accent6 3 2 5 2 4" xfId="21028" xr:uid="{87C50D0C-BC49-466E-8767-64F1C1E6A433}"/>
    <cellStyle name="20% - Accent6 3 2 5 2 5" xfId="12580" xr:uid="{8E2B2A74-B211-4E65-858B-DE2F6D28EA5B}"/>
    <cellStyle name="20% - Accent6 3 2 5 3" xfId="6203" xr:uid="{00000000-0005-0000-0000-000083030000}"/>
    <cellStyle name="20% - Accent6 3 2 5 3 2" xfId="31542" xr:uid="{8C884BE1-911A-45A6-843E-93ECE083BDD9}"/>
    <cellStyle name="20% - Accent6 3 2 5 3 3" xfId="23101" xr:uid="{4B56CF93-114C-44D4-891E-3A8AA37C0FBA}"/>
    <cellStyle name="20% - Accent6 3 2 5 3 4" xfId="14653" xr:uid="{EB64C9D0-AFA1-4ECC-B82F-A251611AF826}"/>
    <cellStyle name="20% - Accent6 3 2 5 4" xfId="27324" xr:uid="{8DACF542-9829-47D6-A476-F29C6DB14A49}"/>
    <cellStyle name="20% - Accent6 3 2 5 5" xfId="18883" xr:uid="{59E4BC69-F152-44E6-BDD3-3C56D199CCAD}"/>
    <cellStyle name="20% - Accent6 3 2 5 6" xfId="10435" xr:uid="{B70E7E27-7B40-4EA1-B0FE-5542F0CABC56}"/>
    <cellStyle name="20% - Accent6 3 2 6" xfId="2310" xr:uid="{00000000-0005-0000-0000-000084030000}"/>
    <cellStyle name="20% - Accent6 3 2 6 2" xfId="6616" xr:uid="{00000000-0005-0000-0000-000085030000}"/>
    <cellStyle name="20% - Accent6 3 2 6 2 2" xfId="31955" xr:uid="{663526AC-0BD5-420D-B80E-2704DAE4D06D}"/>
    <cellStyle name="20% - Accent6 3 2 6 2 3" xfId="23514" xr:uid="{D7E570EF-CE73-451E-9BD6-15D2B693148A}"/>
    <cellStyle name="20% - Accent6 3 2 6 2 4" xfId="15066" xr:uid="{2B03CBE0-6C5E-4879-B4EF-151D00CE003F}"/>
    <cellStyle name="20% - Accent6 3 2 6 3" xfId="27737" xr:uid="{C8A4024A-EF91-451C-B8F6-4AA75C6F44C9}"/>
    <cellStyle name="20% - Accent6 3 2 6 4" xfId="19296" xr:uid="{ECF69FC9-DDDF-49A8-94D3-72D90FA74CC5}"/>
    <cellStyle name="20% - Accent6 3 2 6 5" xfId="10848" xr:uid="{EC38B0A9-C3D4-41F7-9705-2A872A01D3AA}"/>
    <cellStyle name="20% - Accent6 3 2 7" xfId="4550" xr:uid="{00000000-0005-0000-0000-000086030000}"/>
    <cellStyle name="20% - Accent6 3 2 7 2" xfId="29889" xr:uid="{4C2A1514-ABB4-48C7-9BC7-FEB3422DF615}"/>
    <cellStyle name="20% - Accent6 3 2 7 3" xfId="21448" xr:uid="{6021B967-E08F-469C-938A-B72BD8A9CD21}"/>
    <cellStyle name="20% - Accent6 3 2 7 4" xfId="13000" xr:uid="{FB7DDE6D-512B-4C0E-87E9-A70CA97493BD}"/>
    <cellStyle name="20% - Accent6 3 2 8" xfId="25671" xr:uid="{3CF34492-8ED0-4916-B422-B369B07B71EF}"/>
    <cellStyle name="20% - Accent6 3 2 9" xfId="17230" xr:uid="{56230EB6-A8E6-4EA1-9D1C-24F0E86EF2D7}"/>
    <cellStyle name="20% - Accent6 3 3" xfId="615" xr:uid="{00000000-0005-0000-0000-000087030000}"/>
    <cellStyle name="20% - Accent6 3 3 2" xfId="2886" xr:uid="{00000000-0005-0000-0000-000088030000}"/>
    <cellStyle name="20% - Accent6 3 3 2 2" xfId="7108" xr:uid="{00000000-0005-0000-0000-000089030000}"/>
    <cellStyle name="20% - Accent6 3 3 2 2 2" xfId="32447" xr:uid="{17D57409-0D98-4767-AE0F-BE115AECFA5F}"/>
    <cellStyle name="20% - Accent6 3 3 2 2 3" xfId="24006" xr:uid="{12A35A23-48CF-47D8-99D2-45A181DB739D}"/>
    <cellStyle name="20% - Accent6 3 3 2 2 4" xfId="15558" xr:uid="{729F71B7-8F2C-4E25-901C-E292D000C797}"/>
    <cellStyle name="20% - Accent6 3 3 2 3" xfId="28229" xr:uid="{0B3BD69C-DF15-4C50-A7A9-5252DDA4FDBC}"/>
    <cellStyle name="20% - Accent6 3 3 2 4" xfId="19788" xr:uid="{3B2BEECC-089B-4959-92D8-E78742F403B0}"/>
    <cellStyle name="20% - Accent6 3 3 2 5" xfId="11340" xr:uid="{BA1659B6-BE7E-4061-8176-0B4999E4BF17}"/>
    <cellStyle name="20% - Accent6 3 3 3" xfId="4963" xr:uid="{00000000-0005-0000-0000-00008A030000}"/>
    <cellStyle name="20% - Accent6 3 3 3 2" xfId="30302" xr:uid="{34614842-7ED1-4966-8E78-66235BBD0074}"/>
    <cellStyle name="20% - Accent6 3 3 3 3" xfId="21861" xr:uid="{4A5BA76D-25EF-4A68-BBA9-BB5C72B98515}"/>
    <cellStyle name="20% - Accent6 3 3 3 4" xfId="13413" xr:uid="{B2F3DCB7-2D86-4946-8DD3-99BFB2C7D3C9}"/>
    <cellStyle name="20% - Accent6 3 3 4" xfId="26084" xr:uid="{262A2B94-CB10-460D-922F-2234163E39A3}"/>
    <cellStyle name="20% - Accent6 3 3 5" xfId="17643" xr:uid="{723547A8-DEC3-4304-B984-C5627FB1996D}"/>
    <cellStyle name="20% - Accent6 3 3 6" xfId="9195" xr:uid="{2E9DDD10-A8BA-4BB3-8934-0F63BDA7B66D}"/>
    <cellStyle name="20% - Accent6 3 4" xfId="1068" xr:uid="{00000000-0005-0000-0000-00008B030000}"/>
    <cellStyle name="20% - Accent6 3 4 2" xfId="3299" xr:uid="{00000000-0005-0000-0000-00008C030000}"/>
    <cellStyle name="20% - Accent6 3 4 2 2" xfId="7521" xr:uid="{00000000-0005-0000-0000-00008D030000}"/>
    <cellStyle name="20% - Accent6 3 4 2 2 2" xfId="32860" xr:uid="{0D566E27-C435-42C6-91AF-EAA7ED123A5E}"/>
    <cellStyle name="20% - Accent6 3 4 2 2 3" xfId="24419" xr:uid="{563EB4BA-F986-4075-BFAD-37905B85B3E2}"/>
    <cellStyle name="20% - Accent6 3 4 2 2 4" xfId="15971" xr:uid="{1E679672-846F-44FF-BBB0-C6D62CE64797}"/>
    <cellStyle name="20% - Accent6 3 4 2 3" xfId="28642" xr:uid="{60111A6E-2C99-49C0-9C0C-E932B6809CA6}"/>
    <cellStyle name="20% - Accent6 3 4 2 4" xfId="20201" xr:uid="{BB9D3DC6-03D8-4345-BE8C-A048A54C395A}"/>
    <cellStyle name="20% - Accent6 3 4 2 5" xfId="11753" xr:uid="{C2BD290D-6416-472D-BE48-8840F60689A6}"/>
    <cellStyle name="20% - Accent6 3 4 3" xfId="5376" xr:uid="{00000000-0005-0000-0000-00008E030000}"/>
    <cellStyle name="20% - Accent6 3 4 3 2" xfId="30715" xr:uid="{F0D9A7F6-1E19-4161-BED2-39A84E91ABD7}"/>
    <cellStyle name="20% - Accent6 3 4 3 3" xfId="22274" xr:uid="{6D34D95C-69FC-4578-BA9C-D0C9BC4F95FC}"/>
    <cellStyle name="20% - Accent6 3 4 3 4" xfId="13826" xr:uid="{AC78D698-848C-4839-9365-406ECAA0F60C}"/>
    <cellStyle name="20% - Accent6 3 4 4" xfId="26497" xr:uid="{13E6DBB3-3FF6-4EA0-9EA9-2F6F7EA0A706}"/>
    <cellStyle name="20% - Accent6 3 4 5" xfId="18056" xr:uid="{391730C3-1BE8-49F7-A5B8-A4C9E8025413}"/>
    <cellStyle name="20% - Accent6 3 4 6" xfId="9608" xr:uid="{E1935F5A-503C-4D60-B274-7B3C8E72A0FF}"/>
    <cellStyle name="20% - Accent6 3 5" xfId="1482" xr:uid="{00000000-0005-0000-0000-00008F030000}"/>
    <cellStyle name="20% - Accent6 3 5 2" xfId="3712" xr:uid="{00000000-0005-0000-0000-000090030000}"/>
    <cellStyle name="20% - Accent6 3 5 2 2" xfId="7934" xr:uid="{00000000-0005-0000-0000-000091030000}"/>
    <cellStyle name="20% - Accent6 3 5 2 2 2" xfId="33273" xr:uid="{380A935D-2DC2-42CC-A7F4-2A3FEF002E62}"/>
    <cellStyle name="20% - Accent6 3 5 2 2 3" xfId="24832" xr:uid="{53316846-ABD5-4676-BF66-084923F18198}"/>
    <cellStyle name="20% - Accent6 3 5 2 2 4" xfId="16384" xr:uid="{19BB66DD-70F1-45C1-8D45-B77E0FD4BC0D}"/>
    <cellStyle name="20% - Accent6 3 5 2 3" xfId="29055" xr:uid="{88F904BF-77F7-4D07-919B-8175915F1212}"/>
    <cellStyle name="20% - Accent6 3 5 2 4" xfId="20614" xr:uid="{96B4512A-5C15-4D98-8092-5D4A216304A6}"/>
    <cellStyle name="20% - Accent6 3 5 2 5" xfId="12166" xr:uid="{4C9106A8-AB2A-4D35-81C6-0D9850EA8B95}"/>
    <cellStyle name="20% - Accent6 3 5 3" xfId="5789" xr:uid="{00000000-0005-0000-0000-000092030000}"/>
    <cellStyle name="20% - Accent6 3 5 3 2" xfId="31128" xr:uid="{96167788-EA0A-4C9C-9084-AD290475E141}"/>
    <cellStyle name="20% - Accent6 3 5 3 3" xfId="22687" xr:uid="{20749560-BC18-45AB-AC58-741CAA5E107E}"/>
    <cellStyle name="20% - Accent6 3 5 3 4" xfId="14239" xr:uid="{4F721768-0294-4965-BB5C-8C0EE8133EB0}"/>
    <cellStyle name="20% - Accent6 3 5 4" xfId="26910" xr:uid="{987F2C12-AEAF-4F36-96BE-B806DADBA20B}"/>
    <cellStyle name="20% - Accent6 3 5 5" xfId="18469" xr:uid="{9604DF05-0096-482C-9F11-A82439855514}"/>
    <cellStyle name="20% - Accent6 3 5 6" xfId="10021" xr:uid="{8D89EC78-427C-4A24-BD7C-B95E19C65AA0}"/>
    <cellStyle name="20% - Accent6 3 6" xfId="1896" xr:uid="{00000000-0005-0000-0000-000093030000}"/>
    <cellStyle name="20% - Accent6 3 6 2" xfId="4125" xr:uid="{00000000-0005-0000-0000-000094030000}"/>
    <cellStyle name="20% - Accent6 3 6 2 2" xfId="8347" xr:uid="{00000000-0005-0000-0000-000095030000}"/>
    <cellStyle name="20% - Accent6 3 6 2 2 2" xfId="33686" xr:uid="{0C8EE6DB-5FD5-4956-A59A-96EAA0A38D88}"/>
    <cellStyle name="20% - Accent6 3 6 2 2 3" xfId="25245" xr:uid="{F330DB1F-D762-43A5-BE77-CF02836F1D93}"/>
    <cellStyle name="20% - Accent6 3 6 2 2 4" xfId="16797" xr:uid="{8F99EAC6-12F6-45A7-80DE-92D4E29B8D2E}"/>
    <cellStyle name="20% - Accent6 3 6 2 3" xfId="29468" xr:uid="{1A95FBCA-2BEB-4BFE-BD06-A1BF94D6A8B4}"/>
    <cellStyle name="20% - Accent6 3 6 2 4" xfId="21027" xr:uid="{B21150BE-1C56-4843-AC53-763549E697F8}"/>
    <cellStyle name="20% - Accent6 3 6 2 5" xfId="12579" xr:uid="{FAAE9BE6-916F-4220-91F9-DF5D5D970DCD}"/>
    <cellStyle name="20% - Accent6 3 6 3" xfId="6202" xr:uid="{00000000-0005-0000-0000-000096030000}"/>
    <cellStyle name="20% - Accent6 3 6 3 2" xfId="31541" xr:uid="{89231FF7-733E-45EC-AC89-43AA80051EB9}"/>
    <cellStyle name="20% - Accent6 3 6 3 3" xfId="23100" xr:uid="{3644C20C-2C1E-42C4-851A-0629C4A0572B}"/>
    <cellStyle name="20% - Accent6 3 6 3 4" xfId="14652" xr:uid="{0CC498FC-6060-4E4D-A5E9-8BBFEA8CAEE9}"/>
    <cellStyle name="20% - Accent6 3 6 4" xfId="27323" xr:uid="{A21EEE9B-2F8B-4B2C-AB25-86B0F62848DD}"/>
    <cellStyle name="20% - Accent6 3 6 5" xfId="18882" xr:uid="{1BB1A949-D3ED-4ADA-A969-E7DA384408FC}"/>
    <cellStyle name="20% - Accent6 3 6 6" xfId="10434" xr:uid="{C57AADF0-00D5-4AF9-AA8E-CC1DFB5A1554}"/>
    <cellStyle name="20% - Accent6 3 7" xfId="2309" xr:uid="{00000000-0005-0000-0000-000097030000}"/>
    <cellStyle name="20% - Accent6 3 7 2" xfId="6615" xr:uid="{00000000-0005-0000-0000-000098030000}"/>
    <cellStyle name="20% - Accent6 3 7 2 2" xfId="31954" xr:uid="{1F2E7BFF-9800-4AD6-9E40-E61671F03568}"/>
    <cellStyle name="20% - Accent6 3 7 2 3" xfId="23513" xr:uid="{C5D56A25-0E63-4936-B037-D21E595A659A}"/>
    <cellStyle name="20% - Accent6 3 7 2 4" xfId="15065" xr:uid="{4F8A15E2-B71B-4304-B4B1-E1729B37BA44}"/>
    <cellStyle name="20% - Accent6 3 7 3" xfId="27736" xr:uid="{E72A6B28-F4DF-471F-813A-070E4BBDE335}"/>
    <cellStyle name="20% - Accent6 3 7 4" xfId="19295" xr:uid="{75378785-48C0-45D1-9191-784040665F75}"/>
    <cellStyle name="20% - Accent6 3 7 5" xfId="10847" xr:uid="{8B04C324-1BFE-45F5-AE5B-B383FCFC5229}"/>
    <cellStyle name="20% - Accent6 3 8" xfId="4549" xr:uid="{00000000-0005-0000-0000-000099030000}"/>
    <cellStyle name="20% - Accent6 3 8 2" xfId="29888" xr:uid="{E0E2B447-FD26-411E-9026-F71B4C51F420}"/>
    <cellStyle name="20% - Accent6 3 8 3" xfId="21447" xr:uid="{0E443EBB-BAEB-4288-8970-53ACF91EA221}"/>
    <cellStyle name="20% - Accent6 3 8 4" xfId="12999" xr:uid="{EDCD514C-2DCC-4563-ABEB-811A8689F0CC}"/>
    <cellStyle name="20% - Accent6 3 9" xfId="25670" xr:uid="{22340126-611B-4BD8-9F53-098073DB2706}"/>
    <cellStyle name="20% - Accent6 4" xfId="48" xr:uid="{00000000-0005-0000-0000-00009A030000}"/>
    <cellStyle name="20% - Accent6 4 10" xfId="8783" xr:uid="{C9E6BFEF-DCEC-4AEE-83EA-F8716358FE5C}"/>
    <cellStyle name="20% - Accent6 4 2" xfId="617" xr:uid="{00000000-0005-0000-0000-00009B030000}"/>
    <cellStyle name="20% - Accent6 4 2 2" xfId="2888" xr:uid="{00000000-0005-0000-0000-00009C030000}"/>
    <cellStyle name="20% - Accent6 4 2 2 2" xfId="7110" xr:uid="{00000000-0005-0000-0000-00009D030000}"/>
    <cellStyle name="20% - Accent6 4 2 2 2 2" xfId="32449" xr:uid="{E5D09AB2-92D3-4928-83A4-183C12A3CAE3}"/>
    <cellStyle name="20% - Accent6 4 2 2 2 3" xfId="24008" xr:uid="{86C9F87F-8CCC-426B-BE60-0B97FC5848C6}"/>
    <cellStyle name="20% - Accent6 4 2 2 2 4" xfId="15560" xr:uid="{E700DD07-0201-4626-8799-04535251939A}"/>
    <cellStyle name="20% - Accent6 4 2 2 3" xfId="28231" xr:uid="{E74F4CD0-C394-4CF1-8F00-5BA29F25857F}"/>
    <cellStyle name="20% - Accent6 4 2 2 4" xfId="19790" xr:uid="{863DD83E-EDBD-4C67-85EE-BC5B112574A0}"/>
    <cellStyle name="20% - Accent6 4 2 2 5" xfId="11342" xr:uid="{3A348878-E841-45B4-AC90-F157608A9B01}"/>
    <cellStyle name="20% - Accent6 4 2 3" xfId="4965" xr:uid="{00000000-0005-0000-0000-00009E030000}"/>
    <cellStyle name="20% - Accent6 4 2 3 2" xfId="30304" xr:uid="{311D6CD6-16C8-4010-992C-0DBF94E41AA0}"/>
    <cellStyle name="20% - Accent6 4 2 3 3" xfId="21863" xr:uid="{00EE08D6-721A-4A4E-9ADE-358478D5F8F7}"/>
    <cellStyle name="20% - Accent6 4 2 3 4" xfId="13415" xr:uid="{13654F73-28A6-4021-B0E3-8922975CD780}"/>
    <cellStyle name="20% - Accent6 4 2 4" xfId="26086" xr:uid="{58A6903F-AAA2-4755-A9D4-AC6ABF9504B2}"/>
    <cellStyle name="20% - Accent6 4 2 5" xfId="17645" xr:uid="{7709E9D2-6930-4C21-9299-E282F2D7F892}"/>
    <cellStyle name="20% - Accent6 4 2 6" xfId="9197" xr:uid="{4E2A4C99-625B-442B-9BDA-2388142C6018}"/>
    <cellStyle name="20% - Accent6 4 3" xfId="1070" xr:uid="{00000000-0005-0000-0000-00009F030000}"/>
    <cellStyle name="20% - Accent6 4 3 2" xfId="3301" xr:uid="{00000000-0005-0000-0000-0000A0030000}"/>
    <cellStyle name="20% - Accent6 4 3 2 2" xfId="7523" xr:uid="{00000000-0005-0000-0000-0000A1030000}"/>
    <cellStyle name="20% - Accent6 4 3 2 2 2" xfId="32862" xr:uid="{AA605F06-C917-490B-9916-0C5D67778ED4}"/>
    <cellStyle name="20% - Accent6 4 3 2 2 3" xfId="24421" xr:uid="{1A791D6A-6395-4938-922A-B525F7213416}"/>
    <cellStyle name="20% - Accent6 4 3 2 2 4" xfId="15973" xr:uid="{863039A5-CE29-4F6F-B58D-51FCEB1B3354}"/>
    <cellStyle name="20% - Accent6 4 3 2 3" xfId="28644" xr:uid="{F6578839-1164-4E65-9F2E-8AA79E82F66F}"/>
    <cellStyle name="20% - Accent6 4 3 2 4" xfId="20203" xr:uid="{C2A415AA-09EF-4F8B-BE0F-072DC9ECC58F}"/>
    <cellStyle name="20% - Accent6 4 3 2 5" xfId="11755" xr:uid="{AEA46ED6-5860-455D-8750-623FB431A8B6}"/>
    <cellStyle name="20% - Accent6 4 3 3" xfId="5378" xr:uid="{00000000-0005-0000-0000-0000A2030000}"/>
    <cellStyle name="20% - Accent6 4 3 3 2" xfId="30717" xr:uid="{86624A8A-4B64-4327-AE64-CD4A25ECF06A}"/>
    <cellStyle name="20% - Accent6 4 3 3 3" xfId="22276" xr:uid="{F60FC4BA-94B4-4BB4-B353-AB912CBF1278}"/>
    <cellStyle name="20% - Accent6 4 3 3 4" xfId="13828" xr:uid="{B2FD57C3-84E4-40C8-8398-F8DEA9E5E14C}"/>
    <cellStyle name="20% - Accent6 4 3 4" xfId="26499" xr:uid="{5C203526-8C98-478E-AAA7-5691AE62384F}"/>
    <cellStyle name="20% - Accent6 4 3 5" xfId="18058" xr:uid="{220ADA2B-99AC-4784-B5FA-730B4F7CFDD5}"/>
    <cellStyle name="20% - Accent6 4 3 6" xfId="9610" xr:uid="{3409D8B5-AF76-44FE-AED5-18773CB8C318}"/>
    <cellStyle name="20% - Accent6 4 4" xfId="1484" xr:uid="{00000000-0005-0000-0000-0000A3030000}"/>
    <cellStyle name="20% - Accent6 4 4 2" xfId="3714" xr:uid="{00000000-0005-0000-0000-0000A4030000}"/>
    <cellStyle name="20% - Accent6 4 4 2 2" xfId="7936" xr:uid="{00000000-0005-0000-0000-0000A5030000}"/>
    <cellStyle name="20% - Accent6 4 4 2 2 2" xfId="33275" xr:uid="{0716463E-4F4D-42C3-B493-9BBA5597CDDC}"/>
    <cellStyle name="20% - Accent6 4 4 2 2 3" xfId="24834" xr:uid="{C52D3032-ED0C-4B9C-A11F-1C43F2DA6DE7}"/>
    <cellStyle name="20% - Accent6 4 4 2 2 4" xfId="16386" xr:uid="{48FD6436-8928-41EE-A439-0C508E943242}"/>
    <cellStyle name="20% - Accent6 4 4 2 3" xfId="29057" xr:uid="{45DD59CC-70E1-4665-87F7-DB4A37017407}"/>
    <cellStyle name="20% - Accent6 4 4 2 4" xfId="20616" xr:uid="{61ADB009-39F7-44BA-9A2C-5B18EE41D970}"/>
    <cellStyle name="20% - Accent6 4 4 2 5" xfId="12168" xr:uid="{F253E130-55B4-4B37-94B9-797EE41F38A2}"/>
    <cellStyle name="20% - Accent6 4 4 3" xfId="5791" xr:uid="{00000000-0005-0000-0000-0000A6030000}"/>
    <cellStyle name="20% - Accent6 4 4 3 2" xfId="31130" xr:uid="{790E5B2E-2CB8-4CDD-888A-081DE8826F2F}"/>
    <cellStyle name="20% - Accent6 4 4 3 3" xfId="22689" xr:uid="{9FBE018F-7CB8-4817-B5A4-7EAC8496C506}"/>
    <cellStyle name="20% - Accent6 4 4 3 4" xfId="14241" xr:uid="{2AA8CA0B-1D64-4981-90F4-A99C145B8669}"/>
    <cellStyle name="20% - Accent6 4 4 4" xfId="26912" xr:uid="{BD38F2F0-8319-4572-8697-39B69818914C}"/>
    <cellStyle name="20% - Accent6 4 4 5" xfId="18471" xr:uid="{02305EBB-88B5-45D9-B21B-BDEC99015373}"/>
    <cellStyle name="20% - Accent6 4 4 6" xfId="10023" xr:uid="{BC3C75C6-37F4-40CD-881E-F43CABB6D083}"/>
    <cellStyle name="20% - Accent6 4 5" xfId="1898" xr:uid="{00000000-0005-0000-0000-0000A7030000}"/>
    <cellStyle name="20% - Accent6 4 5 2" xfId="4127" xr:uid="{00000000-0005-0000-0000-0000A8030000}"/>
    <cellStyle name="20% - Accent6 4 5 2 2" xfId="8349" xr:uid="{00000000-0005-0000-0000-0000A9030000}"/>
    <cellStyle name="20% - Accent6 4 5 2 2 2" xfId="33688" xr:uid="{9BB0A3EA-FB10-4E39-8CAA-A8EFB0F5BB81}"/>
    <cellStyle name="20% - Accent6 4 5 2 2 3" xfId="25247" xr:uid="{E6924483-CF8B-4EE8-8F95-A3F853A672F9}"/>
    <cellStyle name="20% - Accent6 4 5 2 2 4" xfId="16799" xr:uid="{153683A2-68C5-4346-B3D6-70DAE5BE98DC}"/>
    <cellStyle name="20% - Accent6 4 5 2 3" xfId="29470" xr:uid="{056053BA-0846-4D8A-9A25-8BD71CCCC2C5}"/>
    <cellStyle name="20% - Accent6 4 5 2 4" xfId="21029" xr:uid="{4700A3BD-1A30-422D-AC8D-5216ABA0D4FD}"/>
    <cellStyle name="20% - Accent6 4 5 2 5" xfId="12581" xr:uid="{3DEFCEBF-A2DA-45C7-A90F-E9D59CD56EE1}"/>
    <cellStyle name="20% - Accent6 4 5 3" xfId="6204" xr:uid="{00000000-0005-0000-0000-0000AA030000}"/>
    <cellStyle name="20% - Accent6 4 5 3 2" xfId="31543" xr:uid="{8C035CDA-D8DB-491C-BE50-F1A10B6E6009}"/>
    <cellStyle name="20% - Accent6 4 5 3 3" xfId="23102" xr:uid="{E9A0A906-70FA-4FB5-B138-9B8D3BE692FE}"/>
    <cellStyle name="20% - Accent6 4 5 3 4" xfId="14654" xr:uid="{03B463C6-1474-46E6-BD3C-ABA207AB7A49}"/>
    <cellStyle name="20% - Accent6 4 5 4" xfId="27325" xr:uid="{EFAC686F-1D72-4BC1-96AB-C272801C600B}"/>
    <cellStyle name="20% - Accent6 4 5 5" xfId="18884" xr:uid="{E53BD6A3-F951-41C7-921F-F888C25089B6}"/>
    <cellStyle name="20% - Accent6 4 5 6" xfId="10436" xr:uid="{61DAEE61-1E06-485E-BD44-0E8FEC4EA4D7}"/>
    <cellStyle name="20% - Accent6 4 6" xfId="2311" xr:uid="{00000000-0005-0000-0000-0000AB030000}"/>
    <cellStyle name="20% - Accent6 4 6 2" xfId="6617" xr:uid="{00000000-0005-0000-0000-0000AC030000}"/>
    <cellStyle name="20% - Accent6 4 6 2 2" xfId="31956" xr:uid="{A9E53B7B-FDF6-4486-813D-44C2D926A34A}"/>
    <cellStyle name="20% - Accent6 4 6 2 3" xfId="23515" xr:uid="{510F5976-3DD9-4E0A-8D89-562244A6AF2E}"/>
    <cellStyle name="20% - Accent6 4 6 2 4" xfId="15067" xr:uid="{2CF00100-D22A-4250-8D1D-AEEC7C1F7648}"/>
    <cellStyle name="20% - Accent6 4 6 3" xfId="27738" xr:uid="{BC86AB08-B95A-4A7D-9FB1-2EAC1841E0A7}"/>
    <cellStyle name="20% - Accent6 4 6 4" xfId="19297" xr:uid="{9CAD2205-224D-4B0C-9A1D-977FB45896C2}"/>
    <cellStyle name="20% - Accent6 4 6 5" xfId="10849" xr:uid="{E8DEBF20-ECFB-469E-9E71-3522EC8E06B9}"/>
    <cellStyle name="20% - Accent6 4 7" xfId="4551" xr:uid="{00000000-0005-0000-0000-0000AD030000}"/>
    <cellStyle name="20% - Accent6 4 7 2" xfId="29890" xr:uid="{454F8991-AF2B-4AD7-AD9D-6BA0A70A32DB}"/>
    <cellStyle name="20% - Accent6 4 7 3" xfId="21449" xr:uid="{3F80DCED-5A67-4387-834E-8FFF240E4873}"/>
    <cellStyle name="20% - Accent6 4 7 4" xfId="13001" xr:uid="{FD0E8FB3-EED3-42F0-BCEF-B0DF7274D2A1}"/>
    <cellStyle name="20% - Accent6 4 8" xfId="25672" xr:uid="{8BDD2D94-2179-4315-86F3-F5CD40F9DDB1}"/>
    <cellStyle name="20% - Accent6 4 9" xfId="17231" xr:uid="{4C892823-05BE-4864-A718-A9C5974194F2}"/>
    <cellStyle name="20% - Accent6 5" xfId="610" xr:uid="{00000000-0005-0000-0000-0000AE030000}"/>
    <cellStyle name="20% - Accent6 5 2" xfId="2881" xr:uid="{00000000-0005-0000-0000-0000AF030000}"/>
    <cellStyle name="20% - Accent6 5 2 2" xfId="7103" xr:uid="{00000000-0005-0000-0000-0000B0030000}"/>
    <cellStyle name="20% - Accent6 5 2 2 2" xfId="32442" xr:uid="{C5FB0705-F409-4FA3-B96A-CB8E936C1C1C}"/>
    <cellStyle name="20% - Accent6 5 2 2 3" xfId="24001" xr:uid="{CF33FC25-C148-4B26-A3EB-6DDA8C06BC08}"/>
    <cellStyle name="20% - Accent6 5 2 2 4" xfId="15553" xr:uid="{CF63FB54-0451-4405-8E32-2CBF52EC7923}"/>
    <cellStyle name="20% - Accent6 5 2 3" xfId="28224" xr:uid="{14AD4478-A823-4192-B349-1D334A9324F8}"/>
    <cellStyle name="20% - Accent6 5 2 4" xfId="19783" xr:uid="{80F3C2B7-3092-439E-8231-6D6876E660D3}"/>
    <cellStyle name="20% - Accent6 5 2 5" xfId="11335" xr:uid="{C732FCA5-9EBC-4C96-8F9A-1B50760E02D4}"/>
    <cellStyle name="20% - Accent6 5 3" xfId="4958" xr:uid="{00000000-0005-0000-0000-0000B1030000}"/>
    <cellStyle name="20% - Accent6 5 3 2" xfId="30297" xr:uid="{C5BD9B65-AA8E-40D6-8E56-C7EFA62FF0D3}"/>
    <cellStyle name="20% - Accent6 5 3 3" xfId="21856" xr:uid="{532DCE4C-2E71-4D72-B580-D23B8B87BADE}"/>
    <cellStyle name="20% - Accent6 5 3 4" xfId="13408" xr:uid="{E823D576-CF0A-4810-94BA-EE89275DB1E1}"/>
    <cellStyle name="20% - Accent6 5 4" xfId="26079" xr:uid="{05FBD334-AC7A-462C-ACC5-8B09C8A71D76}"/>
    <cellStyle name="20% - Accent6 5 5" xfId="17638" xr:uid="{A51E698A-E199-4218-A2CA-58667D959D15}"/>
    <cellStyle name="20% - Accent6 5 6" xfId="9190" xr:uid="{90828253-B390-4408-8A5F-DC1E678C71E5}"/>
    <cellStyle name="20% - Accent6 6" xfId="1063" xr:uid="{00000000-0005-0000-0000-0000B2030000}"/>
    <cellStyle name="20% - Accent6 6 2" xfId="3294" xr:uid="{00000000-0005-0000-0000-0000B3030000}"/>
    <cellStyle name="20% - Accent6 6 2 2" xfId="7516" xr:uid="{00000000-0005-0000-0000-0000B4030000}"/>
    <cellStyle name="20% - Accent6 6 2 2 2" xfId="32855" xr:uid="{3133DEC6-F38F-469F-B0E5-09D74DF6ADF5}"/>
    <cellStyle name="20% - Accent6 6 2 2 3" xfId="24414" xr:uid="{A0CC0746-CC65-44FC-88AD-DA9789CAC7DF}"/>
    <cellStyle name="20% - Accent6 6 2 2 4" xfId="15966" xr:uid="{5338D78F-B4F8-4CD0-8B8C-47BF5380135B}"/>
    <cellStyle name="20% - Accent6 6 2 3" xfId="28637" xr:uid="{AB9A5F4C-1AB6-4A14-BCF0-9925568BC1F7}"/>
    <cellStyle name="20% - Accent6 6 2 4" xfId="20196" xr:uid="{C6692DC3-7176-435A-AF55-271EBD49F927}"/>
    <cellStyle name="20% - Accent6 6 2 5" xfId="11748" xr:uid="{40F9C6BD-8D50-4067-B9AD-41F9237668D6}"/>
    <cellStyle name="20% - Accent6 6 3" xfId="5371" xr:uid="{00000000-0005-0000-0000-0000B5030000}"/>
    <cellStyle name="20% - Accent6 6 3 2" xfId="30710" xr:uid="{BB2C9848-4F04-4500-B9AD-57AFFC24A5E1}"/>
    <cellStyle name="20% - Accent6 6 3 3" xfId="22269" xr:uid="{FBD64DF7-7E3E-450D-9F1B-A947EA1AAC47}"/>
    <cellStyle name="20% - Accent6 6 3 4" xfId="13821" xr:uid="{6C460FA6-ACEE-49F5-A990-611A2EA0FB75}"/>
    <cellStyle name="20% - Accent6 6 4" xfId="26492" xr:uid="{75015126-0C7E-43E7-829E-6D8A82D88C6C}"/>
    <cellStyle name="20% - Accent6 6 5" xfId="18051" xr:uid="{6254BFE7-3DB9-4B3B-8874-A056F46FF248}"/>
    <cellStyle name="20% - Accent6 6 6" xfId="9603" xr:uid="{89E88D4B-4B95-4994-BFB1-C6F96F9AF9D4}"/>
    <cellStyle name="20% - Accent6 7" xfId="1477" xr:uid="{00000000-0005-0000-0000-0000B6030000}"/>
    <cellStyle name="20% - Accent6 7 2" xfId="3707" xr:uid="{00000000-0005-0000-0000-0000B7030000}"/>
    <cellStyle name="20% - Accent6 7 2 2" xfId="7929" xr:uid="{00000000-0005-0000-0000-0000B8030000}"/>
    <cellStyle name="20% - Accent6 7 2 2 2" xfId="33268" xr:uid="{3ED45D3C-D2A6-4CE8-80D6-4F1E3DB6559F}"/>
    <cellStyle name="20% - Accent6 7 2 2 3" xfId="24827" xr:uid="{6BF9620F-EC5B-437B-BF93-E21ADD31F647}"/>
    <cellStyle name="20% - Accent6 7 2 2 4" xfId="16379" xr:uid="{956B1FC1-DAF4-4BF7-BBD0-14A17300C41B}"/>
    <cellStyle name="20% - Accent6 7 2 3" xfId="29050" xr:uid="{6F574F18-E742-4C18-B2E8-8C282B22D38C}"/>
    <cellStyle name="20% - Accent6 7 2 4" xfId="20609" xr:uid="{C505387F-9C6E-41ED-88A4-7AE2EE8258BA}"/>
    <cellStyle name="20% - Accent6 7 2 5" xfId="12161" xr:uid="{9A2EBCF8-8022-4724-ABD2-364A1726359A}"/>
    <cellStyle name="20% - Accent6 7 3" xfId="5784" xr:uid="{00000000-0005-0000-0000-0000B9030000}"/>
    <cellStyle name="20% - Accent6 7 3 2" xfId="31123" xr:uid="{6CD7446E-CF78-499B-B26D-98BEC0763688}"/>
    <cellStyle name="20% - Accent6 7 3 3" xfId="22682" xr:uid="{E3D8ECB4-6FF1-4E26-8B8E-AACD1FEE3687}"/>
    <cellStyle name="20% - Accent6 7 3 4" xfId="14234" xr:uid="{72D3AD14-83F5-4643-B716-5A7A372586FB}"/>
    <cellStyle name="20% - Accent6 7 4" xfId="26905" xr:uid="{D285FDCE-1021-4CA2-A219-34218966C21C}"/>
    <cellStyle name="20% - Accent6 7 5" xfId="18464" xr:uid="{872F5C23-4D50-4675-AB8B-3FB3A36D920B}"/>
    <cellStyle name="20% - Accent6 7 6" xfId="10016" xr:uid="{4F204331-2E07-4659-9882-6366CFE073BA}"/>
    <cellStyle name="20% - Accent6 8" xfId="1891" xr:uid="{00000000-0005-0000-0000-0000BA030000}"/>
    <cellStyle name="20% - Accent6 8 2" xfId="4120" xr:uid="{00000000-0005-0000-0000-0000BB030000}"/>
    <cellStyle name="20% - Accent6 8 2 2" xfId="8342" xr:uid="{00000000-0005-0000-0000-0000BC030000}"/>
    <cellStyle name="20% - Accent6 8 2 2 2" xfId="33681" xr:uid="{38BDCC69-DAD9-44FD-B270-4874D24E6D4D}"/>
    <cellStyle name="20% - Accent6 8 2 2 3" xfId="25240" xr:uid="{FF739746-41E7-4221-AF3E-81136AE6D4D6}"/>
    <cellStyle name="20% - Accent6 8 2 2 4" xfId="16792" xr:uid="{F62C9DD1-AB6D-4ADC-BD82-588C4067B2D1}"/>
    <cellStyle name="20% - Accent6 8 2 3" xfId="29463" xr:uid="{7BECB418-A90E-493F-9C4A-D9160BFA25F2}"/>
    <cellStyle name="20% - Accent6 8 2 4" xfId="21022" xr:uid="{7974881D-BCE4-4EE8-AA06-49339B21180F}"/>
    <cellStyle name="20% - Accent6 8 2 5" xfId="12574" xr:uid="{CD77ECA1-5326-40CF-8EA9-77D5A851CF89}"/>
    <cellStyle name="20% - Accent6 8 3" xfId="6197" xr:uid="{00000000-0005-0000-0000-0000BD030000}"/>
    <cellStyle name="20% - Accent6 8 3 2" xfId="31536" xr:uid="{EB0EE7B6-4473-423E-980F-CE2C90B6639C}"/>
    <cellStyle name="20% - Accent6 8 3 3" xfId="23095" xr:uid="{A35783F7-68E3-4C4E-85BA-496588D8CED0}"/>
    <cellStyle name="20% - Accent6 8 3 4" xfId="14647" xr:uid="{68F33D18-6A04-4DE3-A849-159A3D0C6C00}"/>
    <cellStyle name="20% - Accent6 8 4" xfId="27318" xr:uid="{002F520D-F47C-4310-8726-973EC14A65A6}"/>
    <cellStyle name="20% - Accent6 8 5" xfId="18877" xr:uid="{2FF0D8FE-25DC-41D7-AC90-6ACFAC81E235}"/>
    <cellStyle name="20% - Accent6 8 6" xfId="10429" xr:uid="{75FB306A-65D7-45C8-80E7-E235CE39E66C}"/>
    <cellStyle name="20% - Accent6 9" xfId="2304" xr:uid="{00000000-0005-0000-0000-0000BE030000}"/>
    <cellStyle name="20% - Accent6 9 2" xfId="6610" xr:uid="{00000000-0005-0000-0000-0000BF030000}"/>
    <cellStyle name="20% - Accent6 9 2 2" xfId="31949" xr:uid="{8786C325-118B-4DB2-AF5F-AB744903AEA4}"/>
    <cellStyle name="20% - Accent6 9 2 3" xfId="23508" xr:uid="{760FBD51-59D6-4650-AF52-9F5F472238D6}"/>
    <cellStyle name="20% - Accent6 9 2 4" xfId="15060" xr:uid="{F592DC27-FBB1-4EA7-8268-69F5AD1A3730}"/>
    <cellStyle name="20% - Accent6 9 3" xfId="27731" xr:uid="{357521B8-9C4F-4AAF-AC69-D15143DEFFF5}"/>
    <cellStyle name="20% - Accent6 9 4" xfId="19290" xr:uid="{0DCFDDDC-9C10-4637-9563-E8C51F7F9B6C}"/>
    <cellStyle name="20% - Accent6 9 5" xfId="10842" xr:uid="{1DB307B0-B64E-4CCA-B7BC-A44D8F7D4BC8}"/>
    <cellStyle name="40% - Accent1" xfId="49" builtinId="31" customBuiltin="1"/>
    <cellStyle name="40% - Accent1 10" xfId="4552" xr:uid="{00000000-0005-0000-0000-0000C1030000}"/>
    <cellStyle name="40% - Accent1 10 2" xfId="29891" xr:uid="{FDBCE57C-141D-4076-A34F-946FC5498E10}"/>
    <cellStyle name="40% - Accent1 10 3" xfId="21450" xr:uid="{5DF147B6-9105-4DD6-9140-4367AFF00CC7}"/>
    <cellStyle name="40% - Accent1 10 4" xfId="13002" xr:uid="{68425734-2B4F-4C30-8510-4174A110757D}"/>
    <cellStyle name="40% - Accent1 11" xfId="25673" xr:uid="{D5111D2B-EEE7-42CA-8C14-F1E013698B1B}"/>
    <cellStyle name="40% - Accent1 12" xfId="17232" xr:uid="{7738A2E3-0D62-45C5-BAFB-BA90914FC1A9}"/>
    <cellStyle name="40% - Accent1 13" xfId="8784" xr:uid="{291266F9-A380-4984-90AF-6BDB7D0C9770}"/>
    <cellStyle name="40% - Accent1 2" xfId="50" xr:uid="{00000000-0005-0000-0000-0000C2030000}"/>
    <cellStyle name="40% - Accent1 2 10" xfId="25674" xr:uid="{94EAFB85-E884-4FE4-885D-2F545F19C4AE}"/>
    <cellStyle name="40% - Accent1 2 11" xfId="17233" xr:uid="{51F37869-E36B-4DB3-A555-80F55814572E}"/>
    <cellStyle name="40% - Accent1 2 12" xfId="8785" xr:uid="{6CD089A2-0B5B-4E7B-9BDD-75A68C1B8DD6}"/>
    <cellStyle name="40% - Accent1 2 2" xfId="51" xr:uid="{00000000-0005-0000-0000-0000C3030000}"/>
    <cellStyle name="40% - Accent1 2 2 10" xfId="17234" xr:uid="{BC30CA03-7D15-4FC1-A439-7BBCAFA9E822}"/>
    <cellStyle name="40% - Accent1 2 2 11" xfId="8786" xr:uid="{BD8B2E7E-F474-4DC1-9C51-8B2D2E2C7E57}"/>
    <cellStyle name="40% - Accent1 2 2 2" xfId="52" xr:uid="{00000000-0005-0000-0000-0000C4030000}"/>
    <cellStyle name="40% - Accent1 2 2 2 10" xfId="8787" xr:uid="{C1B296D4-55E2-43E7-83AF-E63EFB3763F1}"/>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32453" xr:uid="{39DA7E69-DCE8-4700-AE6E-15ACCBA3C9E0}"/>
    <cellStyle name="40% - Accent1 2 2 2 2 2 2 3" xfId="24012" xr:uid="{78D2F5C4-4C52-4071-9C7D-7C11940AB7D6}"/>
    <cellStyle name="40% - Accent1 2 2 2 2 2 2 4" xfId="15564" xr:uid="{2C55580D-8629-4D86-B347-78C6C6768334}"/>
    <cellStyle name="40% - Accent1 2 2 2 2 2 3" xfId="28235" xr:uid="{06D0EEFB-646B-4CFD-9436-76C17222E162}"/>
    <cellStyle name="40% - Accent1 2 2 2 2 2 4" xfId="19794" xr:uid="{9CA155EC-9E2C-4E69-AB43-6D0D005EC491}"/>
    <cellStyle name="40% - Accent1 2 2 2 2 2 5" xfId="11346" xr:uid="{47AD34CF-2423-4B91-8915-9BEF0362CC8E}"/>
    <cellStyle name="40% - Accent1 2 2 2 2 3" xfId="4969" xr:uid="{00000000-0005-0000-0000-0000C8030000}"/>
    <cellStyle name="40% - Accent1 2 2 2 2 3 2" xfId="30308" xr:uid="{066A5597-7C63-4AB3-A271-74BAF3AA9934}"/>
    <cellStyle name="40% - Accent1 2 2 2 2 3 3" xfId="21867" xr:uid="{6FEDF48C-C1FC-4A40-939F-C575EA700ADA}"/>
    <cellStyle name="40% - Accent1 2 2 2 2 3 4" xfId="13419" xr:uid="{475CC048-67E1-45FA-8796-AA0219745C52}"/>
    <cellStyle name="40% - Accent1 2 2 2 2 4" xfId="26090" xr:uid="{645DCA7A-CE81-4BA5-8255-6754ED305A9D}"/>
    <cellStyle name="40% - Accent1 2 2 2 2 5" xfId="17649" xr:uid="{F7AC4F3A-3985-4829-9040-7AC84D1A1EEF}"/>
    <cellStyle name="40% - Accent1 2 2 2 2 6" xfId="9201" xr:uid="{BFE9560D-9B26-4BC3-9D5F-8165AF18CEEC}"/>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32866" xr:uid="{2F7F1DF9-723F-4301-B28C-B8C37070F63C}"/>
    <cellStyle name="40% - Accent1 2 2 2 3 2 2 3" xfId="24425" xr:uid="{BE1DD77C-3029-40F5-BDD1-9E6D97A0D641}"/>
    <cellStyle name="40% - Accent1 2 2 2 3 2 2 4" xfId="15977" xr:uid="{ED3FEAC3-B4FE-4BFC-B5F0-A1C7AB2F042A}"/>
    <cellStyle name="40% - Accent1 2 2 2 3 2 3" xfId="28648" xr:uid="{E959BC23-03A2-4A7E-AF31-333FF287E50A}"/>
    <cellStyle name="40% - Accent1 2 2 2 3 2 4" xfId="20207" xr:uid="{E641A4A2-07B5-44F9-A2BF-7F8EAE6936C1}"/>
    <cellStyle name="40% - Accent1 2 2 2 3 2 5" xfId="11759" xr:uid="{17138A65-A23C-4D5D-B0A4-17B10A4F85EB}"/>
    <cellStyle name="40% - Accent1 2 2 2 3 3" xfId="5382" xr:uid="{00000000-0005-0000-0000-0000CC030000}"/>
    <cellStyle name="40% - Accent1 2 2 2 3 3 2" xfId="30721" xr:uid="{5C025AA4-780F-4B7D-9CD3-D0B2B2ABCFD8}"/>
    <cellStyle name="40% - Accent1 2 2 2 3 3 3" xfId="22280" xr:uid="{7EB57AA5-1C44-4491-AF63-CD4C243AFF3E}"/>
    <cellStyle name="40% - Accent1 2 2 2 3 3 4" xfId="13832" xr:uid="{6158A663-AED7-4705-BCC4-A50B15952758}"/>
    <cellStyle name="40% - Accent1 2 2 2 3 4" xfId="26503" xr:uid="{0AA89617-4CB5-464A-AF5B-D1120B874D63}"/>
    <cellStyle name="40% - Accent1 2 2 2 3 5" xfId="18062" xr:uid="{F2D8D29D-E9AE-4020-9B1B-C0B7FA23CB63}"/>
    <cellStyle name="40% - Accent1 2 2 2 3 6" xfId="9614" xr:uid="{20D6F55A-2422-47AF-9A39-61F17E291B58}"/>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33279" xr:uid="{E6F9BB01-45FA-4068-BA43-0B43B3AC5562}"/>
    <cellStyle name="40% - Accent1 2 2 2 4 2 2 3" xfId="24838" xr:uid="{2D24C559-AFA1-4336-BBA7-1E00D9571DC0}"/>
    <cellStyle name="40% - Accent1 2 2 2 4 2 2 4" xfId="16390" xr:uid="{3143B694-69DD-4866-9CD3-8B20CC88EF51}"/>
    <cellStyle name="40% - Accent1 2 2 2 4 2 3" xfId="29061" xr:uid="{5C10900D-B4E8-4A04-A392-0796D5744B82}"/>
    <cellStyle name="40% - Accent1 2 2 2 4 2 4" xfId="20620" xr:uid="{5A66C5C8-2685-4FD6-A980-AB104F09D7FE}"/>
    <cellStyle name="40% - Accent1 2 2 2 4 2 5" xfId="12172" xr:uid="{778F5E77-7A97-41C6-9BB7-C628C1A2AEEE}"/>
    <cellStyle name="40% - Accent1 2 2 2 4 3" xfId="5795" xr:uid="{00000000-0005-0000-0000-0000D0030000}"/>
    <cellStyle name="40% - Accent1 2 2 2 4 3 2" xfId="31134" xr:uid="{D692DA95-9DB9-4BDF-B989-568544CB0CBE}"/>
    <cellStyle name="40% - Accent1 2 2 2 4 3 3" xfId="22693" xr:uid="{14346038-7C63-4722-A560-36B5A003AF6B}"/>
    <cellStyle name="40% - Accent1 2 2 2 4 3 4" xfId="14245" xr:uid="{FDCAE28D-F6F0-4253-9B9F-723CA9E49401}"/>
    <cellStyle name="40% - Accent1 2 2 2 4 4" xfId="26916" xr:uid="{FDDA36B0-DB60-491A-BB4D-1D1585AA452E}"/>
    <cellStyle name="40% - Accent1 2 2 2 4 5" xfId="18475" xr:uid="{256859E0-F32C-460B-9C9F-E47000D607B0}"/>
    <cellStyle name="40% - Accent1 2 2 2 4 6" xfId="10027" xr:uid="{8AB164C3-816D-40EC-9531-4329A25180B4}"/>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33692" xr:uid="{11DE05C6-74A0-4BFD-A1BA-9D2585E3372E}"/>
    <cellStyle name="40% - Accent1 2 2 2 5 2 2 3" xfId="25251" xr:uid="{28AE1419-40F8-4561-BC68-9647330138EB}"/>
    <cellStyle name="40% - Accent1 2 2 2 5 2 2 4" xfId="16803" xr:uid="{A0E73AAF-8D85-437C-80F9-A25A57753AB7}"/>
    <cellStyle name="40% - Accent1 2 2 2 5 2 3" xfId="29474" xr:uid="{958CE746-AE88-47BC-90E2-49341E5E9699}"/>
    <cellStyle name="40% - Accent1 2 2 2 5 2 4" xfId="21033" xr:uid="{07B90F94-B05D-4FE7-BA9F-F95E7F0ABDD7}"/>
    <cellStyle name="40% - Accent1 2 2 2 5 2 5" xfId="12585" xr:uid="{C6CC0186-E460-4509-97F0-D9CC6E5EC308}"/>
    <cellStyle name="40% - Accent1 2 2 2 5 3" xfId="6208" xr:uid="{00000000-0005-0000-0000-0000D4030000}"/>
    <cellStyle name="40% - Accent1 2 2 2 5 3 2" xfId="31547" xr:uid="{5F71BE3B-0848-44BC-A48A-389BDFAA9E38}"/>
    <cellStyle name="40% - Accent1 2 2 2 5 3 3" xfId="23106" xr:uid="{708EE0A5-E1F2-4B76-BC86-29361A4D7D8A}"/>
    <cellStyle name="40% - Accent1 2 2 2 5 3 4" xfId="14658" xr:uid="{1BA6D449-5713-44F8-9206-1EA1114F5026}"/>
    <cellStyle name="40% - Accent1 2 2 2 5 4" xfId="27329" xr:uid="{8CA182D8-E5E0-4818-9494-1949142A6EC5}"/>
    <cellStyle name="40% - Accent1 2 2 2 5 5" xfId="18888" xr:uid="{E6489BB4-2D62-4BE5-9572-8190ED9A853B}"/>
    <cellStyle name="40% - Accent1 2 2 2 5 6" xfId="10440" xr:uid="{F6C73009-2C74-480D-A9B9-51CB451A5200}"/>
    <cellStyle name="40% - Accent1 2 2 2 6" xfId="2315" xr:uid="{00000000-0005-0000-0000-0000D5030000}"/>
    <cellStyle name="40% - Accent1 2 2 2 6 2" xfId="6621" xr:uid="{00000000-0005-0000-0000-0000D6030000}"/>
    <cellStyle name="40% - Accent1 2 2 2 6 2 2" xfId="31960" xr:uid="{B181C350-E8A3-4A4E-A403-FC931B25BEB8}"/>
    <cellStyle name="40% - Accent1 2 2 2 6 2 3" xfId="23519" xr:uid="{E56644F3-FF3C-4C1B-A6A6-5FB6AEC31B81}"/>
    <cellStyle name="40% - Accent1 2 2 2 6 2 4" xfId="15071" xr:uid="{7C0CBCA6-87F0-4624-8B0D-A00D01AD9F51}"/>
    <cellStyle name="40% - Accent1 2 2 2 6 3" xfId="27742" xr:uid="{D9233761-B0AD-4C5E-9494-BDDF97A065B7}"/>
    <cellStyle name="40% - Accent1 2 2 2 6 4" xfId="19301" xr:uid="{51BCAED6-489A-4E8E-8B37-E6968E8C0DF9}"/>
    <cellStyle name="40% - Accent1 2 2 2 6 5" xfId="10853" xr:uid="{26D9D09B-6D78-47FD-ADD7-9A17AC307822}"/>
    <cellStyle name="40% - Accent1 2 2 2 7" xfId="4555" xr:uid="{00000000-0005-0000-0000-0000D7030000}"/>
    <cellStyle name="40% - Accent1 2 2 2 7 2" xfId="29894" xr:uid="{BF410AF6-B9A0-4B16-8BF8-4CA045845E9B}"/>
    <cellStyle name="40% - Accent1 2 2 2 7 3" xfId="21453" xr:uid="{86FCF9D8-7AAF-4928-953A-D41BF1777130}"/>
    <cellStyle name="40% - Accent1 2 2 2 7 4" xfId="13005" xr:uid="{6E7EB3A0-B4B3-401E-9AB2-D356DAC9FE0B}"/>
    <cellStyle name="40% - Accent1 2 2 2 8" xfId="25676" xr:uid="{7648E2C6-4A64-48F8-B803-BE40CC40A7A0}"/>
    <cellStyle name="40% - Accent1 2 2 2 9" xfId="17235" xr:uid="{92BBAA84-05D7-4220-800A-21E165520474}"/>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32452" xr:uid="{C1D1A8FD-D5C6-4104-9DA1-2950F2F46A55}"/>
    <cellStyle name="40% - Accent1 2 2 3 2 2 3" xfId="24011" xr:uid="{0334666E-2A95-4369-A458-7350401B33AE}"/>
    <cellStyle name="40% - Accent1 2 2 3 2 2 4" xfId="15563" xr:uid="{3801B602-905A-47E2-83CB-A0918B20E06F}"/>
    <cellStyle name="40% - Accent1 2 2 3 2 3" xfId="28234" xr:uid="{B256ECDC-E3EA-446C-B691-EC0CA8400AC2}"/>
    <cellStyle name="40% - Accent1 2 2 3 2 4" xfId="19793" xr:uid="{47609746-F066-42B9-845D-82DF057E015B}"/>
    <cellStyle name="40% - Accent1 2 2 3 2 5" xfId="11345" xr:uid="{D5B3F253-A8FC-4799-8DD7-08080448F90C}"/>
    <cellStyle name="40% - Accent1 2 2 3 3" xfId="4968" xr:uid="{00000000-0005-0000-0000-0000DB030000}"/>
    <cellStyle name="40% - Accent1 2 2 3 3 2" xfId="30307" xr:uid="{5EF1770C-3999-4CAA-A7EE-FC9A86F1CE1D}"/>
    <cellStyle name="40% - Accent1 2 2 3 3 3" xfId="21866" xr:uid="{72E18E8F-73FD-4156-9204-EC1CF4BAD5C9}"/>
    <cellStyle name="40% - Accent1 2 2 3 3 4" xfId="13418" xr:uid="{D2EA3F04-9A9A-48BC-8E19-805E3A8695A0}"/>
    <cellStyle name="40% - Accent1 2 2 3 4" xfId="26089" xr:uid="{D30E5564-A115-4A2A-ABA5-03A4C8C6446F}"/>
    <cellStyle name="40% - Accent1 2 2 3 5" xfId="17648" xr:uid="{690D5D4A-8C65-4E70-97D9-A1106B594911}"/>
    <cellStyle name="40% - Accent1 2 2 3 6" xfId="9200" xr:uid="{9CACCFBD-CC94-42A5-B0BC-2E5DFA30145B}"/>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32865" xr:uid="{B745FE53-1364-48B8-975A-29A94623A136}"/>
    <cellStyle name="40% - Accent1 2 2 4 2 2 3" xfId="24424" xr:uid="{7BA8F04D-485B-4993-8C05-F3560971F64E}"/>
    <cellStyle name="40% - Accent1 2 2 4 2 2 4" xfId="15976" xr:uid="{4C7EABEB-DCEC-4B6A-8CC3-75E537842FC5}"/>
    <cellStyle name="40% - Accent1 2 2 4 2 3" xfId="28647" xr:uid="{A4617196-CF91-481E-BF27-D613C1AAA969}"/>
    <cellStyle name="40% - Accent1 2 2 4 2 4" xfId="20206" xr:uid="{D42D79C7-9661-48B0-ABCD-BC5AE6673642}"/>
    <cellStyle name="40% - Accent1 2 2 4 2 5" xfId="11758" xr:uid="{D422CE38-B084-4510-ACE3-0EE56DC04C32}"/>
    <cellStyle name="40% - Accent1 2 2 4 3" xfId="5381" xr:uid="{00000000-0005-0000-0000-0000DF030000}"/>
    <cellStyle name="40% - Accent1 2 2 4 3 2" xfId="30720" xr:uid="{70BD57FB-14BB-45A0-94F1-9762BAF66A65}"/>
    <cellStyle name="40% - Accent1 2 2 4 3 3" xfId="22279" xr:uid="{F32C4F88-12FF-441D-929F-9E930610FB8C}"/>
    <cellStyle name="40% - Accent1 2 2 4 3 4" xfId="13831" xr:uid="{E4F95E70-5B70-4E5D-B9AC-9B2B693E49EF}"/>
    <cellStyle name="40% - Accent1 2 2 4 4" xfId="26502" xr:uid="{D552ABA7-2B54-47F1-892D-8902354276CC}"/>
    <cellStyle name="40% - Accent1 2 2 4 5" xfId="18061" xr:uid="{9DE7B8AF-CE05-4C8D-A4A9-0790E3C0ABA4}"/>
    <cellStyle name="40% - Accent1 2 2 4 6" xfId="9613" xr:uid="{0A9286BE-99E7-4601-A622-8D364E9D7D8B}"/>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33278" xr:uid="{55817369-48E7-4644-ACFE-3F1DAD7F2AF9}"/>
    <cellStyle name="40% - Accent1 2 2 5 2 2 3" xfId="24837" xr:uid="{C43DB11D-F52C-426F-B654-B188449E7DD5}"/>
    <cellStyle name="40% - Accent1 2 2 5 2 2 4" xfId="16389" xr:uid="{E17B491B-6417-4DB3-9F05-59C420C65177}"/>
    <cellStyle name="40% - Accent1 2 2 5 2 3" xfId="29060" xr:uid="{22217851-4D34-4A65-BB99-2DFB39A05A53}"/>
    <cellStyle name="40% - Accent1 2 2 5 2 4" xfId="20619" xr:uid="{088C85F4-D388-4243-9C4E-6ECF6A8A1938}"/>
    <cellStyle name="40% - Accent1 2 2 5 2 5" xfId="12171" xr:uid="{5CD58920-1E55-4704-BC8F-183128C4D930}"/>
    <cellStyle name="40% - Accent1 2 2 5 3" xfId="5794" xr:uid="{00000000-0005-0000-0000-0000E3030000}"/>
    <cellStyle name="40% - Accent1 2 2 5 3 2" xfId="31133" xr:uid="{6448FC3A-B929-4736-8D71-47AE27C8ECA9}"/>
    <cellStyle name="40% - Accent1 2 2 5 3 3" xfId="22692" xr:uid="{11AE42D6-6E77-4661-BF26-60AB1C111E37}"/>
    <cellStyle name="40% - Accent1 2 2 5 3 4" xfId="14244" xr:uid="{C1516978-B1CE-404D-8F89-093E0728CC1F}"/>
    <cellStyle name="40% - Accent1 2 2 5 4" xfId="26915" xr:uid="{27AD54C0-FC70-4102-8F9F-1360A4D5543B}"/>
    <cellStyle name="40% - Accent1 2 2 5 5" xfId="18474" xr:uid="{6236120C-2070-46E0-B54E-82BE2CDAADDD}"/>
    <cellStyle name="40% - Accent1 2 2 5 6" xfId="10026" xr:uid="{76E2432B-3E3F-413A-8250-0FDAFFD0E768}"/>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33691" xr:uid="{06B9F7AC-3E55-4CAC-A537-A59E8744C7FF}"/>
    <cellStyle name="40% - Accent1 2 2 6 2 2 3" xfId="25250" xr:uid="{718DB97F-AB71-44AB-AC18-C8AE6CC2FCDD}"/>
    <cellStyle name="40% - Accent1 2 2 6 2 2 4" xfId="16802" xr:uid="{F0A5877D-9C34-47A3-A615-1382E278082F}"/>
    <cellStyle name="40% - Accent1 2 2 6 2 3" xfId="29473" xr:uid="{96572DC0-FF2F-4E9A-A874-5E9B76BCB314}"/>
    <cellStyle name="40% - Accent1 2 2 6 2 4" xfId="21032" xr:uid="{B83DD5A0-C5AC-4A35-936C-F28B8F21F559}"/>
    <cellStyle name="40% - Accent1 2 2 6 2 5" xfId="12584" xr:uid="{15D1B7A8-867E-4E42-A44C-4892F2F71D7B}"/>
    <cellStyle name="40% - Accent1 2 2 6 3" xfId="6207" xr:uid="{00000000-0005-0000-0000-0000E7030000}"/>
    <cellStyle name="40% - Accent1 2 2 6 3 2" xfId="31546" xr:uid="{E1C4B2B3-CE21-4EAB-9597-5F861877712A}"/>
    <cellStyle name="40% - Accent1 2 2 6 3 3" xfId="23105" xr:uid="{29F63C5C-E0C3-4CB3-9FD4-22A09C054485}"/>
    <cellStyle name="40% - Accent1 2 2 6 3 4" xfId="14657" xr:uid="{989F9F7E-127A-483B-8A5F-3F2D44A99AC8}"/>
    <cellStyle name="40% - Accent1 2 2 6 4" xfId="27328" xr:uid="{35B4C473-414F-4F1E-8706-EFE802E0A554}"/>
    <cellStyle name="40% - Accent1 2 2 6 5" xfId="18887" xr:uid="{BDAE712F-31EE-480D-B63B-084CCC38631D}"/>
    <cellStyle name="40% - Accent1 2 2 6 6" xfId="10439" xr:uid="{075791BF-4A0E-4B01-9BE1-C0DCB9D2023E}"/>
    <cellStyle name="40% - Accent1 2 2 7" xfId="2314" xr:uid="{00000000-0005-0000-0000-0000E8030000}"/>
    <cellStyle name="40% - Accent1 2 2 7 2" xfId="6620" xr:uid="{00000000-0005-0000-0000-0000E9030000}"/>
    <cellStyle name="40% - Accent1 2 2 7 2 2" xfId="31959" xr:uid="{21532308-1B0A-4F9A-BC31-570CEA76D42F}"/>
    <cellStyle name="40% - Accent1 2 2 7 2 3" xfId="23518" xr:uid="{228C114E-ACED-4153-88FC-67573AD461ED}"/>
    <cellStyle name="40% - Accent1 2 2 7 2 4" xfId="15070" xr:uid="{E4CC3486-B6B9-4E47-B3ED-C1250B6342AA}"/>
    <cellStyle name="40% - Accent1 2 2 7 3" xfId="27741" xr:uid="{C3FD7B74-012F-4C7C-B63B-E6339147DE4B}"/>
    <cellStyle name="40% - Accent1 2 2 7 4" xfId="19300" xr:uid="{155F3B04-6D9F-480B-895C-75E7B54AC0BD}"/>
    <cellStyle name="40% - Accent1 2 2 7 5" xfId="10852" xr:uid="{FAD176C6-C8FD-42ED-8D05-4F19AAE0EBFC}"/>
    <cellStyle name="40% - Accent1 2 2 8" xfId="4554" xr:uid="{00000000-0005-0000-0000-0000EA030000}"/>
    <cellStyle name="40% - Accent1 2 2 8 2" xfId="29893" xr:uid="{FF8AAC34-468C-4F97-AC37-413B8FF728CB}"/>
    <cellStyle name="40% - Accent1 2 2 8 3" xfId="21452" xr:uid="{369EA388-E2E2-43B8-959C-0EDA8A4EACD7}"/>
    <cellStyle name="40% - Accent1 2 2 8 4" xfId="13004" xr:uid="{FAFB5A65-71A6-44E0-94E4-9DE22C41671D}"/>
    <cellStyle name="40% - Accent1 2 2 9" xfId="25675" xr:uid="{9450540C-9208-41B4-A933-64508A7C6E45}"/>
    <cellStyle name="40% - Accent1 2 3" xfId="53" xr:uid="{00000000-0005-0000-0000-0000EB030000}"/>
    <cellStyle name="40% - Accent1 2 3 10" xfId="8788" xr:uid="{351687DE-0965-472F-A0A4-5A2090E5859C}"/>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32454" xr:uid="{4BD0E189-8526-4138-9822-1C622268DE14}"/>
    <cellStyle name="40% - Accent1 2 3 2 2 2 3" xfId="24013" xr:uid="{395F5D59-0416-4FAD-9DCE-7B2C60D545D1}"/>
    <cellStyle name="40% - Accent1 2 3 2 2 2 4" xfId="15565" xr:uid="{628A8B52-DA1A-4460-918D-162CF16BA919}"/>
    <cellStyle name="40% - Accent1 2 3 2 2 3" xfId="28236" xr:uid="{9801E461-2628-449D-AE2C-B6B73406E203}"/>
    <cellStyle name="40% - Accent1 2 3 2 2 4" xfId="19795" xr:uid="{EA99EC03-04C6-4969-952B-69C7C78427B0}"/>
    <cellStyle name="40% - Accent1 2 3 2 2 5" xfId="11347" xr:uid="{03752EC1-230A-469A-9423-DA05B5A4BDFF}"/>
    <cellStyle name="40% - Accent1 2 3 2 3" xfId="4970" xr:uid="{00000000-0005-0000-0000-0000EF030000}"/>
    <cellStyle name="40% - Accent1 2 3 2 3 2" xfId="30309" xr:uid="{D8220429-0B90-4362-BB75-699D6EFC0B08}"/>
    <cellStyle name="40% - Accent1 2 3 2 3 3" xfId="21868" xr:uid="{EEE779DF-7153-4FC7-87C2-8BDE34060F49}"/>
    <cellStyle name="40% - Accent1 2 3 2 3 4" xfId="13420" xr:uid="{04F6CF49-A7B8-4158-9B14-7F7C0AC57072}"/>
    <cellStyle name="40% - Accent1 2 3 2 4" xfId="26091" xr:uid="{2853CC1F-1A5B-4AE1-8C60-55717A1BF356}"/>
    <cellStyle name="40% - Accent1 2 3 2 5" xfId="17650" xr:uid="{D053DF69-8F45-4A22-AB5A-CEC5D240D3C6}"/>
    <cellStyle name="40% - Accent1 2 3 2 6" xfId="9202" xr:uid="{F38C39F2-EB1F-43FE-9196-9500FF52F761}"/>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32867" xr:uid="{CAD21D35-1A1D-4B99-8297-CA8709458688}"/>
    <cellStyle name="40% - Accent1 2 3 3 2 2 3" xfId="24426" xr:uid="{D747BEB2-DB26-4F1E-9C3C-701D111FFB37}"/>
    <cellStyle name="40% - Accent1 2 3 3 2 2 4" xfId="15978" xr:uid="{BF644D0E-1C98-435A-B71B-76D5811D3264}"/>
    <cellStyle name="40% - Accent1 2 3 3 2 3" xfId="28649" xr:uid="{CD531BA2-E5FE-406E-938A-40091EC20F7A}"/>
    <cellStyle name="40% - Accent1 2 3 3 2 4" xfId="20208" xr:uid="{CD7E98B9-12E2-4F3C-9019-4466D97A8060}"/>
    <cellStyle name="40% - Accent1 2 3 3 2 5" xfId="11760" xr:uid="{4ED22F2A-A931-4812-8DE8-6C907B2B8600}"/>
    <cellStyle name="40% - Accent1 2 3 3 3" xfId="5383" xr:uid="{00000000-0005-0000-0000-0000F3030000}"/>
    <cellStyle name="40% - Accent1 2 3 3 3 2" xfId="30722" xr:uid="{E8641899-53D7-4754-9EE4-0A18562C6B40}"/>
    <cellStyle name="40% - Accent1 2 3 3 3 3" xfId="22281" xr:uid="{6ABC9DE9-FC75-4380-93A6-89EA99A4F61E}"/>
    <cellStyle name="40% - Accent1 2 3 3 3 4" xfId="13833" xr:uid="{0199B4EF-C382-4492-A5CB-8740C0ACD9A1}"/>
    <cellStyle name="40% - Accent1 2 3 3 4" xfId="26504" xr:uid="{50330808-91BE-45A7-AD41-D77C9AD0D1E8}"/>
    <cellStyle name="40% - Accent1 2 3 3 5" xfId="18063" xr:uid="{3F042D58-0999-45E4-84B1-20E00AFB9B24}"/>
    <cellStyle name="40% - Accent1 2 3 3 6" xfId="9615" xr:uid="{4AB9944E-C2A0-4193-A8F2-FC43CFD61AD5}"/>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33280" xr:uid="{C2E623BA-DC11-468F-A0BB-6FBACD66C674}"/>
    <cellStyle name="40% - Accent1 2 3 4 2 2 3" xfId="24839" xr:uid="{821C7D0F-1946-4A6B-95DB-83E6680D1C0A}"/>
    <cellStyle name="40% - Accent1 2 3 4 2 2 4" xfId="16391" xr:uid="{4AAD8BA9-877A-4C8E-8F49-FE4DE78BE218}"/>
    <cellStyle name="40% - Accent1 2 3 4 2 3" xfId="29062" xr:uid="{5C1D00BF-6AEB-4B30-A65A-B0839AB01E67}"/>
    <cellStyle name="40% - Accent1 2 3 4 2 4" xfId="20621" xr:uid="{8C5CF526-A1DF-484D-87FB-AB07EAC92445}"/>
    <cellStyle name="40% - Accent1 2 3 4 2 5" xfId="12173" xr:uid="{1290D5CB-DC59-401E-AFFE-F502AE1B87E0}"/>
    <cellStyle name="40% - Accent1 2 3 4 3" xfId="5796" xr:uid="{00000000-0005-0000-0000-0000F7030000}"/>
    <cellStyle name="40% - Accent1 2 3 4 3 2" xfId="31135" xr:uid="{DF8FBD21-7ADD-4D48-B917-C8B70A6975DD}"/>
    <cellStyle name="40% - Accent1 2 3 4 3 3" xfId="22694" xr:uid="{48668AFB-5834-4E95-8967-4964B7EB0A78}"/>
    <cellStyle name="40% - Accent1 2 3 4 3 4" xfId="14246" xr:uid="{2A76CB86-4DA0-483A-86BB-673327A7DA72}"/>
    <cellStyle name="40% - Accent1 2 3 4 4" xfId="26917" xr:uid="{1F221B43-E34F-4E76-BA19-633BCF5F5F42}"/>
    <cellStyle name="40% - Accent1 2 3 4 5" xfId="18476" xr:uid="{34FAFA49-7E07-4AED-854E-5236FBDDC541}"/>
    <cellStyle name="40% - Accent1 2 3 4 6" xfId="10028" xr:uid="{A41224A8-2A4C-4A65-A588-9F29649BE57D}"/>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33693" xr:uid="{B46DC48F-21D3-4F41-8358-CF7E2C054825}"/>
    <cellStyle name="40% - Accent1 2 3 5 2 2 3" xfId="25252" xr:uid="{B5C6A270-DC34-43C1-8BBC-FC434A7C36CA}"/>
    <cellStyle name="40% - Accent1 2 3 5 2 2 4" xfId="16804" xr:uid="{3E270E6F-F0C5-4D29-864C-76FE22D47F2C}"/>
    <cellStyle name="40% - Accent1 2 3 5 2 3" xfId="29475" xr:uid="{AC9EB0A4-A3D4-46AC-B828-7DD320CA04C0}"/>
    <cellStyle name="40% - Accent1 2 3 5 2 4" xfId="21034" xr:uid="{64711970-09C1-49C8-8817-0D8AEF63E45A}"/>
    <cellStyle name="40% - Accent1 2 3 5 2 5" xfId="12586" xr:uid="{33374B18-93F6-4F2E-815A-7746BB3CE943}"/>
    <cellStyle name="40% - Accent1 2 3 5 3" xfId="6209" xr:uid="{00000000-0005-0000-0000-0000FB030000}"/>
    <cellStyle name="40% - Accent1 2 3 5 3 2" xfId="31548" xr:uid="{21D44A7F-2DEC-405A-A2B8-0CFE84974D70}"/>
    <cellStyle name="40% - Accent1 2 3 5 3 3" xfId="23107" xr:uid="{BE197DA2-3B3F-4C44-B9A9-60FA58A3218C}"/>
    <cellStyle name="40% - Accent1 2 3 5 3 4" xfId="14659" xr:uid="{89BDEDCA-B522-4A8D-B8D7-9FC67F85D7A7}"/>
    <cellStyle name="40% - Accent1 2 3 5 4" xfId="27330" xr:uid="{CD694B01-BB4A-4431-97DB-0ACD2682EEEB}"/>
    <cellStyle name="40% - Accent1 2 3 5 5" xfId="18889" xr:uid="{A9E12369-1501-4882-B72C-073750713EE2}"/>
    <cellStyle name="40% - Accent1 2 3 5 6" xfId="10441" xr:uid="{F6C171DE-2745-4DE6-9654-445B70D4241E}"/>
    <cellStyle name="40% - Accent1 2 3 6" xfId="2316" xr:uid="{00000000-0005-0000-0000-0000FC030000}"/>
    <cellStyle name="40% - Accent1 2 3 6 2" xfId="6622" xr:uid="{00000000-0005-0000-0000-0000FD030000}"/>
    <cellStyle name="40% - Accent1 2 3 6 2 2" xfId="31961" xr:uid="{DC14AF0F-8BC9-40DA-BEF3-3F9A62200231}"/>
    <cellStyle name="40% - Accent1 2 3 6 2 3" xfId="23520" xr:uid="{46FC2BB3-8A03-4073-88C7-E7561EB36E7A}"/>
    <cellStyle name="40% - Accent1 2 3 6 2 4" xfId="15072" xr:uid="{4C25FB3A-5E18-4E4D-86D2-AEF3C9571570}"/>
    <cellStyle name="40% - Accent1 2 3 6 3" xfId="27743" xr:uid="{3B814A07-D4B0-42A7-A19C-289A46D0CA78}"/>
    <cellStyle name="40% - Accent1 2 3 6 4" xfId="19302" xr:uid="{C7789660-9BDA-4664-BAD4-D6C5544BEEC2}"/>
    <cellStyle name="40% - Accent1 2 3 6 5" xfId="10854" xr:uid="{33CF4D90-6E7E-4D23-A0AD-03F37071DA30}"/>
    <cellStyle name="40% - Accent1 2 3 7" xfId="4556" xr:uid="{00000000-0005-0000-0000-0000FE030000}"/>
    <cellStyle name="40% - Accent1 2 3 7 2" xfId="29895" xr:uid="{59170892-7E8F-423A-B159-3D7DCE177412}"/>
    <cellStyle name="40% - Accent1 2 3 7 3" xfId="21454" xr:uid="{C2DC29A2-22DE-4BCC-84EB-84A7D9D57688}"/>
    <cellStyle name="40% - Accent1 2 3 7 4" xfId="13006" xr:uid="{89E66876-DA73-44AE-B8FF-92501D6B85E4}"/>
    <cellStyle name="40% - Accent1 2 3 8" xfId="25677" xr:uid="{FA0B3F8F-288A-4C5F-B6AE-A0AA0248B805}"/>
    <cellStyle name="40% - Accent1 2 3 9" xfId="17236" xr:uid="{E64771C0-C40A-40C0-9186-E56217C2844E}"/>
    <cellStyle name="40% - Accent1 2 4" xfId="619" xr:uid="{00000000-0005-0000-0000-0000FF030000}"/>
    <cellStyle name="40% - Accent1 2 4 2" xfId="2890" xr:uid="{00000000-0005-0000-0000-000000040000}"/>
    <cellStyle name="40% - Accent1 2 4 2 2" xfId="7112" xr:uid="{00000000-0005-0000-0000-000001040000}"/>
    <cellStyle name="40% - Accent1 2 4 2 2 2" xfId="32451" xr:uid="{CBEDBD74-33DD-4925-8988-E0E83C35EBE8}"/>
    <cellStyle name="40% - Accent1 2 4 2 2 3" xfId="24010" xr:uid="{DE8DD60F-8DC2-40D9-8013-1B7E69776625}"/>
    <cellStyle name="40% - Accent1 2 4 2 2 4" xfId="15562" xr:uid="{DA031E13-0A22-492D-9533-FF21BFD1561B}"/>
    <cellStyle name="40% - Accent1 2 4 2 3" xfId="28233" xr:uid="{42F58325-3590-469A-BA75-727BD9A9A311}"/>
    <cellStyle name="40% - Accent1 2 4 2 4" xfId="19792" xr:uid="{DD80E853-F989-497E-AFE7-13D45067C78C}"/>
    <cellStyle name="40% - Accent1 2 4 2 5" xfId="11344" xr:uid="{F422E1B6-9E16-47AE-97C3-4DD7DD74283A}"/>
    <cellStyle name="40% - Accent1 2 4 3" xfId="4967" xr:uid="{00000000-0005-0000-0000-000002040000}"/>
    <cellStyle name="40% - Accent1 2 4 3 2" xfId="30306" xr:uid="{7DFC51CF-1CB4-434E-9AA7-07C75D8C0A67}"/>
    <cellStyle name="40% - Accent1 2 4 3 3" xfId="21865" xr:uid="{AC4C26F8-5229-416E-A4A6-7844B405764A}"/>
    <cellStyle name="40% - Accent1 2 4 3 4" xfId="13417" xr:uid="{A37DDF8D-563D-41FC-89AE-A1EC4C110B67}"/>
    <cellStyle name="40% - Accent1 2 4 4" xfId="26088" xr:uid="{4E57244A-AABD-478A-BA60-B508FD63518C}"/>
    <cellStyle name="40% - Accent1 2 4 5" xfId="17647" xr:uid="{268CB50D-408F-4165-AA80-1265F008EA59}"/>
    <cellStyle name="40% - Accent1 2 4 6" xfId="9199" xr:uid="{6DBBDE09-F51B-41C1-A40A-59C3D063F94A}"/>
    <cellStyle name="40% - Accent1 2 5" xfId="1072" xr:uid="{00000000-0005-0000-0000-000003040000}"/>
    <cellStyle name="40% - Accent1 2 5 2" xfId="3303" xr:uid="{00000000-0005-0000-0000-000004040000}"/>
    <cellStyle name="40% - Accent1 2 5 2 2" xfId="7525" xr:uid="{00000000-0005-0000-0000-000005040000}"/>
    <cellStyle name="40% - Accent1 2 5 2 2 2" xfId="32864" xr:uid="{FA363BC2-01C1-4540-8182-2FD6CCAC9F9D}"/>
    <cellStyle name="40% - Accent1 2 5 2 2 3" xfId="24423" xr:uid="{69E4F9F2-AE37-4EDA-A029-49318E9DCAFB}"/>
    <cellStyle name="40% - Accent1 2 5 2 2 4" xfId="15975" xr:uid="{19779FDC-5C23-46F8-AD6B-4021E80AE16E}"/>
    <cellStyle name="40% - Accent1 2 5 2 3" xfId="28646" xr:uid="{7994CC0C-056E-4928-B04A-AEE0E449D524}"/>
    <cellStyle name="40% - Accent1 2 5 2 4" xfId="20205" xr:uid="{50866AD8-214D-4B90-AAB0-949FD3C4BF4B}"/>
    <cellStyle name="40% - Accent1 2 5 2 5" xfId="11757" xr:uid="{803666BF-335C-4C06-B1DA-4A2FC9150066}"/>
    <cellStyle name="40% - Accent1 2 5 3" xfId="5380" xr:uid="{00000000-0005-0000-0000-000006040000}"/>
    <cellStyle name="40% - Accent1 2 5 3 2" xfId="30719" xr:uid="{42D5214F-4172-42B8-980A-79ED20EFC8BB}"/>
    <cellStyle name="40% - Accent1 2 5 3 3" xfId="22278" xr:uid="{BA8318CE-A94B-474A-86FE-A5EDDC31CA40}"/>
    <cellStyle name="40% - Accent1 2 5 3 4" xfId="13830" xr:uid="{3A4BBB36-0B29-4049-8B67-E3A6F087A656}"/>
    <cellStyle name="40% - Accent1 2 5 4" xfId="26501" xr:uid="{D060162F-737B-4463-9D46-E2B9452A1A16}"/>
    <cellStyle name="40% - Accent1 2 5 5" xfId="18060" xr:uid="{C9F78DDB-4032-4503-AAD5-B2FF8B6EE7E1}"/>
    <cellStyle name="40% - Accent1 2 5 6" xfId="9612" xr:uid="{7DB10C58-86E5-498E-B0C4-65E98ABAA153}"/>
    <cellStyle name="40% - Accent1 2 6" xfId="1486" xr:uid="{00000000-0005-0000-0000-000007040000}"/>
    <cellStyle name="40% - Accent1 2 6 2" xfId="3716" xr:uid="{00000000-0005-0000-0000-000008040000}"/>
    <cellStyle name="40% - Accent1 2 6 2 2" xfId="7938" xr:uid="{00000000-0005-0000-0000-000009040000}"/>
    <cellStyle name="40% - Accent1 2 6 2 2 2" xfId="33277" xr:uid="{E6087566-6DA4-4CAF-B1AB-62C41219EF06}"/>
    <cellStyle name="40% - Accent1 2 6 2 2 3" xfId="24836" xr:uid="{4DB918A6-96BF-486A-9668-16126F25256A}"/>
    <cellStyle name="40% - Accent1 2 6 2 2 4" xfId="16388" xr:uid="{B474C90B-D864-4894-AC11-16310FBD9AA6}"/>
    <cellStyle name="40% - Accent1 2 6 2 3" xfId="29059" xr:uid="{35E4BEC1-0B5C-47CE-9845-B034642B6E45}"/>
    <cellStyle name="40% - Accent1 2 6 2 4" xfId="20618" xr:uid="{D98170A6-E840-4EDA-936B-3DD216E8EC43}"/>
    <cellStyle name="40% - Accent1 2 6 2 5" xfId="12170" xr:uid="{B2BC1A3C-43EC-4FA6-BB0B-9946BAB2A45C}"/>
    <cellStyle name="40% - Accent1 2 6 3" xfId="5793" xr:uid="{00000000-0005-0000-0000-00000A040000}"/>
    <cellStyle name="40% - Accent1 2 6 3 2" xfId="31132" xr:uid="{C02D9427-16E4-46BE-9157-A257AB649801}"/>
    <cellStyle name="40% - Accent1 2 6 3 3" xfId="22691" xr:uid="{B629B8F2-56AC-46B1-AC89-DA05802C3F85}"/>
    <cellStyle name="40% - Accent1 2 6 3 4" xfId="14243" xr:uid="{08A906C3-3AB8-48DA-9BBD-B109E99D99B0}"/>
    <cellStyle name="40% - Accent1 2 6 4" xfId="26914" xr:uid="{7B897E8D-B20D-4820-92D0-7674C6BCEAAF}"/>
    <cellStyle name="40% - Accent1 2 6 5" xfId="18473" xr:uid="{241689AB-3778-4061-84C3-81C429A2B03C}"/>
    <cellStyle name="40% - Accent1 2 6 6" xfId="10025" xr:uid="{EFA7A0DE-C55B-4A66-A201-03757D605ECE}"/>
    <cellStyle name="40% - Accent1 2 7" xfId="1900" xr:uid="{00000000-0005-0000-0000-00000B040000}"/>
    <cellStyle name="40% - Accent1 2 7 2" xfId="4129" xr:uid="{00000000-0005-0000-0000-00000C040000}"/>
    <cellStyle name="40% - Accent1 2 7 2 2" xfId="8351" xr:uid="{00000000-0005-0000-0000-00000D040000}"/>
    <cellStyle name="40% - Accent1 2 7 2 2 2" xfId="33690" xr:uid="{B932493B-5C92-423E-96D1-035C12CB2087}"/>
    <cellStyle name="40% - Accent1 2 7 2 2 3" xfId="25249" xr:uid="{AD9527F3-645C-4B24-BC84-DCACF1DCC73F}"/>
    <cellStyle name="40% - Accent1 2 7 2 2 4" xfId="16801" xr:uid="{C310F330-B694-45BC-989F-8BC95B821646}"/>
    <cellStyle name="40% - Accent1 2 7 2 3" xfId="29472" xr:uid="{FC35ACE1-4007-4639-99A1-8718D05C4C0F}"/>
    <cellStyle name="40% - Accent1 2 7 2 4" xfId="21031" xr:uid="{DCFA6A23-B787-46F0-AA5F-61750A3F41A3}"/>
    <cellStyle name="40% - Accent1 2 7 2 5" xfId="12583" xr:uid="{653F473A-85C6-46A0-B7A9-B18B406CD466}"/>
    <cellStyle name="40% - Accent1 2 7 3" xfId="6206" xr:uid="{00000000-0005-0000-0000-00000E040000}"/>
    <cellStyle name="40% - Accent1 2 7 3 2" xfId="31545" xr:uid="{9C00106E-545E-4C81-8B7E-59DBDDA8E5B1}"/>
    <cellStyle name="40% - Accent1 2 7 3 3" xfId="23104" xr:uid="{A54F2E48-01BA-4F20-8BBD-A9064A313D0D}"/>
    <cellStyle name="40% - Accent1 2 7 3 4" xfId="14656" xr:uid="{0CC7285D-1E91-48AF-811B-E0941B95BBC1}"/>
    <cellStyle name="40% - Accent1 2 7 4" xfId="27327" xr:uid="{89E7B25F-6260-4529-B001-9C74BFE2CB4F}"/>
    <cellStyle name="40% - Accent1 2 7 5" xfId="18886" xr:uid="{72ADF2B5-E9D4-484F-B3AD-BB7B78D47AB8}"/>
    <cellStyle name="40% - Accent1 2 7 6" xfId="10438" xr:uid="{E74B4EDC-1432-4220-87E3-BBAF66219B8D}"/>
    <cellStyle name="40% - Accent1 2 8" xfId="2313" xr:uid="{00000000-0005-0000-0000-00000F040000}"/>
    <cellStyle name="40% - Accent1 2 8 2" xfId="6619" xr:uid="{00000000-0005-0000-0000-000010040000}"/>
    <cellStyle name="40% - Accent1 2 8 2 2" xfId="31958" xr:uid="{BFA802F7-61BD-49CE-BEE2-895C0D0D70FF}"/>
    <cellStyle name="40% - Accent1 2 8 2 3" xfId="23517" xr:uid="{06B95834-CC4E-4F5C-AE20-6B725ECBE377}"/>
    <cellStyle name="40% - Accent1 2 8 2 4" xfId="15069" xr:uid="{A307789F-9040-44F0-9589-FCA8E7E0AB35}"/>
    <cellStyle name="40% - Accent1 2 8 3" xfId="27740" xr:uid="{F07C6442-97EA-415B-A5BA-AD4CFFF1DC4F}"/>
    <cellStyle name="40% - Accent1 2 8 4" xfId="19299" xr:uid="{08B95D5F-97D5-4319-8096-0F3AC0B59F08}"/>
    <cellStyle name="40% - Accent1 2 8 5" xfId="10851" xr:uid="{ACCC056A-62CE-4CEA-B0D5-6282754EFB3C}"/>
    <cellStyle name="40% - Accent1 2 9" xfId="4553" xr:uid="{00000000-0005-0000-0000-000011040000}"/>
    <cellStyle name="40% - Accent1 2 9 2" xfId="29892" xr:uid="{4D32D04F-310A-4869-B508-2CB26CD37A86}"/>
    <cellStyle name="40% - Accent1 2 9 3" xfId="21451" xr:uid="{B00AE429-CE7B-4810-90B2-083863D54D08}"/>
    <cellStyle name="40% - Accent1 2 9 4" xfId="13003" xr:uid="{2455304D-7DAA-4AF0-9D6D-F92E721F5310}"/>
    <cellStyle name="40% - Accent1 3" xfId="54" xr:uid="{00000000-0005-0000-0000-000012040000}"/>
    <cellStyle name="40% - Accent1 3 10" xfId="17237" xr:uid="{E9AE47E8-4CE8-41E6-A028-ECCEAFDD06FA}"/>
    <cellStyle name="40% - Accent1 3 11" xfId="8789" xr:uid="{02FBF2DC-AE98-4744-AFB2-80B7538F5689}"/>
    <cellStyle name="40% - Accent1 3 2" xfId="55" xr:uid="{00000000-0005-0000-0000-000013040000}"/>
    <cellStyle name="40% - Accent1 3 2 10" xfId="8790" xr:uid="{25A17B42-FC18-4F44-B2E8-4DA347D74994}"/>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32456" xr:uid="{83851E0D-40C6-4D2C-9D16-362CEFDFCDF6}"/>
    <cellStyle name="40% - Accent1 3 2 2 2 2 3" xfId="24015" xr:uid="{91CB9CAC-D66A-4CD0-B6B6-90A3E4003299}"/>
    <cellStyle name="40% - Accent1 3 2 2 2 2 4" xfId="15567" xr:uid="{1D4BDF3D-A4CD-4EB3-936A-B5F20AD17833}"/>
    <cellStyle name="40% - Accent1 3 2 2 2 3" xfId="28238" xr:uid="{6D2A5D48-2285-4E7F-A111-0F6B0258D231}"/>
    <cellStyle name="40% - Accent1 3 2 2 2 4" xfId="19797" xr:uid="{3D24187F-34AE-4845-BADB-FD1FED134FAA}"/>
    <cellStyle name="40% - Accent1 3 2 2 2 5" xfId="11349" xr:uid="{604F601F-F1F7-466B-BFDA-8499053A54DA}"/>
    <cellStyle name="40% - Accent1 3 2 2 3" xfId="4972" xr:uid="{00000000-0005-0000-0000-000017040000}"/>
    <cellStyle name="40% - Accent1 3 2 2 3 2" xfId="30311" xr:uid="{B2AF55CC-ABCC-4D09-97F3-8282B5EEE49F}"/>
    <cellStyle name="40% - Accent1 3 2 2 3 3" xfId="21870" xr:uid="{BD870088-6469-42B0-95F8-A37F54193012}"/>
    <cellStyle name="40% - Accent1 3 2 2 3 4" xfId="13422" xr:uid="{9931C2C1-38E8-405C-A2CD-17196AB9E6BE}"/>
    <cellStyle name="40% - Accent1 3 2 2 4" xfId="26093" xr:uid="{1B3D56B4-A2BE-4CDE-969A-01D672860E64}"/>
    <cellStyle name="40% - Accent1 3 2 2 5" xfId="17652" xr:uid="{90396C90-EB86-4718-8A95-83B4E97B6CC9}"/>
    <cellStyle name="40% - Accent1 3 2 2 6" xfId="9204" xr:uid="{110D3030-02D1-441A-A046-7AEB356621E5}"/>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32869" xr:uid="{30365E50-A0E8-4883-8D81-72320E236DE4}"/>
    <cellStyle name="40% - Accent1 3 2 3 2 2 3" xfId="24428" xr:uid="{01FED86D-5492-4C2C-8DED-6573B5A279F7}"/>
    <cellStyle name="40% - Accent1 3 2 3 2 2 4" xfId="15980" xr:uid="{046AB2D9-07B7-4147-9FE3-41E441AD8AF9}"/>
    <cellStyle name="40% - Accent1 3 2 3 2 3" xfId="28651" xr:uid="{8850D788-456C-463C-886A-2026F4CE56B1}"/>
    <cellStyle name="40% - Accent1 3 2 3 2 4" xfId="20210" xr:uid="{1401AB45-3E7E-464A-AC5E-B810E42A53A4}"/>
    <cellStyle name="40% - Accent1 3 2 3 2 5" xfId="11762" xr:uid="{D988E0DA-F0B9-4911-9D2E-BCC66F37C5BE}"/>
    <cellStyle name="40% - Accent1 3 2 3 3" xfId="5385" xr:uid="{00000000-0005-0000-0000-00001B040000}"/>
    <cellStyle name="40% - Accent1 3 2 3 3 2" xfId="30724" xr:uid="{8AB5E475-CD96-41D5-96D3-E604788CB60D}"/>
    <cellStyle name="40% - Accent1 3 2 3 3 3" xfId="22283" xr:uid="{4E37ED46-4C5B-4E09-A320-B4D34CE0FC5B}"/>
    <cellStyle name="40% - Accent1 3 2 3 3 4" xfId="13835" xr:uid="{36C57836-6C41-4081-BF5B-583D0342B69E}"/>
    <cellStyle name="40% - Accent1 3 2 3 4" xfId="26506" xr:uid="{115168BA-2279-428E-9B86-EAE1E33A5183}"/>
    <cellStyle name="40% - Accent1 3 2 3 5" xfId="18065" xr:uid="{593ABD12-A69E-4375-8185-C7F34B47980E}"/>
    <cellStyle name="40% - Accent1 3 2 3 6" xfId="9617" xr:uid="{626D2F05-EA0A-4BFC-910C-4B43E68AD39F}"/>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33282" xr:uid="{2AA65F63-9E6D-4643-8721-6469D6411D53}"/>
    <cellStyle name="40% - Accent1 3 2 4 2 2 3" xfId="24841" xr:uid="{F138EF83-6733-48A9-9858-C5A04EC2F6D6}"/>
    <cellStyle name="40% - Accent1 3 2 4 2 2 4" xfId="16393" xr:uid="{31CA6970-118E-4F02-B729-1FD4E08A1546}"/>
    <cellStyle name="40% - Accent1 3 2 4 2 3" xfId="29064" xr:uid="{0E2F7FD0-07B3-4A91-818D-AD6EEE854A47}"/>
    <cellStyle name="40% - Accent1 3 2 4 2 4" xfId="20623" xr:uid="{EB6E65A1-6436-4251-8585-A8CB0BAF5618}"/>
    <cellStyle name="40% - Accent1 3 2 4 2 5" xfId="12175" xr:uid="{CFE6DA69-0B18-4584-AF66-1EC0F0902922}"/>
    <cellStyle name="40% - Accent1 3 2 4 3" xfId="5798" xr:uid="{00000000-0005-0000-0000-00001F040000}"/>
    <cellStyle name="40% - Accent1 3 2 4 3 2" xfId="31137" xr:uid="{3F1BFAB0-1BA2-4655-8B93-42EB0CB1FFEC}"/>
    <cellStyle name="40% - Accent1 3 2 4 3 3" xfId="22696" xr:uid="{9FDBA08B-569E-4C16-A3ED-4230EF11EB99}"/>
    <cellStyle name="40% - Accent1 3 2 4 3 4" xfId="14248" xr:uid="{3F16AB05-A8A0-4686-8D5E-08CFBA18F39A}"/>
    <cellStyle name="40% - Accent1 3 2 4 4" xfId="26919" xr:uid="{83FECFAA-895C-4690-AFF1-D252DD479EC2}"/>
    <cellStyle name="40% - Accent1 3 2 4 5" xfId="18478" xr:uid="{A4B234F2-20BF-4413-9D97-91A079D52443}"/>
    <cellStyle name="40% - Accent1 3 2 4 6" xfId="10030" xr:uid="{53B4F5B8-94B6-4F14-B895-C5802B01CE7D}"/>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33695" xr:uid="{8313D6CA-82A6-4822-A096-7240B156A746}"/>
    <cellStyle name="40% - Accent1 3 2 5 2 2 3" xfId="25254" xr:uid="{218579BF-4D69-4DE7-964C-9DBA41045052}"/>
    <cellStyle name="40% - Accent1 3 2 5 2 2 4" xfId="16806" xr:uid="{0A34F243-D532-4406-A8E5-F6467A1991E8}"/>
    <cellStyle name="40% - Accent1 3 2 5 2 3" xfId="29477" xr:uid="{CBE6FFDD-9475-437B-B15E-EBB92E08CA50}"/>
    <cellStyle name="40% - Accent1 3 2 5 2 4" xfId="21036" xr:uid="{7935FD74-200D-4C0F-9AD3-5E5154CE7712}"/>
    <cellStyle name="40% - Accent1 3 2 5 2 5" xfId="12588" xr:uid="{BE55A4B2-EDB1-4A9C-B731-A21A5ED05191}"/>
    <cellStyle name="40% - Accent1 3 2 5 3" xfId="6211" xr:uid="{00000000-0005-0000-0000-000023040000}"/>
    <cellStyle name="40% - Accent1 3 2 5 3 2" xfId="31550" xr:uid="{1B6F9D05-B031-4466-8B2B-61D91D361A7D}"/>
    <cellStyle name="40% - Accent1 3 2 5 3 3" xfId="23109" xr:uid="{A31A9880-F3BF-482A-84B0-0C6BAD8C792F}"/>
    <cellStyle name="40% - Accent1 3 2 5 3 4" xfId="14661" xr:uid="{0F450A11-1220-4D0E-85BD-665B6A8428E8}"/>
    <cellStyle name="40% - Accent1 3 2 5 4" xfId="27332" xr:uid="{750890AA-7774-415D-A1D1-A01B93E4869D}"/>
    <cellStyle name="40% - Accent1 3 2 5 5" xfId="18891" xr:uid="{DBAD4A3D-4149-4B70-8E31-04AC0A210CCA}"/>
    <cellStyle name="40% - Accent1 3 2 5 6" xfId="10443" xr:uid="{F44D66E1-D941-4B26-99D1-47BDB19C3424}"/>
    <cellStyle name="40% - Accent1 3 2 6" xfId="2318" xr:uid="{00000000-0005-0000-0000-000024040000}"/>
    <cellStyle name="40% - Accent1 3 2 6 2" xfId="6624" xr:uid="{00000000-0005-0000-0000-000025040000}"/>
    <cellStyle name="40% - Accent1 3 2 6 2 2" xfId="31963" xr:uid="{B5816A83-2E21-408D-8061-86352BC114A2}"/>
    <cellStyle name="40% - Accent1 3 2 6 2 3" xfId="23522" xr:uid="{765E68B2-595D-42A8-9A60-BB02A2B6E261}"/>
    <cellStyle name="40% - Accent1 3 2 6 2 4" xfId="15074" xr:uid="{A5E4756D-9973-4469-9B3C-4786BF0F1AE7}"/>
    <cellStyle name="40% - Accent1 3 2 6 3" xfId="27745" xr:uid="{1CE4407C-80EF-411F-A63D-6EAD07687EA2}"/>
    <cellStyle name="40% - Accent1 3 2 6 4" xfId="19304" xr:uid="{9FD6974C-1917-4462-ABC6-CB3E055F18FD}"/>
    <cellStyle name="40% - Accent1 3 2 6 5" xfId="10856" xr:uid="{4FED5552-7655-477F-86C6-71567206CAA5}"/>
    <cellStyle name="40% - Accent1 3 2 7" xfId="4558" xr:uid="{00000000-0005-0000-0000-000026040000}"/>
    <cellStyle name="40% - Accent1 3 2 7 2" xfId="29897" xr:uid="{DA6736EC-686F-4704-8408-371AAFABC7CA}"/>
    <cellStyle name="40% - Accent1 3 2 7 3" xfId="21456" xr:uid="{2607FEEA-931E-4B27-B91E-4D38D250B03F}"/>
    <cellStyle name="40% - Accent1 3 2 7 4" xfId="13008" xr:uid="{5FCEC364-AA2F-4FC8-B117-23C79E1EF7DC}"/>
    <cellStyle name="40% - Accent1 3 2 8" xfId="25679" xr:uid="{50782ED2-669E-4ACC-8931-1BFEAAC499DF}"/>
    <cellStyle name="40% - Accent1 3 2 9" xfId="17238" xr:uid="{F9ACF0FC-8F27-4E32-B0C2-F03F190B4227}"/>
    <cellStyle name="40% - Accent1 3 3" xfId="623" xr:uid="{00000000-0005-0000-0000-000027040000}"/>
    <cellStyle name="40% - Accent1 3 3 2" xfId="2894" xr:uid="{00000000-0005-0000-0000-000028040000}"/>
    <cellStyle name="40% - Accent1 3 3 2 2" xfId="7116" xr:uid="{00000000-0005-0000-0000-000029040000}"/>
    <cellStyle name="40% - Accent1 3 3 2 2 2" xfId="32455" xr:uid="{5B163325-3A18-434B-AF65-9369151731C2}"/>
    <cellStyle name="40% - Accent1 3 3 2 2 3" xfId="24014" xr:uid="{93BFDF3A-75A4-4272-86D4-B15F35A6E97B}"/>
    <cellStyle name="40% - Accent1 3 3 2 2 4" xfId="15566" xr:uid="{62F17428-A6C7-456D-BE17-6F1EA4CFB4BF}"/>
    <cellStyle name="40% - Accent1 3 3 2 3" xfId="28237" xr:uid="{9F15DAF7-BAF8-4D32-BB83-97C353CA295E}"/>
    <cellStyle name="40% - Accent1 3 3 2 4" xfId="19796" xr:uid="{50428FD0-3F8B-416A-99E9-E1CA0EF7731E}"/>
    <cellStyle name="40% - Accent1 3 3 2 5" xfId="11348" xr:uid="{D643F8DB-0D1A-44E5-8F56-EE3A9F01F33B}"/>
    <cellStyle name="40% - Accent1 3 3 3" xfId="4971" xr:uid="{00000000-0005-0000-0000-00002A040000}"/>
    <cellStyle name="40% - Accent1 3 3 3 2" xfId="30310" xr:uid="{DBE52582-A01A-4E4B-8D30-3A3EE7FD7B10}"/>
    <cellStyle name="40% - Accent1 3 3 3 3" xfId="21869" xr:uid="{F5CD647F-3D98-4122-9C28-9FE59B972121}"/>
    <cellStyle name="40% - Accent1 3 3 3 4" xfId="13421" xr:uid="{DFEAF00D-DDBC-4637-A481-406BB18936E9}"/>
    <cellStyle name="40% - Accent1 3 3 4" xfId="26092" xr:uid="{B0536262-FB22-4876-A73A-F8A0DCC33FAA}"/>
    <cellStyle name="40% - Accent1 3 3 5" xfId="17651" xr:uid="{97D2816B-F585-45ED-819E-F6FE72CFE485}"/>
    <cellStyle name="40% - Accent1 3 3 6" xfId="9203" xr:uid="{E2729DC7-7FA6-465B-8DC8-5BD012D7E9CC}"/>
    <cellStyle name="40% - Accent1 3 4" xfId="1076" xr:uid="{00000000-0005-0000-0000-00002B040000}"/>
    <cellStyle name="40% - Accent1 3 4 2" xfId="3307" xr:uid="{00000000-0005-0000-0000-00002C040000}"/>
    <cellStyle name="40% - Accent1 3 4 2 2" xfId="7529" xr:uid="{00000000-0005-0000-0000-00002D040000}"/>
    <cellStyle name="40% - Accent1 3 4 2 2 2" xfId="32868" xr:uid="{299E4B31-F8C9-427C-8DF2-0E79CDD1ABE7}"/>
    <cellStyle name="40% - Accent1 3 4 2 2 3" xfId="24427" xr:uid="{588D31C4-61CF-4074-81E2-D6B738BD6A08}"/>
    <cellStyle name="40% - Accent1 3 4 2 2 4" xfId="15979" xr:uid="{E2985897-FAB9-4B70-86A5-3584674F2FB8}"/>
    <cellStyle name="40% - Accent1 3 4 2 3" xfId="28650" xr:uid="{C0E1C2F0-1AE4-4B2C-9EF6-DC7B5A88FBEE}"/>
    <cellStyle name="40% - Accent1 3 4 2 4" xfId="20209" xr:uid="{7CE809AC-ABAB-4B13-89A1-BEE0424E4D92}"/>
    <cellStyle name="40% - Accent1 3 4 2 5" xfId="11761" xr:uid="{CA684B8A-267B-48D0-B5B2-0DBFAB5CBE88}"/>
    <cellStyle name="40% - Accent1 3 4 3" xfId="5384" xr:uid="{00000000-0005-0000-0000-00002E040000}"/>
    <cellStyle name="40% - Accent1 3 4 3 2" xfId="30723" xr:uid="{68B1C7BD-976D-4DB2-8705-FEBC49A0712B}"/>
    <cellStyle name="40% - Accent1 3 4 3 3" xfId="22282" xr:uid="{D4F2118B-D2BA-459D-AE11-1ECEC542BA60}"/>
    <cellStyle name="40% - Accent1 3 4 3 4" xfId="13834" xr:uid="{0713409A-8540-4D99-A626-FDCAA9E29D83}"/>
    <cellStyle name="40% - Accent1 3 4 4" xfId="26505" xr:uid="{4F6C8863-1034-4B1C-9FB2-24B6C0ADA1BB}"/>
    <cellStyle name="40% - Accent1 3 4 5" xfId="18064" xr:uid="{90476F4A-C60F-4F47-9904-B4FD8E125FC0}"/>
    <cellStyle name="40% - Accent1 3 4 6" xfId="9616" xr:uid="{671D1135-DFB4-4860-BB99-623E3F87F498}"/>
    <cellStyle name="40% - Accent1 3 5" xfId="1490" xr:uid="{00000000-0005-0000-0000-00002F040000}"/>
    <cellStyle name="40% - Accent1 3 5 2" xfId="3720" xr:uid="{00000000-0005-0000-0000-000030040000}"/>
    <cellStyle name="40% - Accent1 3 5 2 2" xfId="7942" xr:uid="{00000000-0005-0000-0000-000031040000}"/>
    <cellStyle name="40% - Accent1 3 5 2 2 2" xfId="33281" xr:uid="{8FBB1E1C-89BD-44B1-8AE5-5129C8CD9340}"/>
    <cellStyle name="40% - Accent1 3 5 2 2 3" xfId="24840" xr:uid="{13AE756B-028F-4DBF-A460-27E84B869354}"/>
    <cellStyle name="40% - Accent1 3 5 2 2 4" xfId="16392" xr:uid="{0511C265-BA46-4E88-A3E7-056BF0CA5980}"/>
    <cellStyle name="40% - Accent1 3 5 2 3" xfId="29063" xr:uid="{96D5EE3F-65CE-47C8-A550-8E43FB56280D}"/>
    <cellStyle name="40% - Accent1 3 5 2 4" xfId="20622" xr:uid="{AC6DD6B0-0766-4331-B8C5-652262A48601}"/>
    <cellStyle name="40% - Accent1 3 5 2 5" xfId="12174" xr:uid="{7D17DAE4-E2FA-4329-95DC-8C356A31CAA2}"/>
    <cellStyle name="40% - Accent1 3 5 3" xfId="5797" xr:uid="{00000000-0005-0000-0000-000032040000}"/>
    <cellStyle name="40% - Accent1 3 5 3 2" xfId="31136" xr:uid="{384D530F-7392-41E6-BC95-6234D6A80C1D}"/>
    <cellStyle name="40% - Accent1 3 5 3 3" xfId="22695" xr:uid="{09AE7849-A9F2-4695-B6C1-495EBCDB8D19}"/>
    <cellStyle name="40% - Accent1 3 5 3 4" xfId="14247" xr:uid="{261D3B90-B839-45EC-A4E0-DF99415BBA02}"/>
    <cellStyle name="40% - Accent1 3 5 4" xfId="26918" xr:uid="{43F3D02C-97C2-49DE-8F26-09FFA221952B}"/>
    <cellStyle name="40% - Accent1 3 5 5" xfId="18477" xr:uid="{B766C378-F781-4820-9D72-7AE073025380}"/>
    <cellStyle name="40% - Accent1 3 5 6" xfId="10029" xr:uid="{00048167-AA06-42CA-B4BC-D8C6C8F9FD42}"/>
    <cellStyle name="40% - Accent1 3 6" xfId="1904" xr:uid="{00000000-0005-0000-0000-000033040000}"/>
    <cellStyle name="40% - Accent1 3 6 2" xfId="4133" xr:uid="{00000000-0005-0000-0000-000034040000}"/>
    <cellStyle name="40% - Accent1 3 6 2 2" xfId="8355" xr:uid="{00000000-0005-0000-0000-000035040000}"/>
    <cellStyle name="40% - Accent1 3 6 2 2 2" xfId="33694" xr:uid="{77DBA526-8E42-45B4-86C8-92219899A66F}"/>
    <cellStyle name="40% - Accent1 3 6 2 2 3" xfId="25253" xr:uid="{86409683-DE80-4B79-B4F4-65DE491662F4}"/>
    <cellStyle name="40% - Accent1 3 6 2 2 4" xfId="16805" xr:uid="{BF326FDB-2E3E-44FB-90A8-B176D5872DAB}"/>
    <cellStyle name="40% - Accent1 3 6 2 3" xfId="29476" xr:uid="{F75351E3-30D5-4307-8DE2-08AD8BB55891}"/>
    <cellStyle name="40% - Accent1 3 6 2 4" xfId="21035" xr:uid="{C0D8D26D-3C95-434E-95A1-1A1776AD6A7D}"/>
    <cellStyle name="40% - Accent1 3 6 2 5" xfId="12587" xr:uid="{B450489E-910E-4FB6-883E-74FAE33D29BC}"/>
    <cellStyle name="40% - Accent1 3 6 3" xfId="6210" xr:uid="{00000000-0005-0000-0000-000036040000}"/>
    <cellStyle name="40% - Accent1 3 6 3 2" xfId="31549" xr:uid="{105547E8-85E6-437A-8988-840DD38A92CB}"/>
    <cellStyle name="40% - Accent1 3 6 3 3" xfId="23108" xr:uid="{6378D424-F55C-4067-9FFD-7F0BF9C8D201}"/>
    <cellStyle name="40% - Accent1 3 6 3 4" xfId="14660" xr:uid="{1AB1872D-DD03-4AEC-8840-F1F2059F8ECB}"/>
    <cellStyle name="40% - Accent1 3 6 4" xfId="27331" xr:uid="{BBFEA492-5351-4424-9CB3-4DEDCE1ADAC6}"/>
    <cellStyle name="40% - Accent1 3 6 5" xfId="18890" xr:uid="{01D464EA-7E06-4B26-93FE-380B61805927}"/>
    <cellStyle name="40% - Accent1 3 6 6" xfId="10442" xr:uid="{553EB86B-5A5B-4631-85A7-CCC54544E59C}"/>
    <cellStyle name="40% - Accent1 3 7" xfId="2317" xr:uid="{00000000-0005-0000-0000-000037040000}"/>
    <cellStyle name="40% - Accent1 3 7 2" xfId="6623" xr:uid="{00000000-0005-0000-0000-000038040000}"/>
    <cellStyle name="40% - Accent1 3 7 2 2" xfId="31962" xr:uid="{07ECA542-7F56-4830-81A1-1B05E49B7646}"/>
    <cellStyle name="40% - Accent1 3 7 2 3" xfId="23521" xr:uid="{76E06531-787F-40DA-9635-41E98C642FFD}"/>
    <cellStyle name="40% - Accent1 3 7 2 4" xfId="15073" xr:uid="{FD63DCB3-3ED8-40CC-B66A-A0711E3E71A5}"/>
    <cellStyle name="40% - Accent1 3 7 3" xfId="27744" xr:uid="{55E2DE5F-695B-47BF-9A87-235E8313B42F}"/>
    <cellStyle name="40% - Accent1 3 7 4" xfId="19303" xr:uid="{6E1B9AEB-1A62-4514-9138-A26059A1EA94}"/>
    <cellStyle name="40% - Accent1 3 7 5" xfId="10855" xr:uid="{80B88B6D-7290-4F38-BC1D-3318DB439D61}"/>
    <cellStyle name="40% - Accent1 3 8" xfId="4557" xr:uid="{00000000-0005-0000-0000-000039040000}"/>
    <cellStyle name="40% - Accent1 3 8 2" xfId="29896" xr:uid="{9A23625B-587E-46EF-B6AE-C387D11A33CB}"/>
    <cellStyle name="40% - Accent1 3 8 3" xfId="21455" xr:uid="{5124C609-808E-401A-BE64-BEC4188F95C6}"/>
    <cellStyle name="40% - Accent1 3 8 4" xfId="13007" xr:uid="{CEB492B3-B1DB-4565-9EF3-8752BA0B3916}"/>
    <cellStyle name="40% - Accent1 3 9" xfId="25678" xr:uid="{F3C019EB-4296-47DE-9BA2-8BF26A7A6EF7}"/>
    <cellStyle name="40% - Accent1 4" xfId="56" xr:uid="{00000000-0005-0000-0000-00003A040000}"/>
    <cellStyle name="40% - Accent1 4 10" xfId="8791" xr:uid="{6BD944DC-168C-433B-B7AC-079D476A934B}"/>
    <cellStyle name="40% - Accent1 4 2" xfId="625" xr:uid="{00000000-0005-0000-0000-00003B040000}"/>
    <cellStyle name="40% - Accent1 4 2 2" xfId="2896" xr:uid="{00000000-0005-0000-0000-00003C040000}"/>
    <cellStyle name="40% - Accent1 4 2 2 2" xfId="7118" xr:uid="{00000000-0005-0000-0000-00003D040000}"/>
    <cellStyle name="40% - Accent1 4 2 2 2 2" xfId="32457" xr:uid="{58DCA8D4-1DD9-4DDA-A751-D0D160D581CE}"/>
    <cellStyle name="40% - Accent1 4 2 2 2 3" xfId="24016" xr:uid="{4E55EC26-4C62-4222-9FEC-DE0CDABD9C92}"/>
    <cellStyle name="40% - Accent1 4 2 2 2 4" xfId="15568" xr:uid="{0EAB3999-99C2-4571-8E8C-DAE887BD51D0}"/>
    <cellStyle name="40% - Accent1 4 2 2 3" xfId="28239" xr:uid="{FA44322B-5592-406F-8F05-52DE195521F1}"/>
    <cellStyle name="40% - Accent1 4 2 2 4" xfId="19798" xr:uid="{E61BEBDC-A789-4684-86CE-0375F77FB771}"/>
    <cellStyle name="40% - Accent1 4 2 2 5" xfId="11350" xr:uid="{3CE137A3-DC8E-4A95-AE7E-A2AC5665DEF9}"/>
    <cellStyle name="40% - Accent1 4 2 3" xfId="4973" xr:uid="{00000000-0005-0000-0000-00003E040000}"/>
    <cellStyle name="40% - Accent1 4 2 3 2" xfId="30312" xr:uid="{50ABE6F8-7284-47E1-AE44-306E10F231F6}"/>
    <cellStyle name="40% - Accent1 4 2 3 3" xfId="21871" xr:uid="{461BE96A-7585-4785-9F4B-8E2DEA5605F9}"/>
    <cellStyle name="40% - Accent1 4 2 3 4" xfId="13423" xr:uid="{3F2D3C46-DBD5-4776-9FCC-3631D6777AB8}"/>
    <cellStyle name="40% - Accent1 4 2 4" xfId="26094" xr:uid="{869A4F59-39B8-432A-9AA0-747650851087}"/>
    <cellStyle name="40% - Accent1 4 2 5" xfId="17653" xr:uid="{F88693B5-83F1-4F62-939C-98716D6826AD}"/>
    <cellStyle name="40% - Accent1 4 2 6" xfId="9205" xr:uid="{B881E305-9794-4B28-ABFE-6EACFBB79E88}"/>
    <cellStyle name="40% - Accent1 4 3" xfId="1078" xr:uid="{00000000-0005-0000-0000-00003F040000}"/>
    <cellStyle name="40% - Accent1 4 3 2" xfId="3309" xr:uid="{00000000-0005-0000-0000-000040040000}"/>
    <cellStyle name="40% - Accent1 4 3 2 2" xfId="7531" xr:uid="{00000000-0005-0000-0000-000041040000}"/>
    <cellStyle name="40% - Accent1 4 3 2 2 2" xfId="32870" xr:uid="{4BFF8F4E-22D0-473C-BB4F-81CB1A285956}"/>
    <cellStyle name="40% - Accent1 4 3 2 2 3" xfId="24429" xr:uid="{CB7964A2-D1EB-499D-9B14-8BFA0B316D4A}"/>
    <cellStyle name="40% - Accent1 4 3 2 2 4" xfId="15981" xr:uid="{68C6965B-BA6A-46CD-B0B3-DECCD9E13680}"/>
    <cellStyle name="40% - Accent1 4 3 2 3" xfId="28652" xr:uid="{67AD8732-0B9A-412B-B953-E00FE761F5F6}"/>
    <cellStyle name="40% - Accent1 4 3 2 4" xfId="20211" xr:uid="{4464FEE6-06AD-49E8-AB4F-5648E9662485}"/>
    <cellStyle name="40% - Accent1 4 3 2 5" xfId="11763" xr:uid="{166E4616-8DCB-42CF-9A9C-A4F0DA3A1E13}"/>
    <cellStyle name="40% - Accent1 4 3 3" xfId="5386" xr:uid="{00000000-0005-0000-0000-000042040000}"/>
    <cellStyle name="40% - Accent1 4 3 3 2" xfId="30725" xr:uid="{28E0B81F-23CC-482F-8CED-AF0B60578F0C}"/>
    <cellStyle name="40% - Accent1 4 3 3 3" xfId="22284" xr:uid="{B696AA43-BCB5-4C53-B82F-9D392A88A1F3}"/>
    <cellStyle name="40% - Accent1 4 3 3 4" xfId="13836" xr:uid="{8C34D8FD-C6C3-4483-B9EE-263337640B31}"/>
    <cellStyle name="40% - Accent1 4 3 4" xfId="26507" xr:uid="{E6D023B4-4BCA-4D5E-91FF-4353A953BC51}"/>
    <cellStyle name="40% - Accent1 4 3 5" xfId="18066" xr:uid="{79E67B71-1D3F-44B7-9BA6-3388EFE13AF7}"/>
    <cellStyle name="40% - Accent1 4 3 6" xfId="9618" xr:uid="{57C981F5-B087-44A0-BD46-82C2B236A4EA}"/>
    <cellStyle name="40% - Accent1 4 4" xfId="1492" xr:uid="{00000000-0005-0000-0000-000043040000}"/>
    <cellStyle name="40% - Accent1 4 4 2" xfId="3722" xr:uid="{00000000-0005-0000-0000-000044040000}"/>
    <cellStyle name="40% - Accent1 4 4 2 2" xfId="7944" xr:uid="{00000000-0005-0000-0000-000045040000}"/>
    <cellStyle name="40% - Accent1 4 4 2 2 2" xfId="33283" xr:uid="{5E6F0213-7B94-4F0E-A5FB-E8AA7684C26B}"/>
    <cellStyle name="40% - Accent1 4 4 2 2 3" xfId="24842" xr:uid="{2018C589-A42E-412D-AE6D-887060E0A0B6}"/>
    <cellStyle name="40% - Accent1 4 4 2 2 4" xfId="16394" xr:uid="{3D74495B-D4C2-4ED5-95EE-B8FAF1C32FAA}"/>
    <cellStyle name="40% - Accent1 4 4 2 3" xfId="29065" xr:uid="{1FC2431B-6601-4098-B0C2-4870400819F2}"/>
    <cellStyle name="40% - Accent1 4 4 2 4" xfId="20624" xr:uid="{7C852711-544F-4673-902B-7D0E50C367DB}"/>
    <cellStyle name="40% - Accent1 4 4 2 5" xfId="12176" xr:uid="{A67D2950-91E3-4617-9477-6AB826942983}"/>
    <cellStyle name="40% - Accent1 4 4 3" xfId="5799" xr:uid="{00000000-0005-0000-0000-000046040000}"/>
    <cellStyle name="40% - Accent1 4 4 3 2" xfId="31138" xr:uid="{6C3574E3-48EE-42A2-AE05-6CECC72CABAD}"/>
    <cellStyle name="40% - Accent1 4 4 3 3" xfId="22697" xr:uid="{AB4BF2C0-53DC-4071-B0C6-A55E7ADCC4E0}"/>
    <cellStyle name="40% - Accent1 4 4 3 4" xfId="14249" xr:uid="{6A47EFCC-1575-4DB4-B5C8-79D74FF0374D}"/>
    <cellStyle name="40% - Accent1 4 4 4" xfId="26920" xr:uid="{B70F011B-CE11-4D71-942C-9BE28CA38EA8}"/>
    <cellStyle name="40% - Accent1 4 4 5" xfId="18479" xr:uid="{4D3DF7C5-A8AD-40DF-8004-38DF06430FA2}"/>
    <cellStyle name="40% - Accent1 4 4 6" xfId="10031" xr:uid="{9BD2E7F1-4608-4EF9-A7D9-699D852C50E5}"/>
    <cellStyle name="40% - Accent1 4 5" xfId="1906" xr:uid="{00000000-0005-0000-0000-000047040000}"/>
    <cellStyle name="40% - Accent1 4 5 2" xfId="4135" xr:uid="{00000000-0005-0000-0000-000048040000}"/>
    <cellStyle name="40% - Accent1 4 5 2 2" xfId="8357" xr:uid="{00000000-0005-0000-0000-000049040000}"/>
    <cellStyle name="40% - Accent1 4 5 2 2 2" xfId="33696" xr:uid="{BACE006B-5FB7-4036-9979-BAE7BB3BCA12}"/>
    <cellStyle name="40% - Accent1 4 5 2 2 3" xfId="25255" xr:uid="{05CF8731-7FF0-460F-8217-A3A784C47E9E}"/>
    <cellStyle name="40% - Accent1 4 5 2 2 4" xfId="16807" xr:uid="{D8CC97F1-6C55-4F65-806A-BB45363B2F9F}"/>
    <cellStyle name="40% - Accent1 4 5 2 3" xfId="29478" xr:uid="{541B8E30-B1F6-46FE-9923-2C0344F2BB5A}"/>
    <cellStyle name="40% - Accent1 4 5 2 4" xfId="21037" xr:uid="{F10D7F27-46D7-4AB5-A343-1E939D73A762}"/>
    <cellStyle name="40% - Accent1 4 5 2 5" xfId="12589" xr:uid="{F889297D-44C3-4E0F-98EC-9B3346F8C169}"/>
    <cellStyle name="40% - Accent1 4 5 3" xfId="6212" xr:uid="{00000000-0005-0000-0000-00004A040000}"/>
    <cellStyle name="40% - Accent1 4 5 3 2" xfId="31551" xr:uid="{0A0515CB-4B16-4FF9-840A-2B2AC113C662}"/>
    <cellStyle name="40% - Accent1 4 5 3 3" xfId="23110" xr:uid="{8006C237-5358-40B5-9A64-90B1C157A3BD}"/>
    <cellStyle name="40% - Accent1 4 5 3 4" xfId="14662" xr:uid="{F72CFCA0-D7BB-44C4-A646-49DE391C19AB}"/>
    <cellStyle name="40% - Accent1 4 5 4" xfId="27333" xr:uid="{7971D68D-0811-489F-8B49-FA0A3FB63F2E}"/>
    <cellStyle name="40% - Accent1 4 5 5" xfId="18892" xr:uid="{94447D3A-8EC6-4865-8304-55F003E8012A}"/>
    <cellStyle name="40% - Accent1 4 5 6" xfId="10444" xr:uid="{49432BE1-BDF3-45FC-8B51-579A4A669DC3}"/>
    <cellStyle name="40% - Accent1 4 6" xfId="2319" xr:uid="{00000000-0005-0000-0000-00004B040000}"/>
    <cellStyle name="40% - Accent1 4 6 2" xfId="6625" xr:uid="{00000000-0005-0000-0000-00004C040000}"/>
    <cellStyle name="40% - Accent1 4 6 2 2" xfId="31964" xr:uid="{395C5962-0D87-4563-BCBA-782985F88A6F}"/>
    <cellStyle name="40% - Accent1 4 6 2 3" xfId="23523" xr:uid="{00B4A018-C60C-4CB4-B3A8-A7C8F6C24A10}"/>
    <cellStyle name="40% - Accent1 4 6 2 4" xfId="15075" xr:uid="{7D25A947-CCD1-481E-B634-F376BF033288}"/>
    <cellStyle name="40% - Accent1 4 6 3" xfId="27746" xr:uid="{E7B6AEFC-3BFD-411D-9C92-178053E058B6}"/>
    <cellStyle name="40% - Accent1 4 6 4" xfId="19305" xr:uid="{43F744C8-7A78-4DB8-BA46-D1E730E601A3}"/>
    <cellStyle name="40% - Accent1 4 6 5" xfId="10857" xr:uid="{4F8E8516-CD61-4BB3-AD10-A060427B73F0}"/>
    <cellStyle name="40% - Accent1 4 7" xfId="4559" xr:uid="{00000000-0005-0000-0000-00004D040000}"/>
    <cellStyle name="40% - Accent1 4 7 2" xfId="29898" xr:uid="{BB650789-8E36-4F1E-A28B-B969958DDA77}"/>
    <cellStyle name="40% - Accent1 4 7 3" xfId="21457" xr:uid="{AE52D130-A684-4929-A57F-8562671168C2}"/>
    <cellStyle name="40% - Accent1 4 7 4" xfId="13009" xr:uid="{07412582-3FFD-4F2A-B0A8-3FB46BF0D501}"/>
    <cellStyle name="40% - Accent1 4 8" xfId="25680" xr:uid="{8DAEBF66-5A6A-4545-AB93-A87CB7FDA14B}"/>
    <cellStyle name="40% - Accent1 4 9" xfId="17239" xr:uid="{0AEB957C-D8FA-4FA5-A778-A801312D5DA2}"/>
    <cellStyle name="40% - Accent1 5" xfId="618" xr:uid="{00000000-0005-0000-0000-00004E040000}"/>
    <cellStyle name="40% - Accent1 5 2" xfId="2889" xr:uid="{00000000-0005-0000-0000-00004F040000}"/>
    <cellStyle name="40% - Accent1 5 2 2" xfId="7111" xr:uid="{00000000-0005-0000-0000-000050040000}"/>
    <cellStyle name="40% - Accent1 5 2 2 2" xfId="32450" xr:uid="{494A07D5-C3D4-484A-B530-85022B50D7C7}"/>
    <cellStyle name="40% - Accent1 5 2 2 3" xfId="24009" xr:uid="{236F61A7-03D0-49BA-B696-922CA3CBC5AC}"/>
    <cellStyle name="40% - Accent1 5 2 2 4" xfId="15561" xr:uid="{D7F5FD06-FFB6-4E26-92AD-2C046E10D091}"/>
    <cellStyle name="40% - Accent1 5 2 3" xfId="28232" xr:uid="{F3711A00-BCB5-484F-9FC3-02199CE87D4F}"/>
    <cellStyle name="40% - Accent1 5 2 4" xfId="19791" xr:uid="{5FEABE48-7A72-47FE-A7D7-6AEA60D7E163}"/>
    <cellStyle name="40% - Accent1 5 2 5" xfId="11343" xr:uid="{85D54EAB-4B4A-41D5-80A9-32535C7F001A}"/>
    <cellStyle name="40% - Accent1 5 3" xfId="4966" xr:uid="{00000000-0005-0000-0000-000051040000}"/>
    <cellStyle name="40% - Accent1 5 3 2" xfId="30305" xr:uid="{99EDF6F2-A4D6-46E8-817E-2A6CEC801D17}"/>
    <cellStyle name="40% - Accent1 5 3 3" xfId="21864" xr:uid="{BBE2CE7A-B293-4E84-8E15-F8A997F13844}"/>
    <cellStyle name="40% - Accent1 5 3 4" xfId="13416" xr:uid="{E4575268-9CA7-4520-8017-C32F0121219A}"/>
    <cellStyle name="40% - Accent1 5 4" xfId="26087" xr:uid="{F1D84A53-6E68-467D-8113-843752B721B6}"/>
    <cellStyle name="40% - Accent1 5 5" xfId="17646" xr:uid="{EADB292E-7375-495A-BE88-44C84A83D121}"/>
    <cellStyle name="40% - Accent1 5 6" xfId="9198" xr:uid="{47D9A924-36B1-4B09-90FA-872CF8F18B9F}"/>
    <cellStyle name="40% - Accent1 6" xfId="1071" xr:uid="{00000000-0005-0000-0000-000052040000}"/>
    <cellStyle name="40% - Accent1 6 2" xfId="3302" xr:uid="{00000000-0005-0000-0000-000053040000}"/>
    <cellStyle name="40% - Accent1 6 2 2" xfId="7524" xr:uid="{00000000-0005-0000-0000-000054040000}"/>
    <cellStyle name="40% - Accent1 6 2 2 2" xfId="32863" xr:uid="{5AB04D4C-E029-455A-BD92-38C1E0EFE2F1}"/>
    <cellStyle name="40% - Accent1 6 2 2 3" xfId="24422" xr:uid="{AB48D532-5E77-4E22-A33D-A9D39C94E3EE}"/>
    <cellStyle name="40% - Accent1 6 2 2 4" xfId="15974" xr:uid="{2ABBC809-6A99-44FF-AC5A-DF0ADA99DD43}"/>
    <cellStyle name="40% - Accent1 6 2 3" xfId="28645" xr:uid="{7A9F7187-BE17-4465-88A5-E448A49DD077}"/>
    <cellStyle name="40% - Accent1 6 2 4" xfId="20204" xr:uid="{EF186BE7-CAD0-45EB-A8F3-F9E0D24E2DF7}"/>
    <cellStyle name="40% - Accent1 6 2 5" xfId="11756" xr:uid="{98764AF1-ED0C-471F-BD5B-6B860832B3B7}"/>
    <cellStyle name="40% - Accent1 6 3" xfId="5379" xr:uid="{00000000-0005-0000-0000-000055040000}"/>
    <cellStyle name="40% - Accent1 6 3 2" xfId="30718" xr:uid="{9B81809B-8DE7-4E40-8651-2FD16095E644}"/>
    <cellStyle name="40% - Accent1 6 3 3" xfId="22277" xr:uid="{F4127989-88A3-41F3-9DE6-DE66DFF75D33}"/>
    <cellStyle name="40% - Accent1 6 3 4" xfId="13829" xr:uid="{50604402-02B2-4CC4-A97B-35AFC0D9668E}"/>
    <cellStyle name="40% - Accent1 6 4" xfId="26500" xr:uid="{E0D40F62-B3C0-4C40-80D5-2CA0C536E8E3}"/>
    <cellStyle name="40% - Accent1 6 5" xfId="18059" xr:uid="{91B9D0E7-5677-40A3-A4CD-BC72CF2CC1DE}"/>
    <cellStyle name="40% - Accent1 6 6" xfId="9611" xr:uid="{B559A147-178A-486E-8A0C-AA854BD01E37}"/>
    <cellStyle name="40% - Accent1 7" xfId="1485" xr:uid="{00000000-0005-0000-0000-000056040000}"/>
    <cellStyle name="40% - Accent1 7 2" xfId="3715" xr:uid="{00000000-0005-0000-0000-000057040000}"/>
    <cellStyle name="40% - Accent1 7 2 2" xfId="7937" xr:uid="{00000000-0005-0000-0000-000058040000}"/>
    <cellStyle name="40% - Accent1 7 2 2 2" xfId="33276" xr:uid="{F7305387-AEA7-4ED4-A2AC-4F2C34CBC930}"/>
    <cellStyle name="40% - Accent1 7 2 2 3" xfId="24835" xr:uid="{1C4703C0-ED53-40C7-ACF2-622EAACDC675}"/>
    <cellStyle name="40% - Accent1 7 2 2 4" xfId="16387" xr:uid="{E804A923-AD4D-4B00-B3FA-A60CE323FA07}"/>
    <cellStyle name="40% - Accent1 7 2 3" xfId="29058" xr:uid="{CC463ED1-D15D-48CE-8358-831E5276D41A}"/>
    <cellStyle name="40% - Accent1 7 2 4" xfId="20617" xr:uid="{E149A8B7-0EA5-48AF-944B-8A424D9991B7}"/>
    <cellStyle name="40% - Accent1 7 2 5" xfId="12169" xr:uid="{FCB2CCFE-5C8A-4E40-942A-C8BDFDC90290}"/>
    <cellStyle name="40% - Accent1 7 3" xfId="5792" xr:uid="{00000000-0005-0000-0000-000059040000}"/>
    <cellStyle name="40% - Accent1 7 3 2" xfId="31131" xr:uid="{298D0ED8-A1D2-4227-A752-33A6F4C23462}"/>
    <cellStyle name="40% - Accent1 7 3 3" xfId="22690" xr:uid="{40E669C1-E92C-464A-B83A-D81E605745DA}"/>
    <cellStyle name="40% - Accent1 7 3 4" xfId="14242" xr:uid="{550ED721-9529-4B9E-BFCB-2BCE54E3F45E}"/>
    <cellStyle name="40% - Accent1 7 4" xfId="26913" xr:uid="{C4EB761B-8E23-4B6E-BFB9-AE1457A94E5D}"/>
    <cellStyle name="40% - Accent1 7 5" xfId="18472" xr:uid="{F3A9AF43-89A5-4DAA-9C48-19B79F5ACA6B}"/>
    <cellStyle name="40% - Accent1 7 6" xfId="10024" xr:uid="{6116EC2F-C348-4DCD-805E-169FA7FCF01D}"/>
    <cellStyle name="40% - Accent1 8" xfId="1899" xr:uid="{00000000-0005-0000-0000-00005A040000}"/>
    <cellStyle name="40% - Accent1 8 2" xfId="4128" xr:uid="{00000000-0005-0000-0000-00005B040000}"/>
    <cellStyle name="40% - Accent1 8 2 2" xfId="8350" xr:uid="{00000000-0005-0000-0000-00005C040000}"/>
    <cellStyle name="40% - Accent1 8 2 2 2" xfId="33689" xr:uid="{F72BF1BD-4B41-46AF-A6A9-644C16CCD4C3}"/>
    <cellStyle name="40% - Accent1 8 2 2 3" xfId="25248" xr:uid="{24F8E35E-760C-4A27-A312-5BA6373539E8}"/>
    <cellStyle name="40% - Accent1 8 2 2 4" xfId="16800" xr:uid="{B1311B3F-4BF0-41A5-BFAC-C5338D158698}"/>
    <cellStyle name="40% - Accent1 8 2 3" xfId="29471" xr:uid="{F6DD0860-50EC-4364-93A4-804641FE37F4}"/>
    <cellStyle name="40% - Accent1 8 2 4" xfId="21030" xr:uid="{51F610C1-5D7D-4F18-B2A8-6D774C9BABE8}"/>
    <cellStyle name="40% - Accent1 8 2 5" xfId="12582" xr:uid="{28AC4D2D-F399-4959-9B09-CFF9A60204FC}"/>
    <cellStyle name="40% - Accent1 8 3" xfId="6205" xr:uid="{00000000-0005-0000-0000-00005D040000}"/>
    <cellStyle name="40% - Accent1 8 3 2" xfId="31544" xr:uid="{40101F6E-80C3-42CF-B190-1BAA3B25C7F1}"/>
    <cellStyle name="40% - Accent1 8 3 3" xfId="23103" xr:uid="{0DA355BD-E6AF-4626-AC70-45A6AFE524EF}"/>
    <cellStyle name="40% - Accent1 8 3 4" xfId="14655" xr:uid="{27F9900C-9721-4FF7-8FA3-2A8EC6AF85CD}"/>
    <cellStyle name="40% - Accent1 8 4" xfId="27326" xr:uid="{547C6F8B-4E22-439C-893B-3C4645FB4385}"/>
    <cellStyle name="40% - Accent1 8 5" xfId="18885" xr:uid="{BE5C4B5C-F93F-4BAD-98C9-0DDD0A5F17AC}"/>
    <cellStyle name="40% - Accent1 8 6" xfId="10437" xr:uid="{A4E8304A-B082-4838-AD1B-5A57C9839823}"/>
    <cellStyle name="40% - Accent1 9" xfId="2312" xr:uid="{00000000-0005-0000-0000-00005E040000}"/>
    <cellStyle name="40% - Accent1 9 2" xfId="6618" xr:uid="{00000000-0005-0000-0000-00005F040000}"/>
    <cellStyle name="40% - Accent1 9 2 2" xfId="31957" xr:uid="{FA39BE9B-8D33-4C6F-BD10-DFC01BA20C04}"/>
    <cellStyle name="40% - Accent1 9 2 3" xfId="23516" xr:uid="{9C3B3350-1E3B-47CD-BE1B-BDB108673670}"/>
    <cellStyle name="40% - Accent1 9 2 4" xfId="15068" xr:uid="{D5CF8C3D-5CCE-481A-9EB3-6EFF768EEBA9}"/>
    <cellStyle name="40% - Accent1 9 3" xfId="27739" xr:uid="{C5C09D1A-6884-4524-A9C7-E395DBF36835}"/>
    <cellStyle name="40% - Accent1 9 4" xfId="19298" xr:uid="{C0096549-2F5D-4439-B354-F2164045ED0E}"/>
    <cellStyle name="40% - Accent1 9 5" xfId="10850" xr:uid="{3F12FAFE-ADDE-448A-9608-75CB5A178286}"/>
    <cellStyle name="40% - Accent2" xfId="57" builtinId="35" customBuiltin="1"/>
    <cellStyle name="40% - Accent2 10" xfId="4560" xr:uid="{00000000-0005-0000-0000-000061040000}"/>
    <cellStyle name="40% - Accent2 10 2" xfId="29899" xr:uid="{699F05BB-B993-43E1-9CC3-35B67DA3A51D}"/>
    <cellStyle name="40% - Accent2 10 3" xfId="21458" xr:uid="{30580051-B4EC-4E87-965B-666E5BA360E3}"/>
    <cellStyle name="40% - Accent2 10 4" xfId="13010" xr:uid="{9C817F5F-9C06-4A32-B33E-FA58E48B24B3}"/>
    <cellStyle name="40% - Accent2 11" xfId="25681" xr:uid="{0EB7501F-6C68-409A-96DE-905EBBD72E48}"/>
    <cellStyle name="40% - Accent2 12" xfId="17240" xr:uid="{82F96565-D5D5-46D2-BD2C-61D86AFCDDB0}"/>
    <cellStyle name="40% - Accent2 13" xfId="8792" xr:uid="{878A9A9D-9FAF-46EB-88EE-4592047842C9}"/>
    <cellStyle name="40% - Accent2 2" xfId="58" xr:uid="{00000000-0005-0000-0000-000062040000}"/>
    <cellStyle name="40% - Accent2 2 10" xfId="25682" xr:uid="{3A054439-569E-449A-8474-FC0B12621DE2}"/>
    <cellStyle name="40% - Accent2 2 11" xfId="17241" xr:uid="{0A3E0626-CC20-45F8-B22A-22342A8EF9AB}"/>
    <cellStyle name="40% - Accent2 2 12" xfId="8793" xr:uid="{C735AB59-5E4D-438B-95B7-6E5DCF381579}"/>
    <cellStyle name="40% - Accent2 2 2" xfId="59" xr:uid="{00000000-0005-0000-0000-000063040000}"/>
    <cellStyle name="40% - Accent2 2 2 10" xfId="17242" xr:uid="{C6679DC9-6EF3-483B-AC33-E6D5167A820C}"/>
    <cellStyle name="40% - Accent2 2 2 11" xfId="8794" xr:uid="{18AD5F18-3E59-46AC-9E88-55C72ECC7250}"/>
    <cellStyle name="40% - Accent2 2 2 2" xfId="60" xr:uid="{00000000-0005-0000-0000-000064040000}"/>
    <cellStyle name="40% - Accent2 2 2 2 10" xfId="8795" xr:uid="{5DD27F83-2861-4761-BD46-F6160E71AABF}"/>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32461" xr:uid="{7CF18939-FA74-4D5D-9F6F-7FEF217E9013}"/>
    <cellStyle name="40% - Accent2 2 2 2 2 2 2 3" xfId="24020" xr:uid="{264B0C14-12B4-410F-B80D-EB35748D9815}"/>
    <cellStyle name="40% - Accent2 2 2 2 2 2 2 4" xfId="15572" xr:uid="{3E7E4502-3B7A-427E-A924-2D4F9BB8A591}"/>
    <cellStyle name="40% - Accent2 2 2 2 2 2 3" xfId="28243" xr:uid="{459F8BD1-F6D7-4DEC-9CA5-4F622CF1BA11}"/>
    <cellStyle name="40% - Accent2 2 2 2 2 2 4" xfId="19802" xr:uid="{CFF546E3-3F7C-41B8-A1F7-66AF62DE6EE9}"/>
    <cellStyle name="40% - Accent2 2 2 2 2 2 5" xfId="11354" xr:uid="{EB290807-4106-4ED5-B000-796CF84D9DA5}"/>
    <cellStyle name="40% - Accent2 2 2 2 2 3" xfId="4977" xr:uid="{00000000-0005-0000-0000-000068040000}"/>
    <cellStyle name="40% - Accent2 2 2 2 2 3 2" xfId="30316" xr:uid="{67E6619F-4FE5-40BE-A2DB-32A4955CE982}"/>
    <cellStyle name="40% - Accent2 2 2 2 2 3 3" xfId="21875" xr:uid="{2C8CE537-01C0-4B0D-94F7-69AA4F62A8BF}"/>
    <cellStyle name="40% - Accent2 2 2 2 2 3 4" xfId="13427" xr:uid="{1102CE90-9C0B-4582-A6A8-CF60A5C689C1}"/>
    <cellStyle name="40% - Accent2 2 2 2 2 4" xfId="26098" xr:uid="{D96FE374-36B4-4FE0-9FAA-411E76512FE6}"/>
    <cellStyle name="40% - Accent2 2 2 2 2 5" xfId="17657" xr:uid="{7E1B26B4-3180-42CE-9042-72EAD018ADBC}"/>
    <cellStyle name="40% - Accent2 2 2 2 2 6" xfId="9209" xr:uid="{9D53FD1A-A219-4CD8-9848-22DC1830775A}"/>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32874" xr:uid="{639154A4-AE7B-4766-926C-638B2E2A2FA4}"/>
    <cellStyle name="40% - Accent2 2 2 2 3 2 2 3" xfId="24433" xr:uid="{4B15C5A4-889E-48B2-BE7D-D263BCC7CCCD}"/>
    <cellStyle name="40% - Accent2 2 2 2 3 2 2 4" xfId="15985" xr:uid="{6472343C-F023-444D-ABEC-59028DA4C599}"/>
    <cellStyle name="40% - Accent2 2 2 2 3 2 3" xfId="28656" xr:uid="{8E28FDF9-6F14-4003-9B5E-E43AD14F6E57}"/>
    <cellStyle name="40% - Accent2 2 2 2 3 2 4" xfId="20215" xr:uid="{95C957DD-4744-4A71-8F89-5C843EEC1A04}"/>
    <cellStyle name="40% - Accent2 2 2 2 3 2 5" xfId="11767" xr:uid="{6DCF490E-1F97-4A50-89A0-DC6FDCD10AF3}"/>
    <cellStyle name="40% - Accent2 2 2 2 3 3" xfId="5390" xr:uid="{00000000-0005-0000-0000-00006C040000}"/>
    <cellStyle name="40% - Accent2 2 2 2 3 3 2" xfId="30729" xr:uid="{0673D25E-98ED-4FF7-A74C-A60290E63B2D}"/>
    <cellStyle name="40% - Accent2 2 2 2 3 3 3" xfId="22288" xr:uid="{B5FF1E67-1D8D-4610-94B5-E17D12F2C15A}"/>
    <cellStyle name="40% - Accent2 2 2 2 3 3 4" xfId="13840" xr:uid="{4D09E246-0EA7-4650-A894-9F43049067FA}"/>
    <cellStyle name="40% - Accent2 2 2 2 3 4" xfId="26511" xr:uid="{634D2964-A04F-4819-928C-AE09A62A4E51}"/>
    <cellStyle name="40% - Accent2 2 2 2 3 5" xfId="18070" xr:uid="{834990A3-159E-4483-9C4F-1E593D18669E}"/>
    <cellStyle name="40% - Accent2 2 2 2 3 6" xfId="9622" xr:uid="{3229C0F1-47D1-40FA-B2CA-9FD1B4AA7248}"/>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33287" xr:uid="{1622580A-D2B2-4B96-98AC-6112B56CCEE9}"/>
    <cellStyle name="40% - Accent2 2 2 2 4 2 2 3" xfId="24846" xr:uid="{2C06A579-DF3C-4D17-9F9A-48458D4F6A73}"/>
    <cellStyle name="40% - Accent2 2 2 2 4 2 2 4" xfId="16398" xr:uid="{2479F97E-3406-44D2-B09B-5C60A772F11A}"/>
    <cellStyle name="40% - Accent2 2 2 2 4 2 3" xfId="29069" xr:uid="{1D87608D-6C77-47EC-8426-B533EA281838}"/>
    <cellStyle name="40% - Accent2 2 2 2 4 2 4" xfId="20628" xr:uid="{57BDB8B1-03B6-49CD-9A2D-C4052FB4613B}"/>
    <cellStyle name="40% - Accent2 2 2 2 4 2 5" xfId="12180" xr:uid="{B0F42258-2B42-4157-9C8E-5681659B12B9}"/>
    <cellStyle name="40% - Accent2 2 2 2 4 3" xfId="5803" xr:uid="{00000000-0005-0000-0000-000070040000}"/>
    <cellStyle name="40% - Accent2 2 2 2 4 3 2" xfId="31142" xr:uid="{E9C6E302-3C10-4574-94C9-A101160F377F}"/>
    <cellStyle name="40% - Accent2 2 2 2 4 3 3" xfId="22701" xr:uid="{376CF623-B7D2-4352-BF4B-7F9C414158D8}"/>
    <cellStyle name="40% - Accent2 2 2 2 4 3 4" xfId="14253" xr:uid="{8C0BEBFF-B493-446C-9204-B3F73B0D9C3D}"/>
    <cellStyle name="40% - Accent2 2 2 2 4 4" xfId="26924" xr:uid="{AA6F49AB-ADFA-47D2-8126-8CFCFCC1FD23}"/>
    <cellStyle name="40% - Accent2 2 2 2 4 5" xfId="18483" xr:uid="{70C9D6A5-FAA1-4104-8C34-183C9DF4EA5D}"/>
    <cellStyle name="40% - Accent2 2 2 2 4 6" xfId="10035" xr:uid="{152521BD-3F58-43C2-86E4-23281A3D50E1}"/>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33700" xr:uid="{913A9033-1B38-4FD9-A070-AFF08A3BDD0F}"/>
    <cellStyle name="40% - Accent2 2 2 2 5 2 2 3" xfId="25259" xr:uid="{6D38CF7C-DF24-4FD3-A8E4-696F4A9B9C86}"/>
    <cellStyle name="40% - Accent2 2 2 2 5 2 2 4" xfId="16811" xr:uid="{7794D00C-4EFC-4FFC-AB55-27E6D9898A9D}"/>
    <cellStyle name="40% - Accent2 2 2 2 5 2 3" xfId="29482" xr:uid="{D0540714-BC3C-4562-8C21-7C2F98872C79}"/>
    <cellStyle name="40% - Accent2 2 2 2 5 2 4" xfId="21041" xr:uid="{673059BB-E8EF-48D8-B97F-F98C1AAC2AAE}"/>
    <cellStyle name="40% - Accent2 2 2 2 5 2 5" xfId="12593" xr:uid="{DE78E5F9-887E-438B-A9F6-453F94B19477}"/>
    <cellStyle name="40% - Accent2 2 2 2 5 3" xfId="6216" xr:uid="{00000000-0005-0000-0000-000074040000}"/>
    <cellStyle name="40% - Accent2 2 2 2 5 3 2" xfId="31555" xr:uid="{9C56E6EE-0914-4231-9F79-62B7D1CA2B7E}"/>
    <cellStyle name="40% - Accent2 2 2 2 5 3 3" xfId="23114" xr:uid="{E3CA8E57-75C2-4873-B62F-F0D028369C14}"/>
    <cellStyle name="40% - Accent2 2 2 2 5 3 4" xfId="14666" xr:uid="{48DAC2EA-9714-46DF-B723-2E4B7A08BB6B}"/>
    <cellStyle name="40% - Accent2 2 2 2 5 4" xfId="27337" xr:uid="{31388E12-2366-4E55-9B08-140733F7BFA3}"/>
    <cellStyle name="40% - Accent2 2 2 2 5 5" xfId="18896" xr:uid="{4657F71F-6D5A-4856-9FE3-C25E2B7AA88A}"/>
    <cellStyle name="40% - Accent2 2 2 2 5 6" xfId="10448" xr:uid="{3DD0A7E2-790B-4C44-921B-561B1ABA0342}"/>
    <cellStyle name="40% - Accent2 2 2 2 6" xfId="2323" xr:uid="{00000000-0005-0000-0000-000075040000}"/>
    <cellStyle name="40% - Accent2 2 2 2 6 2" xfId="6629" xr:uid="{00000000-0005-0000-0000-000076040000}"/>
    <cellStyle name="40% - Accent2 2 2 2 6 2 2" xfId="31968" xr:uid="{AA4B6DD2-B6CA-4426-911B-7922562EA1B3}"/>
    <cellStyle name="40% - Accent2 2 2 2 6 2 3" xfId="23527" xr:uid="{E4206349-F4C8-4C4F-8857-7374A13F03E6}"/>
    <cellStyle name="40% - Accent2 2 2 2 6 2 4" xfId="15079" xr:uid="{EB20AFFB-441A-4C16-A32A-3F97DF0DA1E8}"/>
    <cellStyle name="40% - Accent2 2 2 2 6 3" xfId="27750" xr:uid="{CF471D8B-4C5A-4FD0-87FA-94ECB9C36234}"/>
    <cellStyle name="40% - Accent2 2 2 2 6 4" xfId="19309" xr:uid="{7928C256-FABE-41F6-8404-8EF1638F7CBE}"/>
    <cellStyle name="40% - Accent2 2 2 2 6 5" xfId="10861" xr:uid="{05734EC3-ADE6-4B2C-B6FE-F008F7E3958A}"/>
    <cellStyle name="40% - Accent2 2 2 2 7" xfId="4563" xr:uid="{00000000-0005-0000-0000-000077040000}"/>
    <cellStyle name="40% - Accent2 2 2 2 7 2" xfId="29902" xr:uid="{AC7E5B97-8101-4F3A-A84D-30F22FBD59D9}"/>
    <cellStyle name="40% - Accent2 2 2 2 7 3" xfId="21461" xr:uid="{5AF3EE3C-F46A-40AC-BF97-D39A603B773A}"/>
    <cellStyle name="40% - Accent2 2 2 2 7 4" xfId="13013" xr:uid="{2EB80724-AFA5-4A4A-9045-D7751888E2F3}"/>
    <cellStyle name="40% - Accent2 2 2 2 8" xfId="25684" xr:uid="{F0C0CF57-510E-4F5E-BB53-23B71E1DA8DB}"/>
    <cellStyle name="40% - Accent2 2 2 2 9" xfId="17243" xr:uid="{887D0FB3-FB7C-49A5-9652-18F60439AAD8}"/>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32460" xr:uid="{89553CD7-1F87-4480-99FF-5517EB759BE0}"/>
    <cellStyle name="40% - Accent2 2 2 3 2 2 3" xfId="24019" xr:uid="{CDF62249-E093-4A7C-88F9-6DAA17FCBC2B}"/>
    <cellStyle name="40% - Accent2 2 2 3 2 2 4" xfId="15571" xr:uid="{5B04C080-ECD9-457C-BA3B-624D6504E34B}"/>
    <cellStyle name="40% - Accent2 2 2 3 2 3" xfId="28242" xr:uid="{DC13F4F8-CD1B-4674-A12D-41F81EABC81E}"/>
    <cellStyle name="40% - Accent2 2 2 3 2 4" xfId="19801" xr:uid="{EEB2AA85-DE0B-4548-9FB7-C48B5DBA1B07}"/>
    <cellStyle name="40% - Accent2 2 2 3 2 5" xfId="11353" xr:uid="{72C47B39-B9FD-4BB2-9847-1FFE0556F408}"/>
    <cellStyle name="40% - Accent2 2 2 3 3" xfId="4976" xr:uid="{00000000-0005-0000-0000-00007B040000}"/>
    <cellStyle name="40% - Accent2 2 2 3 3 2" xfId="30315" xr:uid="{95478F9B-569F-47B0-BA47-6B72C71C9280}"/>
    <cellStyle name="40% - Accent2 2 2 3 3 3" xfId="21874" xr:uid="{CB38FAD5-50DD-4636-9BEF-AA3829C83274}"/>
    <cellStyle name="40% - Accent2 2 2 3 3 4" xfId="13426" xr:uid="{5569A132-C6A9-49A5-9A30-9C80A489FF0B}"/>
    <cellStyle name="40% - Accent2 2 2 3 4" xfId="26097" xr:uid="{CC2A288E-D21C-4931-9BA3-8060DB1AE64E}"/>
    <cellStyle name="40% - Accent2 2 2 3 5" xfId="17656" xr:uid="{27B78276-476C-4214-9885-AB6700BEC52D}"/>
    <cellStyle name="40% - Accent2 2 2 3 6" xfId="9208" xr:uid="{D68232EC-A1A6-4BAC-8BCB-A60E158CC866}"/>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32873" xr:uid="{3DA14747-326A-4E95-BF7E-F2D0F2E63EC9}"/>
    <cellStyle name="40% - Accent2 2 2 4 2 2 3" xfId="24432" xr:uid="{C674E132-A8FC-4B59-8035-D4C8A14F0D52}"/>
    <cellStyle name="40% - Accent2 2 2 4 2 2 4" xfId="15984" xr:uid="{A93C6B4D-FF38-4B85-A6AF-C61A00A54988}"/>
    <cellStyle name="40% - Accent2 2 2 4 2 3" xfId="28655" xr:uid="{2C28E056-8076-4DFB-ADA4-48663457A06F}"/>
    <cellStyle name="40% - Accent2 2 2 4 2 4" xfId="20214" xr:uid="{BED201DF-EF22-4255-ABE7-5F490785525D}"/>
    <cellStyle name="40% - Accent2 2 2 4 2 5" xfId="11766" xr:uid="{1E240239-0F88-45E2-9902-0245E53BB946}"/>
    <cellStyle name="40% - Accent2 2 2 4 3" xfId="5389" xr:uid="{00000000-0005-0000-0000-00007F040000}"/>
    <cellStyle name="40% - Accent2 2 2 4 3 2" xfId="30728" xr:uid="{649E3615-3C2A-4988-BADB-4ABF2D481B41}"/>
    <cellStyle name="40% - Accent2 2 2 4 3 3" xfId="22287" xr:uid="{CC118C05-2E26-40EC-AB91-A0570A9B5565}"/>
    <cellStyle name="40% - Accent2 2 2 4 3 4" xfId="13839" xr:uid="{07ADAFE8-2103-4F73-9079-7D31285E6C5F}"/>
    <cellStyle name="40% - Accent2 2 2 4 4" xfId="26510" xr:uid="{091FD2B7-ED72-48C4-91D8-34A7FE418443}"/>
    <cellStyle name="40% - Accent2 2 2 4 5" xfId="18069" xr:uid="{3F91A1E2-CEC1-4C64-A555-2430D0944ACA}"/>
    <cellStyle name="40% - Accent2 2 2 4 6" xfId="9621" xr:uid="{9131E79E-847E-4DC1-A628-D22089825D6D}"/>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33286" xr:uid="{BE7561D7-2582-4BEF-ABBB-43A56AA717ED}"/>
    <cellStyle name="40% - Accent2 2 2 5 2 2 3" xfId="24845" xr:uid="{022764CF-AA20-4A45-BFAE-5191EB565780}"/>
    <cellStyle name="40% - Accent2 2 2 5 2 2 4" xfId="16397" xr:uid="{846DF3F6-915E-4206-A7C2-49A515F82170}"/>
    <cellStyle name="40% - Accent2 2 2 5 2 3" xfId="29068" xr:uid="{6FFBB9F1-5777-47E9-B74B-5F198A3BCA20}"/>
    <cellStyle name="40% - Accent2 2 2 5 2 4" xfId="20627" xr:uid="{DED17D23-D381-4E59-89BE-E3BA6FD7EFEB}"/>
    <cellStyle name="40% - Accent2 2 2 5 2 5" xfId="12179" xr:uid="{C65C0924-E35F-4FDB-B8AE-CB656F26162C}"/>
    <cellStyle name="40% - Accent2 2 2 5 3" xfId="5802" xr:uid="{00000000-0005-0000-0000-000083040000}"/>
    <cellStyle name="40% - Accent2 2 2 5 3 2" xfId="31141" xr:uid="{5573360F-DB85-4912-85B1-B585FE434EEF}"/>
    <cellStyle name="40% - Accent2 2 2 5 3 3" xfId="22700" xr:uid="{70380733-A43C-467F-927A-902F6CBCAA6C}"/>
    <cellStyle name="40% - Accent2 2 2 5 3 4" xfId="14252" xr:uid="{288B51DB-EFC1-4394-98CF-3080803B2A31}"/>
    <cellStyle name="40% - Accent2 2 2 5 4" xfId="26923" xr:uid="{D470E97B-D6EF-49A1-A1BF-5CDCF9C04DAF}"/>
    <cellStyle name="40% - Accent2 2 2 5 5" xfId="18482" xr:uid="{9030918E-7A10-4FE3-923F-1BDD70098C85}"/>
    <cellStyle name="40% - Accent2 2 2 5 6" xfId="10034" xr:uid="{4808B80B-7325-46BD-AAC9-E7C4F45C2787}"/>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33699" xr:uid="{B4D282E8-1AD6-4CAC-87FF-0FC35FAD0DDE}"/>
    <cellStyle name="40% - Accent2 2 2 6 2 2 3" xfId="25258" xr:uid="{5D0CC663-CAF1-4290-863C-A297EF8A8A81}"/>
    <cellStyle name="40% - Accent2 2 2 6 2 2 4" xfId="16810" xr:uid="{88107E08-3823-4C94-AF8D-0A8EA3B2B152}"/>
    <cellStyle name="40% - Accent2 2 2 6 2 3" xfId="29481" xr:uid="{5BCC99FC-FA79-4704-AE0D-2590BB86B555}"/>
    <cellStyle name="40% - Accent2 2 2 6 2 4" xfId="21040" xr:uid="{5ACF0E5B-F091-45A1-A888-732E81F625DD}"/>
    <cellStyle name="40% - Accent2 2 2 6 2 5" xfId="12592" xr:uid="{139D088E-697E-48E5-97BA-10DEC732BC52}"/>
    <cellStyle name="40% - Accent2 2 2 6 3" xfId="6215" xr:uid="{00000000-0005-0000-0000-000087040000}"/>
    <cellStyle name="40% - Accent2 2 2 6 3 2" xfId="31554" xr:uid="{DB81EFAD-FE47-4E7E-B2E3-E24B9D7A8AD2}"/>
    <cellStyle name="40% - Accent2 2 2 6 3 3" xfId="23113" xr:uid="{F8D62C0B-584B-48AF-986E-0761FECD0432}"/>
    <cellStyle name="40% - Accent2 2 2 6 3 4" xfId="14665" xr:uid="{3B51DBE7-5C5E-4F5B-B879-381CCFB767C1}"/>
    <cellStyle name="40% - Accent2 2 2 6 4" xfId="27336" xr:uid="{4107122B-A097-49A3-9182-9266DD480003}"/>
    <cellStyle name="40% - Accent2 2 2 6 5" xfId="18895" xr:uid="{BC4AA2AA-F2E8-484A-9457-7CD9345AB750}"/>
    <cellStyle name="40% - Accent2 2 2 6 6" xfId="10447" xr:uid="{DFB5F052-0C36-4544-913E-12DBA57EB999}"/>
    <cellStyle name="40% - Accent2 2 2 7" xfId="2322" xr:uid="{00000000-0005-0000-0000-000088040000}"/>
    <cellStyle name="40% - Accent2 2 2 7 2" xfId="6628" xr:uid="{00000000-0005-0000-0000-000089040000}"/>
    <cellStyle name="40% - Accent2 2 2 7 2 2" xfId="31967" xr:uid="{6CE630AE-5BB1-4BD1-8B91-BD6E66997D42}"/>
    <cellStyle name="40% - Accent2 2 2 7 2 3" xfId="23526" xr:uid="{C52B0825-E6B9-415A-AF51-D7E354DD8AD8}"/>
    <cellStyle name="40% - Accent2 2 2 7 2 4" xfId="15078" xr:uid="{DE472094-7B12-4971-8E6C-3D9AD71C0A43}"/>
    <cellStyle name="40% - Accent2 2 2 7 3" xfId="27749" xr:uid="{10FC80A1-6050-4554-827C-90F47101C549}"/>
    <cellStyle name="40% - Accent2 2 2 7 4" xfId="19308" xr:uid="{79C99CB9-CA42-4135-9D96-A93795C4AA58}"/>
    <cellStyle name="40% - Accent2 2 2 7 5" xfId="10860" xr:uid="{598EFB95-8F7F-456D-9A77-A2305FB2A109}"/>
    <cellStyle name="40% - Accent2 2 2 8" xfId="4562" xr:uid="{00000000-0005-0000-0000-00008A040000}"/>
    <cellStyle name="40% - Accent2 2 2 8 2" xfId="29901" xr:uid="{F189F09B-67BA-48D7-933B-8487DF55CA72}"/>
    <cellStyle name="40% - Accent2 2 2 8 3" xfId="21460" xr:uid="{C9884182-16B6-4876-B864-4E476224FFFE}"/>
    <cellStyle name="40% - Accent2 2 2 8 4" xfId="13012" xr:uid="{E9641C26-BC69-47FA-BDE4-02DD147B617B}"/>
    <cellStyle name="40% - Accent2 2 2 9" xfId="25683" xr:uid="{75F9163B-5B96-4E52-A05F-A1BAC7106F87}"/>
    <cellStyle name="40% - Accent2 2 3" xfId="61" xr:uid="{00000000-0005-0000-0000-00008B040000}"/>
    <cellStyle name="40% - Accent2 2 3 10" xfId="8796" xr:uid="{E96373DB-0C4D-4A54-A9A0-9A6393A5D2AD}"/>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32462" xr:uid="{2F257D79-7111-4042-B976-89DAA51312B9}"/>
    <cellStyle name="40% - Accent2 2 3 2 2 2 3" xfId="24021" xr:uid="{23ADBC8C-E9FC-4006-80BE-E5525C2C6F65}"/>
    <cellStyle name="40% - Accent2 2 3 2 2 2 4" xfId="15573" xr:uid="{71976813-0BCF-472D-89D9-867C4A48227E}"/>
    <cellStyle name="40% - Accent2 2 3 2 2 3" xfId="28244" xr:uid="{187A16DB-3EC8-4D29-85D9-023046AD53B4}"/>
    <cellStyle name="40% - Accent2 2 3 2 2 4" xfId="19803" xr:uid="{7A08F615-E267-47F5-816D-210C4D90B0ED}"/>
    <cellStyle name="40% - Accent2 2 3 2 2 5" xfId="11355" xr:uid="{AA6B6FA4-359F-4A8D-B5E2-F72CE44C4E8A}"/>
    <cellStyle name="40% - Accent2 2 3 2 3" xfId="4978" xr:uid="{00000000-0005-0000-0000-00008F040000}"/>
    <cellStyle name="40% - Accent2 2 3 2 3 2" xfId="30317" xr:uid="{E08F1C70-DB2C-415B-84E3-6D59C880FCF9}"/>
    <cellStyle name="40% - Accent2 2 3 2 3 3" xfId="21876" xr:uid="{559B4B49-6682-452B-8AF4-5A3CE808E78B}"/>
    <cellStyle name="40% - Accent2 2 3 2 3 4" xfId="13428" xr:uid="{0883353E-FA99-4FDA-9B5E-37821A5A8B91}"/>
    <cellStyle name="40% - Accent2 2 3 2 4" xfId="26099" xr:uid="{215ABF70-C06E-481F-A442-06D746FB211B}"/>
    <cellStyle name="40% - Accent2 2 3 2 5" xfId="17658" xr:uid="{FB5F6A6A-AE72-4CC7-8645-7951CB24BE2C}"/>
    <cellStyle name="40% - Accent2 2 3 2 6" xfId="9210" xr:uid="{AA03EEE1-9593-47BF-95B1-7176FEED28F2}"/>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32875" xr:uid="{558CC892-0319-4C0E-AB9F-CB0746DFF982}"/>
    <cellStyle name="40% - Accent2 2 3 3 2 2 3" xfId="24434" xr:uid="{1606D3DA-3C27-4D96-8128-02B874F3B678}"/>
    <cellStyle name="40% - Accent2 2 3 3 2 2 4" xfId="15986" xr:uid="{59C1F5BF-4B18-4D39-A6F5-889E89E5B70A}"/>
    <cellStyle name="40% - Accent2 2 3 3 2 3" xfId="28657" xr:uid="{7B10DA4E-3CDD-49B0-8B72-D19FE3EA08FB}"/>
    <cellStyle name="40% - Accent2 2 3 3 2 4" xfId="20216" xr:uid="{59CF4DDD-DA84-47B1-9C5E-6E0BFFEC5D18}"/>
    <cellStyle name="40% - Accent2 2 3 3 2 5" xfId="11768" xr:uid="{3522B2B6-F0A5-47DA-96C5-B9F4BA52C47E}"/>
    <cellStyle name="40% - Accent2 2 3 3 3" xfId="5391" xr:uid="{00000000-0005-0000-0000-000093040000}"/>
    <cellStyle name="40% - Accent2 2 3 3 3 2" xfId="30730" xr:uid="{83351615-1959-4478-88A6-FD64DEFE6019}"/>
    <cellStyle name="40% - Accent2 2 3 3 3 3" xfId="22289" xr:uid="{E4B469C8-EB4C-4D68-B8AC-09BA7BC3A151}"/>
    <cellStyle name="40% - Accent2 2 3 3 3 4" xfId="13841" xr:uid="{B90BAC6B-F6BA-490E-A866-BB2E02B48C26}"/>
    <cellStyle name="40% - Accent2 2 3 3 4" xfId="26512" xr:uid="{7ABAEE9A-9A59-4C4E-91D6-9DB29FABB7F6}"/>
    <cellStyle name="40% - Accent2 2 3 3 5" xfId="18071" xr:uid="{1953F08E-520B-4002-960F-72EE7CF3B0FD}"/>
    <cellStyle name="40% - Accent2 2 3 3 6" xfId="9623" xr:uid="{D6739282-FDFF-428D-A329-393DAF5DE59E}"/>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33288" xr:uid="{EB5229EF-C993-4E36-B4A0-6D608AA713B2}"/>
    <cellStyle name="40% - Accent2 2 3 4 2 2 3" xfId="24847" xr:uid="{F8CFC509-A92D-4E94-8665-E5A1C3007E62}"/>
    <cellStyle name="40% - Accent2 2 3 4 2 2 4" xfId="16399" xr:uid="{BA9AD168-1B35-40A8-AFAD-38BD188F7947}"/>
    <cellStyle name="40% - Accent2 2 3 4 2 3" xfId="29070" xr:uid="{A347B7D1-C38D-4577-B6F2-6B9A9DD646F8}"/>
    <cellStyle name="40% - Accent2 2 3 4 2 4" xfId="20629" xr:uid="{37456AD2-69DE-42D4-9BC5-7E4FB6D3FD78}"/>
    <cellStyle name="40% - Accent2 2 3 4 2 5" xfId="12181" xr:uid="{2EC0C21E-88A9-4B21-BD3D-0F04765792D8}"/>
    <cellStyle name="40% - Accent2 2 3 4 3" xfId="5804" xr:uid="{00000000-0005-0000-0000-000097040000}"/>
    <cellStyle name="40% - Accent2 2 3 4 3 2" xfId="31143" xr:uid="{8F00F3FC-D2FF-46A9-8D6F-4F742385BC66}"/>
    <cellStyle name="40% - Accent2 2 3 4 3 3" xfId="22702" xr:uid="{031CA5CA-93F8-48EB-A4E5-98DA91C3B756}"/>
    <cellStyle name="40% - Accent2 2 3 4 3 4" xfId="14254" xr:uid="{D84D8688-56F9-43FD-A1E0-11DBDB31E4AE}"/>
    <cellStyle name="40% - Accent2 2 3 4 4" xfId="26925" xr:uid="{A481097B-29AF-4A36-BFBD-9DFF3A2A56B4}"/>
    <cellStyle name="40% - Accent2 2 3 4 5" xfId="18484" xr:uid="{34CCC8FB-0AA8-4722-A689-BD2C1EF46AC9}"/>
    <cellStyle name="40% - Accent2 2 3 4 6" xfId="10036" xr:uid="{16E168D7-84B5-4B83-A748-89AD701648AC}"/>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33701" xr:uid="{C582EF06-C4BF-4BD9-951C-D0B9E30D4654}"/>
    <cellStyle name="40% - Accent2 2 3 5 2 2 3" xfId="25260" xr:uid="{A779BB0C-7C52-435A-AF5B-2FDA0E5B379C}"/>
    <cellStyle name="40% - Accent2 2 3 5 2 2 4" xfId="16812" xr:uid="{7A2CE62F-103D-4700-A721-6E6879A30A55}"/>
    <cellStyle name="40% - Accent2 2 3 5 2 3" xfId="29483" xr:uid="{85BC2EAA-F6B5-4CB3-9A20-E7B5A5E53B4F}"/>
    <cellStyle name="40% - Accent2 2 3 5 2 4" xfId="21042" xr:uid="{829F0AE9-6E82-42F4-9CB7-1F23D5BE1CAD}"/>
    <cellStyle name="40% - Accent2 2 3 5 2 5" xfId="12594" xr:uid="{CFB7BB65-A6B5-42FF-B706-EBCBACA68D6B}"/>
    <cellStyle name="40% - Accent2 2 3 5 3" xfId="6217" xr:uid="{00000000-0005-0000-0000-00009B040000}"/>
    <cellStyle name="40% - Accent2 2 3 5 3 2" xfId="31556" xr:uid="{C3986A8D-B837-479D-A8A6-22C3276DCB86}"/>
    <cellStyle name="40% - Accent2 2 3 5 3 3" xfId="23115" xr:uid="{537225B9-4C04-4FBC-9EBD-4DE1B6DB7233}"/>
    <cellStyle name="40% - Accent2 2 3 5 3 4" xfId="14667" xr:uid="{EB82E1D9-0A57-4904-9B13-2AC6E6211E1B}"/>
    <cellStyle name="40% - Accent2 2 3 5 4" xfId="27338" xr:uid="{F55633EE-FE98-4CB4-859E-D9B75351E2C5}"/>
    <cellStyle name="40% - Accent2 2 3 5 5" xfId="18897" xr:uid="{72255015-7391-4381-BFC7-2D472868E183}"/>
    <cellStyle name="40% - Accent2 2 3 5 6" xfId="10449" xr:uid="{71414471-4090-4315-90F9-478B71873432}"/>
    <cellStyle name="40% - Accent2 2 3 6" xfId="2324" xr:uid="{00000000-0005-0000-0000-00009C040000}"/>
    <cellStyle name="40% - Accent2 2 3 6 2" xfId="6630" xr:uid="{00000000-0005-0000-0000-00009D040000}"/>
    <cellStyle name="40% - Accent2 2 3 6 2 2" xfId="31969" xr:uid="{CC45626D-3ADA-448A-92C0-135BAF660560}"/>
    <cellStyle name="40% - Accent2 2 3 6 2 3" xfId="23528" xr:uid="{F212D693-F9CF-49C9-B161-7C9974F2A771}"/>
    <cellStyle name="40% - Accent2 2 3 6 2 4" xfId="15080" xr:uid="{C03593A1-2150-45A5-A8FC-2BCD8C30BA3E}"/>
    <cellStyle name="40% - Accent2 2 3 6 3" xfId="27751" xr:uid="{C4B9CCA5-75BA-4948-A0C6-C975C7680F66}"/>
    <cellStyle name="40% - Accent2 2 3 6 4" xfId="19310" xr:uid="{613CA76D-3F01-4B65-9738-F2A6F5258659}"/>
    <cellStyle name="40% - Accent2 2 3 6 5" xfId="10862" xr:uid="{D98C6C37-D93C-4D11-8A67-B5A9555A1691}"/>
    <cellStyle name="40% - Accent2 2 3 7" xfId="4564" xr:uid="{00000000-0005-0000-0000-00009E040000}"/>
    <cellStyle name="40% - Accent2 2 3 7 2" xfId="29903" xr:uid="{D5C490DE-BC43-4075-9D10-37E1FBBA6C5D}"/>
    <cellStyle name="40% - Accent2 2 3 7 3" xfId="21462" xr:uid="{4FBF4758-1D90-435B-BE9F-1E5AC6DEBADD}"/>
    <cellStyle name="40% - Accent2 2 3 7 4" xfId="13014" xr:uid="{DB5CB49F-3B37-4EF4-A8E8-6DCB3F9186F2}"/>
    <cellStyle name="40% - Accent2 2 3 8" xfId="25685" xr:uid="{9FC900AE-0BF9-4C0A-9D9A-6F71FC54D59E}"/>
    <cellStyle name="40% - Accent2 2 3 9" xfId="17244" xr:uid="{6976EB59-3AB4-426D-9AC4-E023B23F3613}"/>
    <cellStyle name="40% - Accent2 2 4" xfId="627" xr:uid="{00000000-0005-0000-0000-00009F040000}"/>
    <cellStyle name="40% - Accent2 2 4 2" xfId="2898" xr:uid="{00000000-0005-0000-0000-0000A0040000}"/>
    <cellStyle name="40% - Accent2 2 4 2 2" xfId="7120" xr:uid="{00000000-0005-0000-0000-0000A1040000}"/>
    <cellStyle name="40% - Accent2 2 4 2 2 2" xfId="32459" xr:uid="{C3D43D99-CAA9-46FA-8415-3F52CEF1C423}"/>
    <cellStyle name="40% - Accent2 2 4 2 2 3" xfId="24018" xr:uid="{197C252D-771D-40F7-8E7C-340AA0BBD61D}"/>
    <cellStyle name="40% - Accent2 2 4 2 2 4" xfId="15570" xr:uid="{EE17342A-F669-45BA-AE85-5F8D62FB4228}"/>
    <cellStyle name="40% - Accent2 2 4 2 3" xfId="28241" xr:uid="{4F5C8795-4E91-4FB3-A30B-27C45C6CD8B6}"/>
    <cellStyle name="40% - Accent2 2 4 2 4" xfId="19800" xr:uid="{7042846B-C26C-4BB7-80E9-D6DBE16F1BAE}"/>
    <cellStyle name="40% - Accent2 2 4 2 5" xfId="11352" xr:uid="{599ED7B7-13A6-43E0-9307-DE48BE15B206}"/>
    <cellStyle name="40% - Accent2 2 4 3" xfId="4975" xr:uid="{00000000-0005-0000-0000-0000A2040000}"/>
    <cellStyle name="40% - Accent2 2 4 3 2" xfId="30314" xr:uid="{67AADC05-D85E-455D-84EB-58319441D7BF}"/>
    <cellStyle name="40% - Accent2 2 4 3 3" xfId="21873" xr:uid="{9D3EC2F0-16BC-40A5-A6CB-51781B15FB81}"/>
    <cellStyle name="40% - Accent2 2 4 3 4" xfId="13425" xr:uid="{D8011D1E-5FA0-4429-BED8-12F4FCF3837C}"/>
    <cellStyle name="40% - Accent2 2 4 4" xfId="26096" xr:uid="{054F9CD1-5EF9-4EB8-B9EF-FA13B9A7690D}"/>
    <cellStyle name="40% - Accent2 2 4 5" xfId="17655" xr:uid="{F052F654-06DD-487C-BB97-E1419D9CBBFC}"/>
    <cellStyle name="40% - Accent2 2 4 6" xfId="9207" xr:uid="{60B32A68-9B84-42A6-8E01-968CCE33B454}"/>
    <cellStyle name="40% - Accent2 2 5" xfId="1080" xr:uid="{00000000-0005-0000-0000-0000A3040000}"/>
    <cellStyle name="40% - Accent2 2 5 2" xfId="3311" xr:uid="{00000000-0005-0000-0000-0000A4040000}"/>
    <cellStyle name="40% - Accent2 2 5 2 2" xfId="7533" xr:uid="{00000000-0005-0000-0000-0000A5040000}"/>
    <cellStyle name="40% - Accent2 2 5 2 2 2" xfId="32872" xr:uid="{8BF1B416-9004-43E4-BD77-48AE9C9BC6AB}"/>
    <cellStyle name="40% - Accent2 2 5 2 2 3" xfId="24431" xr:uid="{231E3846-2F7A-4D4B-845A-1A5B2322AF52}"/>
    <cellStyle name="40% - Accent2 2 5 2 2 4" xfId="15983" xr:uid="{4FD3E8C3-46E8-4C5E-9609-5B8E174C28E5}"/>
    <cellStyle name="40% - Accent2 2 5 2 3" xfId="28654" xr:uid="{197E772D-4E03-4BE9-A5C6-DC1A51084C3D}"/>
    <cellStyle name="40% - Accent2 2 5 2 4" xfId="20213" xr:uid="{8ED3591A-A1D1-4F4E-83EC-EDEF6DD52226}"/>
    <cellStyle name="40% - Accent2 2 5 2 5" xfId="11765" xr:uid="{2FD3A41D-A707-4740-BC60-757D6A2E4A6B}"/>
    <cellStyle name="40% - Accent2 2 5 3" xfId="5388" xr:uid="{00000000-0005-0000-0000-0000A6040000}"/>
    <cellStyle name="40% - Accent2 2 5 3 2" xfId="30727" xr:uid="{CFB33BD9-3A57-4722-80AE-7A5EE5AD514B}"/>
    <cellStyle name="40% - Accent2 2 5 3 3" xfId="22286" xr:uid="{4B2D2495-7AB8-4FA2-9971-76DD0C55990E}"/>
    <cellStyle name="40% - Accent2 2 5 3 4" xfId="13838" xr:uid="{ACDBECAC-DAB3-4C1E-83E8-A7EBC4DCF0D6}"/>
    <cellStyle name="40% - Accent2 2 5 4" xfId="26509" xr:uid="{C9C3EADF-C38F-48B1-8AE2-1449E3D53ADB}"/>
    <cellStyle name="40% - Accent2 2 5 5" xfId="18068" xr:uid="{AC008677-4933-42BB-BC79-46C9F087F622}"/>
    <cellStyle name="40% - Accent2 2 5 6" xfId="9620" xr:uid="{E7C7E090-7928-4E79-9AF5-E29DEAB3E481}"/>
    <cellStyle name="40% - Accent2 2 6" xfId="1494" xr:uid="{00000000-0005-0000-0000-0000A7040000}"/>
    <cellStyle name="40% - Accent2 2 6 2" xfId="3724" xr:uid="{00000000-0005-0000-0000-0000A8040000}"/>
    <cellStyle name="40% - Accent2 2 6 2 2" xfId="7946" xr:uid="{00000000-0005-0000-0000-0000A9040000}"/>
    <cellStyle name="40% - Accent2 2 6 2 2 2" xfId="33285" xr:uid="{88FD1D04-108D-4BDD-9665-18A17B3FDB6C}"/>
    <cellStyle name="40% - Accent2 2 6 2 2 3" xfId="24844" xr:uid="{5393EBC2-5357-4EE1-82E4-7895AE0FA3E6}"/>
    <cellStyle name="40% - Accent2 2 6 2 2 4" xfId="16396" xr:uid="{ACDE6973-A29C-403F-AFA2-5AAE0A5F5565}"/>
    <cellStyle name="40% - Accent2 2 6 2 3" xfId="29067" xr:uid="{D9C9BC7E-C214-42CC-AEC8-28F7ABD5B149}"/>
    <cellStyle name="40% - Accent2 2 6 2 4" xfId="20626" xr:uid="{2EB66DE5-6240-4CE6-9398-C148BA47C57C}"/>
    <cellStyle name="40% - Accent2 2 6 2 5" xfId="12178" xr:uid="{33F52EB3-D28D-4406-87F2-EA9FFAA40A1D}"/>
    <cellStyle name="40% - Accent2 2 6 3" xfId="5801" xr:uid="{00000000-0005-0000-0000-0000AA040000}"/>
    <cellStyle name="40% - Accent2 2 6 3 2" xfId="31140" xr:uid="{BF3C6C0F-71A6-4670-9304-6BC15EADF4A7}"/>
    <cellStyle name="40% - Accent2 2 6 3 3" xfId="22699" xr:uid="{5AE1E5F1-25E0-4D05-8DCB-3E57558606C6}"/>
    <cellStyle name="40% - Accent2 2 6 3 4" xfId="14251" xr:uid="{31F2DD5C-FDE8-4BB6-A76C-9EED513B3D11}"/>
    <cellStyle name="40% - Accent2 2 6 4" xfId="26922" xr:uid="{0DF90780-4003-4BB8-94E2-BB8D5591A78F}"/>
    <cellStyle name="40% - Accent2 2 6 5" xfId="18481" xr:uid="{9AB5DA60-A846-47EE-8C18-3554B47D29BF}"/>
    <cellStyle name="40% - Accent2 2 6 6" xfId="10033" xr:uid="{84BA4F51-A28B-4AA2-9652-7CFDD4A5E863}"/>
    <cellStyle name="40% - Accent2 2 7" xfId="1908" xr:uid="{00000000-0005-0000-0000-0000AB040000}"/>
    <cellStyle name="40% - Accent2 2 7 2" xfId="4137" xr:uid="{00000000-0005-0000-0000-0000AC040000}"/>
    <cellStyle name="40% - Accent2 2 7 2 2" xfId="8359" xr:uid="{00000000-0005-0000-0000-0000AD040000}"/>
    <cellStyle name="40% - Accent2 2 7 2 2 2" xfId="33698" xr:uid="{EA1F9F6C-6559-4F14-86EC-AEEEEEEEA171}"/>
    <cellStyle name="40% - Accent2 2 7 2 2 3" xfId="25257" xr:uid="{02DDB926-0E28-4CE0-BADE-B85FD97EF54F}"/>
    <cellStyle name="40% - Accent2 2 7 2 2 4" xfId="16809" xr:uid="{3113E8C3-C89D-4E0C-99EC-DE9389AC4625}"/>
    <cellStyle name="40% - Accent2 2 7 2 3" xfId="29480" xr:uid="{1BB3EC11-85AF-40DD-9807-911629407A14}"/>
    <cellStyle name="40% - Accent2 2 7 2 4" xfId="21039" xr:uid="{702A3507-4C79-4AED-BE3B-97244B024ADF}"/>
    <cellStyle name="40% - Accent2 2 7 2 5" xfId="12591" xr:uid="{C7C8D6CB-9658-4309-9A29-FFE55DD1F1B5}"/>
    <cellStyle name="40% - Accent2 2 7 3" xfId="6214" xr:uid="{00000000-0005-0000-0000-0000AE040000}"/>
    <cellStyle name="40% - Accent2 2 7 3 2" xfId="31553" xr:uid="{3C0EA600-228B-448B-99F8-95E69E12F3D4}"/>
    <cellStyle name="40% - Accent2 2 7 3 3" xfId="23112" xr:uid="{A54325D6-85B4-4A95-BE0E-CBB07C8854E6}"/>
    <cellStyle name="40% - Accent2 2 7 3 4" xfId="14664" xr:uid="{54292DE8-97C5-4D3C-BAA5-DF2059A121A1}"/>
    <cellStyle name="40% - Accent2 2 7 4" xfId="27335" xr:uid="{57B64B30-6CE7-4B85-884E-1D07F61F6850}"/>
    <cellStyle name="40% - Accent2 2 7 5" xfId="18894" xr:uid="{3BCD7B85-C637-4244-B5CB-781EFF53F493}"/>
    <cellStyle name="40% - Accent2 2 7 6" xfId="10446" xr:uid="{AD78A3DF-951A-4D3D-844C-96D949A8E787}"/>
    <cellStyle name="40% - Accent2 2 8" xfId="2321" xr:uid="{00000000-0005-0000-0000-0000AF040000}"/>
    <cellStyle name="40% - Accent2 2 8 2" xfId="6627" xr:uid="{00000000-0005-0000-0000-0000B0040000}"/>
    <cellStyle name="40% - Accent2 2 8 2 2" xfId="31966" xr:uid="{84D1141B-1FC7-4CFB-B7D4-4A2E717016DA}"/>
    <cellStyle name="40% - Accent2 2 8 2 3" xfId="23525" xr:uid="{5A6077E9-93C6-4A0D-A7EA-61FB272D8A67}"/>
    <cellStyle name="40% - Accent2 2 8 2 4" xfId="15077" xr:uid="{E8E8CB5E-40A0-4220-B767-2DBC03D37A82}"/>
    <cellStyle name="40% - Accent2 2 8 3" xfId="27748" xr:uid="{8B7168ED-448B-4816-906A-44A6E616CD13}"/>
    <cellStyle name="40% - Accent2 2 8 4" xfId="19307" xr:uid="{992A3D36-33F2-4FBE-B45D-9C2D8B626AA1}"/>
    <cellStyle name="40% - Accent2 2 8 5" xfId="10859" xr:uid="{E8160E5C-BF55-4B97-83CC-1D55F335BC7D}"/>
    <cellStyle name="40% - Accent2 2 9" xfId="4561" xr:uid="{00000000-0005-0000-0000-0000B1040000}"/>
    <cellStyle name="40% - Accent2 2 9 2" xfId="29900" xr:uid="{CCE129AE-7884-414B-818E-8DBBA34E40F4}"/>
    <cellStyle name="40% - Accent2 2 9 3" xfId="21459" xr:uid="{89CBDDA9-846A-4517-9233-C908957CC5C6}"/>
    <cellStyle name="40% - Accent2 2 9 4" xfId="13011" xr:uid="{547D9B74-E78F-4E8A-9FE8-1A51BF02AF6B}"/>
    <cellStyle name="40% - Accent2 3" xfId="62" xr:uid="{00000000-0005-0000-0000-0000B2040000}"/>
    <cellStyle name="40% - Accent2 3 10" xfId="17245" xr:uid="{C2D81B8B-5C7C-4B48-8276-80C5348C8B64}"/>
    <cellStyle name="40% - Accent2 3 11" xfId="8797" xr:uid="{7A3A9BEC-BD6D-45A8-830E-AFF43A01078A}"/>
    <cellStyle name="40% - Accent2 3 2" xfId="63" xr:uid="{00000000-0005-0000-0000-0000B3040000}"/>
    <cellStyle name="40% - Accent2 3 2 10" xfId="8798" xr:uid="{A845F785-2518-4C7E-8412-C23B747C2867}"/>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32464" xr:uid="{F4EE47CD-68A1-4060-9960-CE99070BC554}"/>
    <cellStyle name="40% - Accent2 3 2 2 2 2 3" xfId="24023" xr:uid="{0C46588E-F3E6-4B1A-8CF7-8E1C19DC2933}"/>
    <cellStyle name="40% - Accent2 3 2 2 2 2 4" xfId="15575" xr:uid="{C29585F4-3CCF-4C3F-9271-6EA7C3240D45}"/>
    <cellStyle name="40% - Accent2 3 2 2 2 3" xfId="28246" xr:uid="{8B74C93E-1188-4B58-86F8-66C592562023}"/>
    <cellStyle name="40% - Accent2 3 2 2 2 4" xfId="19805" xr:uid="{CDCA4230-EA0B-4536-B717-6CFA1E81E34E}"/>
    <cellStyle name="40% - Accent2 3 2 2 2 5" xfId="11357" xr:uid="{45438803-532E-4DFC-A164-CBB52E5C9BB0}"/>
    <cellStyle name="40% - Accent2 3 2 2 3" xfId="4980" xr:uid="{00000000-0005-0000-0000-0000B7040000}"/>
    <cellStyle name="40% - Accent2 3 2 2 3 2" xfId="30319" xr:uid="{5B703EE5-2EE6-4C73-91B5-21873F75189A}"/>
    <cellStyle name="40% - Accent2 3 2 2 3 3" xfId="21878" xr:uid="{50BC4E0E-1F1D-44F4-96E8-773276C6F187}"/>
    <cellStyle name="40% - Accent2 3 2 2 3 4" xfId="13430" xr:uid="{14141946-3D2A-40CD-9FCC-D683B76F5891}"/>
    <cellStyle name="40% - Accent2 3 2 2 4" xfId="26101" xr:uid="{0D87474B-2391-4543-B6FC-10C48885C2AF}"/>
    <cellStyle name="40% - Accent2 3 2 2 5" xfId="17660" xr:uid="{87EABCBA-D9A9-4F48-A7E3-0BC0DD378A8C}"/>
    <cellStyle name="40% - Accent2 3 2 2 6" xfId="9212" xr:uid="{9DBF3C8D-D8CD-45B3-8797-C0161F86F0C2}"/>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32877" xr:uid="{5592BFB4-260C-41D0-8E7D-339865F4C96D}"/>
    <cellStyle name="40% - Accent2 3 2 3 2 2 3" xfId="24436" xr:uid="{EC08BFA5-59BE-41FE-95D6-800A5C140714}"/>
    <cellStyle name="40% - Accent2 3 2 3 2 2 4" xfId="15988" xr:uid="{17319720-56A8-4F44-A9DF-1583BEFD3D1C}"/>
    <cellStyle name="40% - Accent2 3 2 3 2 3" xfId="28659" xr:uid="{41169156-18CD-42C0-A256-B2873B0A3FE7}"/>
    <cellStyle name="40% - Accent2 3 2 3 2 4" xfId="20218" xr:uid="{9F19457D-3078-465F-ADDA-722390D971E7}"/>
    <cellStyle name="40% - Accent2 3 2 3 2 5" xfId="11770" xr:uid="{1E4AC7D8-D748-48C5-AED1-AC329613F208}"/>
    <cellStyle name="40% - Accent2 3 2 3 3" xfId="5393" xr:uid="{00000000-0005-0000-0000-0000BB040000}"/>
    <cellStyle name="40% - Accent2 3 2 3 3 2" xfId="30732" xr:uid="{0DF7C831-65A7-4867-8BD5-E2E480DD83EE}"/>
    <cellStyle name="40% - Accent2 3 2 3 3 3" xfId="22291" xr:uid="{56EF202A-320D-4A0A-BE72-4816BE4157A9}"/>
    <cellStyle name="40% - Accent2 3 2 3 3 4" xfId="13843" xr:uid="{9B668A96-6335-43C9-9835-3B829B660ADA}"/>
    <cellStyle name="40% - Accent2 3 2 3 4" xfId="26514" xr:uid="{125B5866-5083-4EA5-B40E-7E065B233C68}"/>
    <cellStyle name="40% - Accent2 3 2 3 5" xfId="18073" xr:uid="{8DF67D91-2808-4B37-BD36-25DD8A7426DE}"/>
    <cellStyle name="40% - Accent2 3 2 3 6" xfId="9625" xr:uid="{963089C1-56A4-49A5-902C-EF0ACAC90429}"/>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33290" xr:uid="{3FB6E377-C1ED-4853-B3E1-386428968F8A}"/>
    <cellStyle name="40% - Accent2 3 2 4 2 2 3" xfId="24849" xr:uid="{57B45A84-7E68-4619-A679-9414831A1AD5}"/>
    <cellStyle name="40% - Accent2 3 2 4 2 2 4" xfId="16401" xr:uid="{6C2E6894-FD80-4994-935A-65A92A3064FE}"/>
    <cellStyle name="40% - Accent2 3 2 4 2 3" xfId="29072" xr:uid="{EB3EB017-9D6C-4B50-92C9-3A1318C74BAA}"/>
    <cellStyle name="40% - Accent2 3 2 4 2 4" xfId="20631" xr:uid="{1B43BBFE-2BA8-4201-9729-06BCDE64644E}"/>
    <cellStyle name="40% - Accent2 3 2 4 2 5" xfId="12183" xr:uid="{FC2C566A-BE3A-4646-B10D-6258A945E727}"/>
    <cellStyle name="40% - Accent2 3 2 4 3" xfId="5806" xr:uid="{00000000-0005-0000-0000-0000BF040000}"/>
    <cellStyle name="40% - Accent2 3 2 4 3 2" xfId="31145" xr:uid="{CE02DFAF-DC56-4B65-9178-A9C8392A04A5}"/>
    <cellStyle name="40% - Accent2 3 2 4 3 3" xfId="22704" xr:uid="{737482BB-D7B7-4A72-96FC-07EC87AD9D23}"/>
    <cellStyle name="40% - Accent2 3 2 4 3 4" xfId="14256" xr:uid="{38E85A0C-1949-4989-A944-B218E570E212}"/>
    <cellStyle name="40% - Accent2 3 2 4 4" xfId="26927" xr:uid="{41BF3EAD-AB00-443E-8DD9-9223C5228793}"/>
    <cellStyle name="40% - Accent2 3 2 4 5" xfId="18486" xr:uid="{16052115-CA75-48D7-A964-55828A0AE49E}"/>
    <cellStyle name="40% - Accent2 3 2 4 6" xfId="10038" xr:uid="{9956DB1D-925A-4A85-9E0A-0D1CB26A8EB0}"/>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33703" xr:uid="{FE76E5EC-7F22-428C-B839-F088123DCEE3}"/>
    <cellStyle name="40% - Accent2 3 2 5 2 2 3" xfId="25262" xr:uid="{4C492CF5-9706-4731-ABA7-6832336158EF}"/>
    <cellStyle name="40% - Accent2 3 2 5 2 2 4" xfId="16814" xr:uid="{474A989C-E873-4A68-B241-761EE202464A}"/>
    <cellStyle name="40% - Accent2 3 2 5 2 3" xfId="29485" xr:uid="{E2D02997-4735-4816-90A6-433503270F63}"/>
    <cellStyle name="40% - Accent2 3 2 5 2 4" xfId="21044" xr:uid="{BD14BFB0-1EC8-4D2E-8B96-535C4CC5083B}"/>
    <cellStyle name="40% - Accent2 3 2 5 2 5" xfId="12596" xr:uid="{2A70DA77-B815-49A5-9818-1F16FE9571CE}"/>
    <cellStyle name="40% - Accent2 3 2 5 3" xfId="6219" xr:uid="{00000000-0005-0000-0000-0000C3040000}"/>
    <cellStyle name="40% - Accent2 3 2 5 3 2" xfId="31558" xr:uid="{250C1B08-E9F8-4702-98E2-9CFAB2208C9F}"/>
    <cellStyle name="40% - Accent2 3 2 5 3 3" xfId="23117" xr:uid="{A2E23446-956B-4782-B4B5-C8305D18D5D7}"/>
    <cellStyle name="40% - Accent2 3 2 5 3 4" xfId="14669" xr:uid="{538349AC-8C26-408C-8AE1-5C335207F3AC}"/>
    <cellStyle name="40% - Accent2 3 2 5 4" xfId="27340" xr:uid="{EC6AD207-C945-437E-906B-9B573FA2F496}"/>
    <cellStyle name="40% - Accent2 3 2 5 5" xfId="18899" xr:uid="{0C006E16-8451-4A82-89F0-1596A00C7E29}"/>
    <cellStyle name="40% - Accent2 3 2 5 6" xfId="10451" xr:uid="{DEE64DBE-C101-4AC9-92C3-0834DE71D658}"/>
    <cellStyle name="40% - Accent2 3 2 6" xfId="2326" xr:uid="{00000000-0005-0000-0000-0000C4040000}"/>
    <cellStyle name="40% - Accent2 3 2 6 2" xfId="6632" xr:uid="{00000000-0005-0000-0000-0000C5040000}"/>
    <cellStyle name="40% - Accent2 3 2 6 2 2" xfId="31971" xr:uid="{4ADAEDB4-2920-42A5-BB20-8C8133C0F2B0}"/>
    <cellStyle name="40% - Accent2 3 2 6 2 3" xfId="23530" xr:uid="{1A43F1D5-8FF3-4736-BB1E-C18A087A68C1}"/>
    <cellStyle name="40% - Accent2 3 2 6 2 4" xfId="15082" xr:uid="{11ADB411-A2D5-46D4-A578-131EE09C94A7}"/>
    <cellStyle name="40% - Accent2 3 2 6 3" xfId="27753" xr:uid="{E4A7726B-2D61-4153-8167-795EC3D451D2}"/>
    <cellStyle name="40% - Accent2 3 2 6 4" xfId="19312" xr:uid="{0C8A873C-8D0D-4867-B70A-BA56E204ED1B}"/>
    <cellStyle name="40% - Accent2 3 2 6 5" xfId="10864" xr:uid="{0A6E8A96-18B4-43E7-9C6F-0D28B3698FE5}"/>
    <cellStyle name="40% - Accent2 3 2 7" xfId="4566" xr:uid="{00000000-0005-0000-0000-0000C6040000}"/>
    <cellStyle name="40% - Accent2 3 2 7 2" xfId="29905" xr:uid="{E5175B79-85C3-41BE-BEE5-BEEFDB7DC6E3}"/>
    <cellStyle name="40% - Accent2 3 2 7 3" xfId="21464" xr:uid="{7AF21BE2-175F-4553-B886-9A3382CAF250}"/>
    <cellStyle name="40% - Accent2 3 2 7 4" xfId="13016" xr:uid="{B2E0CE5E-5530-4C56-85C6-985B40458FDB}"/>
    <cellStyle name="40% - Accent2 3 2 8" xfId="25687" xr:uid="{56CF4DA6-A5CE-4ECD-B0A8-C4C1B185819F}"/>
    <cellStyle name="40% - Accent2 3 2 9" xfId="17246" xr:uid="{7E4ACFCB-735A-42FD-8253-193035CE2EF8}"/>
    <cellStyle name="40% - Accent2 3 3" xfId="631" xr:uid="{00000000-0005-0000-0000-0000C7040000}"/>
    <cellStyle name="40% - Accent2 3 3 2" xfId="2902" xr:uid="{00000000-0005-0000-0000-0000C8040000}"/>
    <cellStyle name="40% - Accent2 3 3 2 2" xfId="7124" xr:uid="{00000000-0005-0000-0000-0000C9040000}"/>
    <cellStyle name="40% - Accent2 3 3 2 2 2" xfId="32463" xr:uid="{05A8CA5E-CFB4-4521-BABA-1AD095368428}"/>
    <cellStyle name="40% - Accent2 3 3 2 2 3" xfId="24022" xr:uid="{C3AD6769-2B6A-43C5-9206-4EB4C0F37C5E}"/>
    <cellStyle name="40% - Accent2 3 3 2 2 4" xfId="15574" xr:uid="{E5F18E18-0033-4BA1-A9F7-D126E1F9EBA2}"/>
    <cellStyle name="40% - Accent2 3 3 2 3" xfId="28245" xr:uid="{F4305499-848E-43C2-A5B7-DF843225245E}"/>
    <cellStyle name="40% - Accent2 3 3 2 4" xfId="19804" xr:uid="{22E5C9FA-7FEC-4D45-A527-9B82472C0A85}"/>
    <cellStyle name="40% - Accent2 3 3 2 5" xfId="11356" xr:uid="{E2095D9A-3C1A-493E-8F89-30BFA7557E79}"/>
    <cellStyle name="40% - Accent2 3 3 3" xfId="4979" xr:uid="{00000000-0005-0000-0000-0000CA040000}"/>
    <cellStyle name="40% - Accent2 3 3 3 2" xfId="30318" xr:uid="{3DA10E6A-26B6-4B17-AC55-727795354657}"/>
    <cellStyle name="40% - Accent2 3 3 3 3" xfId="21877" xr:uid="{5037623A-9DFA-4C2A-A94C-28C230029E2B}"/>
    <cellStyle name="40% - Accent2 3 3 3 4" xfId="13429" xr:uid="{69A18C7D-5698-4FC9-876C-4E58E8FF64AC}"/>
    <cellStyle name="40% - Accent2 3 3 4" xfId="26100" xr:uid="{1C12D546-783D-4969-A857-37FADF399D86}"/>
    <cellStyle name="40% - Accent2 3 3 5" xfId="17659" xr:uid="{3DC22ADC-3E6E-4274-AD7E-5545129ACD33}"/>
    <cellStyle name="40% - Accent2 3 3 6" xfId="9211" xr:uid="{65B63F19-1474-4D8D-9067-FF789DDC9629}"/>
    <cellStyle name="40% - Accent2 3 4" xfId="1084" xr:uid="{00000000-0005-0000-0000-0000CB040000}"/>
    <cellStyle name="40% - Accent2 3 4 2" xfId="3315" xr:uid="{00000000-0005-0000-0000-0000CC040000}"/>
    <cellStyle name="40% - Accent2 3 4 2 2" xfId="7537" xr:uid="{00000000-0005-0000-0000-0000CD040000}"/>
    <cellStyle name="40% - Accent2 3 4 2 2 2" xfId="32876" xr:uid="{F88D4C53-A4EC-493C-9BBA-7ED842A758DE}"/>
    <cellStyle name="40% - Accent2 3 4 2 2 3" xfId="24435" xr:uid="{D216BF04-35BF-443D-BEAA-A73E8342A7CA}"/>
    <cellStyle name="40% - Accent2 3 4 2 2 4" xfId="15987" xr:uid="{FD89DE00-6391-4FFE-80F2-868BB5731094}"/>
    <cellStyle name="40% - Accent2 3 4 2 3" xfId="28658" xr:uid="{383BFCC8-B25F-4F94-9C07-0463680ED1C8}"/>
    <cellStyle name="40% - Accent2 3 4 2 4" xfId="20217" xr:uid="{AF068664-6182-4039-916D-4594D630F2E5}"/>
    <cellStyle name="40% - Accent2 3 4 2 5" xfId="11769" xr:uid="{E63CED44-F225-4561-AE94-C4C796778088}"/>
    <cellStyle name="40% - Accent2 3 4 3" xfId="5392" xr:uid="{00000000-0005-0000-0000-0000CE040000}"/>
    <cellStyle name="40% - Accent2 3 4 3 2" xfId="30731" xr:uid="{02CFDFDF-77BC-48DB-8265-A7448CC69F76}"/>
    <cellStyle name="40% - Accent2 3 4 3 3" xfId="22290" xr:uid="{D72579ED-075C-4487-8032-DC6B08421AF2}"/>
    <cellStyle name="40% - Accent2 3 4 3 4" xfId="13842" xr:uid="{082B3639-38FB-4DE0-8D68-D22977AF7817}"/>
    <cellStyle name="40% - Accent2 3 4 4" xfId="26513" xr:uid="{0ADD86BB-BA8A-4543-9B02-DB85FC25CF90}"/>
    <cellStyle name="40% - Accent2 3 4 5" xfId="18072" xr:uid="{F5FB144A-60F3-4C38-A315-583356875D01}"/>
    <cellStyle name="40% - Accent2 3 4 6" xfId="9624" xr:uid="{D44B8242-49D6-41F3-95E3-122C7887E33A}"/>
    <cellStyle name="40% - Accent2 3 5" xfId="1498" xr:uid="{00000000-0005-0000-0000-0000CF040000}"/>
    <cellStyle name="40% - Accent2 3 5 2" xfId="3728" xr:uid="{00000000-0005-0000-0000-0000D0040000}"/>
    <cellStyle name="40% - Accent2 3 5 2 2" xfId="7950" xr:uid="{00000000-0005-0000-0000-0000D1040000}"/>
    <cellStyle name="40% - Accent2 3 5 2 2 2" xfId="33289" xr:uid="{1FBCB235-E0DE-48BB-9729-12C53E012B55}"/>
    <cellStyle name="40% - Accent2 3 5 2 2 3" xfId="24848" xr:uid="{27EA5293-9D16-4CE0-BF76-5B3657C660AF}"/>
    <cellStyle name="40% - Accent2 3 5 2 2 4" xfId="16400" xr:uid="{142BE121-A3FC-47A1-A196-B06710667217}"/>
    <cellStyle name="40% - Accent2 3 5 2 3" xfId="29071" xr:uid="{939319EB-827D-4286-A2AC-83F5D8CE36A4}"/>
    <cellStyle name="40% - Accent2 3 5 2 4" xfId="20630" xr:uid="{6C2A8D68-D19E-47DC-A757-CA1FA7F04708}"/>
    <cellStyle name="40% - Accent2 3 5 2 5" xfId="12182" xr:uid="{985F0FD8-2E91-4ECF-960E-16CFE32692E2}"/>
    <cellStyle name="40% - Accent2 3 5 3" xfId="5805" xr:uid="{00000000-0005-0000-0000-0000D2040000}"/>
    <cellStyle name="40% - Accent2 3 5 3 2" xfId="31144" xr:uid="{6918D89D-A315-4F75-A96F-1B41BF3C7395}"/>
    <cellStyle name="40% - Accent2 3 5 3 3" xfId="22703" xr:uid="{35B44203-DF7D-4790-8D11-FE5FBD01DC28}"/>
    <cellStyle name="40% - Accent2 3 5 3 4" xfId="14255" xr:uid="{556791A3-7ED8-4227-B650-F7F09FA7806E}"/>
    <cellStyle name="40% - Accent2 3 5 4" xfId="26926" xr:uid="{59B726F7-919F-4A4C-8680-B2AD63EF69F3}"/>
    <cellStyle name="40% - Accent2 3 5 5" xfId="18485" xr:uid="{AAEA022B-48DC-4D6A-B482-21BD4395F442}"/>
    <cellStyle name="40% - Accent2 3 5 6" xfId="10037" xr:uid="{D50CAE7A-27CA-43EC-99EC-A46F692E81AA}"/>
    <cellStyle name="40% - Accent2 3 6" xfId="1912" xr:uid="{00000000-0005-0000-0000-0000D3040000}"/>
    <cellStyle name="40% - Accent2 3 6 2" xfId="4141" xr:uid="{00000000-0005-0000-0000-0000D4040000}"/>
    <cellStyle name="40% - Accent2 3 6 2 2" xfId="8363" xr:uid="{00000000-0005-0000-0000-0000D5040000}"/>
    <cellStyle name="40% - Accent2 3 6 2 2 2" xfId="33702" xr:uid="{F0C0B2B3-7172-49DE-97EA-E372CA0BB89E}"/>
    <cellStyle name="40% - Accent2 3 6 2 2 3" xfId="25261" xr:uid="{19AC6133-3071-4B80-90C3-9FA60489884E}"/>
    <cellStyle name="40% - Accent2 3 6 2 2 4" xfId="16813" xr:uid="{772BC3E9-3D3B-4D69-B392-4EBF95A016C5}"/>
    <cellStyle name="40% - Accent2 3 6 2 3" xfId="29484" xr:uid="{66717F0E-23BE-486F-BC01-3BFF5F253DBA}"/>
    <cellStyle name="40% - Accent2 3 6 2 4" xfId="21043" xr:uid="{B4D730E1-071F-4F4C-BFED-9F7426FE739B}"/>
    <cellStyle name="40% - Accent2 3 6 2 5" xfId="12595" xr:uid="{6AA5DF39-979C-44D8-B2C0-429872147889}"/>
    <cellStyle name="40% - Accent2 3 6 3" xfId="6218" xr:uid="{00000000-0005-0000-0000-0000D6040000}"/>
    <cellStyle name="40% - Accent2 3 6 3 2" xfId="31557" xr:uid="{5BE26E29-C348-43D8-BE12-CCA013FCCC54}"/>
    <cellStyle name="40% - Accent2 3 6 3 3" xfId="23116" xr:uid="{525D219D-A0C1-413B-8E85-F2B4C723EDDE}"/>
    <cellStyle name="40% - Accent2 3 6 3 4" xfId="14668" xr:uid="{C0324B4F-4FE8-4430-AFBB-EE85B7224D11}"/>
    <cellStyle name="40% - Accent2 3 6 4" xfId="27339" xr:uid="{05F0D58E-4B06-45A1-AEAD-07B5FD5673DC}"/>
    <cellStyle name="40% - Accent2 3 6 5" xfId="18898" xr:uid="{B9747D28-95D6-4EBF-ACE9-145E0DFCA35E}"/>
    <cellStyle name="40% - Accent2 3 6 6" xfId="10450" xr:uid="{040F2064-845E-4EDB-AB90-0E3DA1911C49}"/>
    <cellStyle name="40% - Accent2 3 7" xfId="2325" xr:uid="{00000000-0005-0000-0000-0000D7040000}"/>
    <cellStyle name="40% - Accent2 3 7 2" xfId="6631" xr:uid="{00000000-0005-0000-0000-0000D8040000}"/>
    <cellStyle name="40% - Accent2 3 7 2 2" xfId="31970" xr:uid="{A0349405-707E-403B-AF0E-ED3C2E49DDBC}"/>
    <cellStyle name="40% - Accent2 3 7 2 3" xfId="23529" xr:uid="{991E7EB2-475F-4A53-AE50-FE645ADBDC10}"/>
    <cellStyle name="40% - Accent2 3 7 2 4" xfId="15081" xr:uid="{3D3BDB83-9BBA-4EED-861F-532B1D457661}"/>
    <cellStyle name="40% - Accent2 3 7 3" xfId="27752" xr:uid="{6B8C7EFB-879A-4F10-92D5-0BE7D376A08A}"/>
    <cellStyle name="40% - Accent2 3 7 4" xfId="19311" xr:uid="{9E110EDF-4064-4438-838F-5F8608E8630C}"/>
    <cellStyle name="40% - Accent2 3 7 5" xfId="10863" xr:uid="{76722D94-CA7F-4733-B25F-43B800ABC455}"/>
    <cellStyle name="40% - Accent2 3 8" xfId="4565" xr:uid="{00000000-0005-0000-0000-0000D9040000}"/>
    <cellStyle name="40% - Accent2 3 8 2" xfId="29904" xr:uid="{127B7F4C-DB04-4A67-B1F6-2E76D9F336FD}"/>
    <cellStyle name="40% - Accent2 3 8 3" xfId="21463" xr:uid="{1F47C6CE-A155-492A-A021-4790A61A962B}"/>
    <cellStyle name="40% - Accent2 3 8 4" xfId="13015" xr:uid="{D1636FC3-7A7D-4E86-B1BC-380DFE7DC59B}"/>
    <cellStyle name="40% - Accent2 3 9" xfId="25686" xr:uid="{3D1702F2-F301-49E8-B1A0-4B4DF3AD9B8F}"/>
    <cellStyle name="40% - Accent2 4" xfId="64" xr:uid="{00000000-0005-0000-0000-0000DA040000}"/>
    <cellStyle name="40% - Accent2 4 10" xfId="8799" xr:uid="{35B729E9-84E0-4A76-BD28-91F6588DC5AF}"/>
    <cellStyle name="40% - Accent2 4 2" xfId="633" xr:uid="{00000000-0005-0000-0000-0000DB040000}"/>
    <cellStyle name="40% - Accent2 4 2 2" xfId="2904" xr:uid="{00000000-0005-0000-0000-0000DC040000}"/>
    <cellStyle name="40% - Accent2 4 2 2 2" xfId="7126" xr:uid="{00000000-0005-0000-0000-0000DD040000}"/>
    <cellStyle name="40% - Accent2 4 2 2 2 2" xfId="32465" xr:uid="{21A96C0A-C115-40CE-848E-6171371F2031}"/>
    <cellStyle name="40% - Accent2 4 2 2 2 3" xfId="24024" xr:uid="{90E7486A-F110-4155-95F9-7D0C9E6C544B}"/>
    <cellStyle name="40% - Accent2 4 2 2 2 4" xfId="15576" xr:uid="{F1F5EC05-E4E7-4EA3-B988-E8DB3B06905A}"/>
    <cellStyle name="40% - Accent2 4 2 2 3" xfId="28247" xr:uid="{519D9C1A-58FA-4F2B-A248-0C5036580EF4}"/>
    <cellStyle name="40% - Accent2 4 2 2 4" xfId="19806" xr:uid="{B91FDE4B-0584-484A-9470-C8C08A93ABEC}"/>
    <cellStyle name="40% - Accent2 4 2 2 5" xfId="11358" xr:uid="{CB3A56E7-A240-4CCF-BB77-51D0E29C9964}"/>
    <cellStyle name="40% - Accent2 4 2 3" xfId="4981" xr:uid="{00000000-0005-0000-0000-0000DE040000}"/>
    <cellStyle name="40% - Accent2 4 2 3 2" xfId="30320" xr:uid="{E4732A73-021E-457A-9F19-75193B1F4B79}"/>
    <cellStyle name="40% - Accent2 4 2 3 3" xfId="21879" xr:uid="{7C581DD8-4E52-460F-9322-69F1FB2BD499}"/>
    <cellStyle name="40% - Accent2 4 2 3 4" xfId="13431" xr:uid="{2048BC98-A109-4116-AC4D-611F976168CB}"/>
    <cellStyle name="40% - Accent2 4 2 4" xfId="26102" xr:uid="{BDBD3238-A942-4FE5-AB8F-650DA228DE3D}"/>
    <cellStyle name="40% - Accent2 4 2 5" xfId="17661" xr:uid="{DF6B9328-D310-4B89-9196-1685D19BC31C}"/>
    <cellStyle name="40% - Accent2 4 2 6" xfId="9213" xr:uid="{8C001253-2C0F-44D4-B559-B0009C2C36D3}"/>
    <cellStyle name="40% - Accent2 4 3" xfId="1086" xr:uid="{00000000-0005-0000-0000-0000DF040000}"/>
    <cellStyle name="40% - Accent2 4 3 2" xfId="3317" xr:uid="{00000000-0005-0000-0000-0000E0040000}"/>
    <cellStyle name="40% - Accent2 4 3 2 2" xfId="7539" xr:uid="{00000000-0005-0000-0000-0000E1040000}"/>
    <cellStyle name="40% - Accent2 4 3 2 2 2" xfId="32878" xr:uid="{73C679BB-E562-4089-AD8B-FE3B3D4558EF}"/>
    <cellStyle name="40% - Accent2 4 3 2 2 3" xfId="24437" xr:uid="{CCA15498-9138-4530-8707-878206FDA6BF}"/>
    <cellStyle name="40% - Accent2 4 3 2 2 4" xfId="15989" xr:uid="{D8D917A4-FDA2-4E60-BCF5-128E19CF4556}"/>
    <cellStyle name="40% - Accent2 4 3 2 3" xfId="28660" xr:uid="{5452D1D0-B9B9-4ABA-A4BA-6174B825FB7F}"/>
    <cellStyle name="40% - Accent2 4 3 2 4" xfId="20219" xr:uid="{8BA71EDA-6C04-4622-855A-9FACB83F0C52}"/>
    <cellStyle name="40% - Accent2 4 3 2 5" xfId="11771" xr:uid="{2BF98712-2496-4D13-8AC5-42AE17999756}"/>
    <cellStyle name="40% - Accent2 4 3 3" xfId="5394" xr:uid="{00000000-0005-0000-0000-0000E2040000}"/>
    <cellStyle name="40% - Accent2 4 3 3 2" xfId="30733" xr:uid="{2361F54F-5F57-466F-8CEF-18E172CE021F}"/>
    <cellStyle name="40% - Accent2 4 3 3 3" xfId="22292" xr:uid="{CD8C9684-9CB1-4D1F-B3EE-3EAFE1459DA3}"/>
    <cellStyle name="40% - Accent2 4 3 3 4" xfId="13844" xr:uid="{89D36B12-3638-4CFC-95A9-3559C71D124D}"/>
    <cellStyle name="40% - Accent2 4 3 4" xfId="26515" xr:uid="{B21614E9-DEE8-41C5-A01C-2CC2AC48E107}"/>
    <cellStyle name="40% - Accent2 4 3 5" xfId="18074" xr:uid="{68A63EEB-E634-4392-AF29-5A57363D9DAE}"/>
    <cellStyle name="40% - Accent2 4 3 6" xfId="9626" xr:uid="{064B9A81-6F75-4212-AF44-781C30BF5092}"/>
    <cellStyle name="40% - Accent2 4 4" xfId="1500" xr:uid="{00000000-0005-0000-0000-0000E3040000}"/>
    <cellStyle name="40% - Accent2 4 4 2" xfId="3730" xr:uid="{00000000-0005-0000-0000-0000E4040000}"/>
    <cellStyle name="40% - Accent2 4 4 2 2" xfId="7952" xr:uid="{00000000-0005-0000-0000-0000E5040000}"/>
    <cellStyle name="40% - Accent2 4 4 2 2 2" xfId="33291" xr:uid="{B10EE370-B8FA-4409-BD10-2113E96F25C1}"/>
    <cellStyle name="40% - Accent2 4 4 2 2 3" xfId="24850" xr:uid="{356C1DFD-3B8E-4591-8C37-BF7ACF56869B}"/>
    <cellStyle name="40% - Accent2 4 4 2 2 4" xfId="16402" xr:uid="{E6A6AE28-3258-4696-8D3E-C1FE789FC24E}"/>
    <cellStyle name="40% - Accent2 4 4 2 3" xfId="29073" xr:uid="{960DF117-DC37-4932-AE83-5626A1C6AFE6}"/>
    <cellStyle name="40% - Accent2 4 4 2 4" xfId="20632" xr:uid="{79446450-46B2-491C-A261-7B32E3F6F1B7}"/>
    <cellStyle name="40% - Accent2 4 4 2 5" xfId="12184" xr:uid="{D786E8EB-C7F1-4193-98BF-6349DED1F09D}"/>
    <cellStyle name="40% - Accent2 4 4 3" xfId="5807" xr:uid="{00000000-0005-0000-0000-0000E6040000}"/>
    <cellStyle name="40% - Accent2 4 4 3 2" xfId="31146" xr:uid="{8DD8213C-4E9E-4034-8049-276C2D54A6EF}"/>
    <cellStyle name="40% - Accent2 4 4 3 3" xfId="22705" xr:uid="{9CC69C90-7EBE-4C6B-8946-9E76618C0C1E}"/>
    <cellStyle name="40% - Accent2 4 4 3 4" xfId="14257" xr:uid="{44495108-FAFA-459D-945B-86CEDAD144FA}"/>
    <cellStyle name="40% - Accent2 4 4 4" xfId="26928" xr:uid="{ABBB8CA3-0987-47F3-8B0E-46AD7FA2A210}"/>
    <cellStyle name="40% - Accent2 4 4 5" xfId="18487" xr:uid="{88A0F8A1-F73D-4EA6-9DEA-2FE2D8F6E12B}"/>
    <cellStyle name="40% - Accent2 4 4 6" xfId="10039" xr:uid="{F5411B28-2624-47CB-82FA-DE16CC3E7060}"/>
    <cellStyle name="40% - Accent2 4 5" xfId="1914" xr:uid="{00000000-0005-0000-0000-0000E7040000}"/>
    <cellStyle name="40% - Accent2 4 5 2" xfId="4143" xr:uid="{00000000-0005-0000-0000-0000E8040000}"/>
    <cellStyle name="40% - Accent2 4 5 2 2" xfId="8365" xr:uid="{00000000-0005-0000-0000-0000E9040000}"/>
    <cellStyle name="40% - Accent2 4 5 2 2 2" xfId="33704" xr:uid="{0AE96E88-1FC5-41A8-AF2B-6196FECB64C5}"/>
    <cellStyle name="40% - Accent2 4 5 2 2 3" xfId="25263" xr:uid="{136B9F02-3ECE-4C81-BA78-63D5A28B3647}"/>
    <cellStyle name="40% - Accent2 4 5 2 2 4" xfId="16815" xr:uid="{70A6BA0A-1FA3-435D-9309-6322C9947C58}"/>
    <cellStyle name="40% - Accent2 4 5 2 3" xfId="29486" xr:uid="{94433DC9-1DFB-4781-B1D3-1A9F0F71D929}"/>
    <cellStyle name="40% - Accent2 4 5 2 4" xfId="21045" xr:uid="{D10FAC30-4BC5-46A5-84B6-51D73892A303}"/>
    <cellStyle name="40% - Accent2 4 5 2 5" xfId="12597" xr:uid="{A1F8264E-9BE1-4CE7-B163-588A45EBC9AB}"/>
    <cellStyle name="40% - Accent2 4 5 3" xfId="6220" xr:uid="{00000000-0005-0000-0000-0000EA040000}"/>
    <cellStyle name="40% - Accent2 4 5 3 2" xfId="31559" xr:uid="{6DD6AEFE-A763-4B96-B5B7-2964C8F4866A}"/>
    <cellStyle name="40% - Accent2 4 5 3 3" xfId="23118" xr:uid="{9AE73BA8-92BA-49A5-8DE7-812F4325A436}"/>
    <cellStyle name="40% - Accent2 4 5 3 4" xfId="14670" xr:uid="{66E48B86-9AB7-4D42-B0C9-175BAEF15B11}"/>
    <cellStyle name="40% - Accent2 4 5 4" xfId="27341" xr:uid="{6D837FA3-5264-4755-8337-B6B2B8FA6977}"/>
    <cellStyle name="40% - Accent2 4 5 5" xfId="18900" xr:uid="{A7F3DF59-8165-4E19-A2DC-DA6058F70C5A}"/>
    <cellStyle name="40% - Accent2 4 5 6" xfId="10452" xr:uid="{E682ED9E-E6BC-4E57-8F4B-00410A723709}"/>
    <cellStyle name="40% - Accent2 4 6" xfId="2327" xr:uid="{00000000-0005-0000-0000-0000EB040000}"/>
    <cellStyle name="40% - Accent2 4 6 2" xfId="6633" xr:uid="{00000000-0005-0000-0000-0000EC040000}"/>
    <cellStyle name="40% - Accent2 4 6 2 2" xfId="31972" xr:uid="{2E4A3D97-4031-459C-BB11-0157174CA12A}"/>
    <cellStyle name="40% - Accent2 4 6 2 3" xfId="23531" xr:uid="{0A0B7BA4-2688-4973-A56D-2B86EC9090C2}"/>
    <cellStyle name="40% - Accent2 4 6 2 4" xfId="15083" xr:uid="{68705664-22A9-4C3B-95BB-D2D3882EDA04}"/>
    <cellStyle name="40% - Accent2 4 6 3" xfId="27754" xr:uid="{BE456D3F-F504-47A4-AE3A-01BC3DC0C0CE}"/>
    <cellStyle name="40% - Accent2 4 6 4" xfId="19313" xr:uid="{27E4AD5F-8D5B-4DAD-800E-969E5D1CB700}"/>
    <cellStyle name="40% - Accent2 4 6 5" xfId="10865" xr:uid="{B930998E-E8A4-48CE-991B-31FABEFB0D96}"/>
    <cellStyle name="40% - Accent2 4 7" xfId="4567" xr:uid="{00000000-0005-0000-0000-0000ED040000}"/>
    <cellStyle name="40% - Accent2 4 7 2" xfId="29906" xr:uid="{4D88B1B0-FC08-4EAC-8B3C-58C5EC745AA1}"/>
    <cellStyle name="40% - Accent2 4 7 3" xfId="21465" xr:uid="{3BFC91B1-3BC5-42AA-886F-976B66F2EE55}"/>
    <cellStyle name="40% - Accent2 4 7 4" xfId="13017" xr:uid="{CFA6739F-A836-4FBB-958F-94E4556B2D54}"/>
    <cellStyle name="40% - Accent2 4 8" xfId="25688" xr:uid="{76D5BFF1-52C9-4926-8BBF-2B5D83EFA924}"/>
    <cellStyle name="40% - Accent2 4 9" xfId="17247" xr:uid="{E287A7EB-9253-4EBD-A611-F8D8B1159823}"/>
    <cellStyle name="40% - Accent2 5" xfId="626" xr:uid="{00000000-0005-0000-0000-0000EE040000}"/>
    <cellStyle name="40% - Accent2 5 2" xfId="2897" xr:uid="{00000000-0005-0000-0000-0000EF040000}"/>
    <cellStyle name="40% - Accent2 5 2 2" xfId="7119" xr:uid="{00000000-0005-0000-0000-0000F0040000}"/>
    <cellStyle name="40% - Accent2 5 2 2 2" xfId="32458" xr:uid="{0350E42F-7D57-4DD2-902B-870FA5FC9E70}"/>
    <cellStyle name="40% - Accent2 5 2 2 3" xfId="24017" xr:uid="{550E4B79-6F8A-4BE9-886A-9B6229640E7B}"/>
    <cellStyle name="40% - Accent2 5 2 2 4" xfId="15569" xr:uid="{E87C3937-FA43-49C4-A817-E5F6B0E3A87A}"/>
    <cellStyle name="40% - Accent2 5 2 3" xfId="28240" xr:uid="{FBD8D9F8-8135-4B64-AD77-A0AE982059EB}"/>
    <cellStyle name="40% - Accent2 5 2 4" xfId="19799" xr:uid="{955E0155-9340-44AB-BEE6-9B394B819FF7}"/>
    <cellStyle name="40% - Accent2 5 2 5" xfId="11351" xr:uid="{A44A33E8-1249-47CC-B4B8-2608CD01F31A}"/>
    <cellStyle name="40% - Accent2 5 3" xfId="4974" xr:uid="{00000000-0005-0000-0000-0000F1040000}"/>
    <cellStyle name="40% - Accent2 5 3 2" xfId="30313" xr:uid="{3B833F6D-F4EF-44DA-852F-615F6C2FAAA1}"/>
    <cellStyle name="40% - Accent2 5 3 3" xfId="21872" xr:uid="{83F9ABD6-4710-4166-8FB2-658D54E668A1}"/>
    <cellStyle name="40% - Accent2 5 3 4" xfId="13424" xr:uid="{C12B2BCE-CE22-4690-BEB0-A8879E34AA78}"/>
    <cellStyle name="40% - Accent2 5 4" xfId="26095" xr:uid="{B19A92E5-98D9-4023-9C22-8A93EF7FC5CE}"/>
    <cellStyle name="40% - Accent2 5 5" xfId="17654" xr:uid="{122120AB-FC10-47A9-9B2E-2E562EC7AB79}"/>
    <cellStyle name="40% - Accent2 5 6" xfId="9206" xr:uid="{11AD226D-DBB6-406D-BC68-CE20B91721DC}"/>
    <cellStyle name="40% - Accent2 6" xfId="1079" xr:uid="{00000000-0005-0000-0000-0000F2040000}"/>
    <cellStyle name="40% - Accent2 6 2" xfId="3310" xr:uid="{00000000-0005-0000-0000-0000F3040000}"/>
    <cellStyle name="40% - Accent2 6 2 2" xfId="7532" xr:uid="{00000000-0005-0000-0000-0000F4040000}"/>
    <cellStyle name="40% - Accent2 6 2 2 2" xfId="32871" xr:uid="{B39038FC-56FA-4794-82AB-3ABA07661F88}"/>
    <cellStyle name="40% - Accent2 6 2 2 3" xfId="24430" xr:uid="{E42391DB-2446-4BCD-AD15-CE2B475958CA}"/>
    <cellStyle name="40% - Accent2 6 2 2 4" xfId="15982" xr:uid="{0A253C7C-73D3-42B6-B281-8974DE6D8C63}"/>
    <cellStyle name="40% - Accent2 6 2 3" xfId="28653" xr:uid="{D33FA11E-8C7F-40A2-9F45-BB2BA2834ABF}"/>
    <cellStyle name="40% - Accent2 6 2 4" xfId="20212" xr:uid="{0AC961D0-57D7-4242-B6B0-53AC66DA7BFD}"/>
    <cellStyle name="40% - Accent2 6 2 5" xfId="11764" xr:uid="{63D0A1FC-3737-47A6-9F25-ADF37DB4B9E5}"/>
    <cellStyle name="40% - Accent2 6 3" xfId="5387" xr:uid="{00000000-0005-0000-0000-0000F5040000}"/>
    <cellStyle name="40% - Accent2 6 3 2" xfId="30726" xr:uid="{26F1AE84-BA7C-49A4-A4D2-6748BF770059}"/>
    <cellStyle name="40% - Accent2 6 3 3" xfId="22285" xr:uid="{BB1C2AB1-B048-4D06-AE0C-B4960E624E04}"/>
    <cellStyle name="40% - Accent2 6 3 4" xfId="13837" xr:uid="{D510D0E8-AD80-48C6-8EEE-C3B1F1FB1829}"/>
    <cellStyle name="40% - Accent2 6 4" xfId="26508" xr:uid="{EFCA72D7-7CAE-49F3-8396-90AAC32FF379}"/>
    <cellStyle name="40% - Accent2 6 5" xfId="18067" xr:uid="{8BC46B7B-1D92-4C05-B96E-1BAB37EA97B3}"/>
    <cellStyle name="40% - Accent2 6 6" xfId="9619" xr:uid="{96F6B458-8678-4922-BBE4-FED5DA8E2322}"/>
    <cellStyle name="40% - Accent2 7" xfId="1493" xr:uid="{00000000-0005-0000-0000-0000F6040000}"/>
    <cellStyle name="40% - Accent2 7 2" xfId="3723" xr:uid="{00000000-0005-0000-0000-0000F7040000}"/>
    <cellStyle name="40% - Accent2 7 2 2" xfId="7945" xr:uid="{00000000-0005-0000-0000-0000F8040000}"/>
    <cellStyle name="40% - Accent2 7 2 2 2" xfId="33284" xr:uid="{9623F77D-ED7F-475B-8B45-9C4F0F46B649}"/>
    <cellStyle name="40% - Accent2 7 2 2 3" xfId="24843" xr:uid="{B865EF9E-AF39-461F-8884-C76932649225}"/>
    <cellStyle name="40% - Accent2 7 2 2 4" xfId="16395" xr:uid="{315B661D-871C-419F-AB37-82BC161A334B}"/>
    <cellStyle name="40% - Accent2 7 2 3" xfId="29066" xr:uid="{44A3E534-E281-450B-B9A7-51FD8CF96248}"/>
    <cellStyle name="40% - Accent2 7 2 4" xfId="20625" xr:uid="{706B48C6-D44C-436D-8BE5-AB8C2E01EF1A}"/>
    <cellStyle name="40% - Accent2 7 2 5" xfId="12177" xr:uid="{5F8EEFD7-1116-4B07-BC12-040F62B83447}"/>
    <cellStyle name="40% - Accent2 7 3" xfId="5800" xr:uid="{00000000-0005-0000-0000-0000F9040000}"/>
    <cellStyle name="40% - Accent2 7 3 2" xfId="31139" xr:uid="{FBD8FE3B-780A-43C2-A0A4-042B62B699C3}"/>
    <cellStyle name="40% - Accent2 7 3 3" xfId="22698" xr:uid="{0EA0FFC0-6E61-4E54-8C52-E0C51F0E8481}"/>
    <cellStyle name="40% - Accent2 7 3 4" xfId="14250" xr:uid="{864C262F-42EC-46DD-AF84-E02D9764590C}"/>
    <cellStyle name="40% - Accent2 7 4" xfId="26921" xr:uid="{1444AB72-2020-4AA3-AFDF-35545635C744}"/>
    <cellStyle name="40% - Accent2 7 5" xfId="18480" xr:uid="{3C61A94B-FC7A-47D0-AD39-38EBCF4E8FB8}"/>
    <cellStyle name="40% - Accent2 7 6" xfId="10032" xr:uid="{5423F3EC-F1BD-4396-86FC-011A0C5C359B}"/>
    <cellStyle name="40% - Accent2 8" xfId="1907" xr:uid="{00000000-0005-0000-0000-0000FA040000}"/>
    <cellStyle name="40% - Accent2 8 2" xfId="4136" xr:uid="{00000000-0005-0000-0000-0000FB040000}"/>
    <cellStyle name="40% - Accent2 8 2 2" xfId="8358" xr:uid="{00000000-0005-0000-0000-0000FC040000}"/>
    <cellStyle name="40% - Accent2 8 2 2 2" xfId="33697" xr:uid="{6EF522EF-C96A-47DB-93E0-177A45171C1B}"/>
    <cellStyle name="40% - Accent2 8 2 2 3" xfId="25256" xr:uid="{E396B273-5094-4F4E-85D0-6DA724BBF332}"/>
    <cellStyle name="40% - Accent2 8 2 2 4" xfId="16808" xr:uid="{43DB7B7A-73CF-43A6-9702-94E3DDAB378D}"/>
    <cellStyle name="40% - Accent2 8 2 3" xfId="29479" xr:uid="{2F7D7984-53E8-46D9-99BB-7E9C240A29B4}"/>
    <cellStyle name="40% - Accent2 8 2 4" xfId="21038" xr:uid="{3B53FA68-8B95-44D1-875C-F0773B9EB346}"/>
    <cellStyle name="40% - Accent2 8 2 5" xfId="12590" xr:uid="{897802AD-0D16-4DB6-8E6F-57210CE5AA10}"/>
    <cellStyle name="40% - Accent2 8 3" xfId="6213" xr:uid="{00000000-0005-0000-0000-0000FD040000}"/>
    <cellStyle name="40% - Accent2 8 3 2" xfId="31552" xr:uid="{D04E7CBB-E3B1-44FF-B155-7B5C5111D780}"/>
    <cellStyle name="40% - Accent2 8 3 3" xfId="23111" xr:uid="{EDFBADDD-452B-4785-967F-23A7B1CC4D2B}"/>
    <cellStyle name="40% - Accent2 8 3 4" xfId="14663" xr:uid="{32B15EB2-5790-4BD6-9046-1A0C9B7D48B9}"/>
    <cellStyle name="40% - Accent2 8 4" xfId="27334" xr:uid="{F29CF0F0-4201-44B8-9691-43130AE32859}"/>
    <cellStyle name="40% - Accent2 8 5" xfId="18893" xr:uid="{9C745F83-D4B8-4E05-AD77-14F2879CA510}"/>
    <cellStyle name="40% - Accent2 8 6" xfId="10445" xr:uid="{45EA8842-0495-4E9B-AA1D-C18906C85B4F}"/>
    <cellStyle name="40% - Accent2 9" xfId="2320" xr:uid="{00000000-0005-0000-0000-0000FE040000}"/>
    <cellStyle name="40% - Accent2 9 2" xfId="6626" xr:uid="{00000000-0005-0000-0000-0000FF040000}"/>
    <cellStyle name="40% - Accent2 9 2 2" xfId="31965" xr:uid="{17140ED1-E006-46FF-88CB-C24F70930A8C}"/>
    <cellStyle name="40% - Accent2 9 2 3" xfId="23524" xr:uid="{EBFB73A3-E5CE-4AAF-B8A4-13BC67448E0C}"/>
    <cellStyle name="40% - Accent2 9 2 4" xfId="15076" xr:uid="{6B322532-C489-4FAE-8DAD-3C9EA8E8351F}"/>
    <cellStyle name="40% - Accent2 9 3" xfId="27747" xr:uid="{C7B861CD-27BB-4940-AFCF-148A8CA1274A}"/>
    <cellStyle name="40% - Accent2 9 4" xfId="19306" xr:uid="{01E00A44-C908-4EB3-B25A-536CA4098A83}"/>
    <cellStyle name="40% - Accent2 9 5" xfId="10858" xr:uid="{9F0162A8-E7BF-45E7-A4D6-2B7E0A2DC526}"/>
    <cellStyle name="40% - Accent3" xfId="65" builtinId="39" customBuiltin="1"/>
    <cellStyle name="40% - Accent3 10" xfId="4568" xr:uid="{00000000-0005-0000-0000-000001050000}"/>
    <cellStyle name="40% - Accent3 10 2" xfId="29907" xr:uid="{16D7F082-80FF-4BEE-9EE1-B6DF5AC20FCB}"/>
    <cellStyle name="40% - Accent3 10 3" xfId="21466" xr:uid="{02343546-F1EB-4B79-A376-5FD572D36C59}"/>
    <cellStyle name="40% - Accent3 10 4" xfId="13018" xr:uid="{CAAF4311-7543-42F1-8B84-2EAA5DEA8972}"/>
    <cellStyle name="40% - Accent3 11" xfId="25689" xr:uid="{96AE943B-53B1-4DBC-AED3-912104810D8C}"/>
    <cellStyle name="40% - Accent3 12" xfId="17248" xr:uid="{34A93F9F-4255-4EF8-99E7-490BE367BECF}"/>
    <cellStyle name="40% - Accent3 13" xfId="8800" xr:uid="{61A46F91-EFFD-4C6F-BAEF-CD21F37FA36E}"/>
    <cellStyle name="40% - Accent3 2" xfId="66" xr:uid="{00000000-0005-0000-0000-000002050000}"/>
    <cellStyle name="40% - Accent3 2 10" xfId="25690" xr:uid="{EE64917B-183E-4EFC-8408-BD618C035D7F}"/>
    <cellStyle name="40% - Accent3 2 11" xfId="17249" xr:uid="{EAD26CFD-FE0A-410A-A6E4-281E393BFF5F}"/>
    <cellStyle name="40% - Accent3 2 12" xfId="8801" xr:uid="{5225ECFF-2BFA-4234-AE92-1D11E88CE512}"/>
    <cellStyle name="40% - Accent3 2 2" xfId="67" xr:uid="{00000000-0005-0000-0000-000003050000}"/>
    <cellStyle name="40% - Accent3 2 2 10" xfId="17250" xr:uid="{E23206E6-7D86-4E17-B8B7-430945F04E43}"/>
    <cellStyle name="40% - Accent3 2 2 11" xfId="8802" xr:uid="{0DA3C90E-AB7C-4F29-BFB5-4F17BBCAE990}"/>
    <cellStyle name="40% - Accent3 2 2 2" xfId="68" xr:uid="{00000000-0005-0000-0000-000004050000}"/>
    <cellStyle name="40% - Accent3 2 2 2 10" xfId="8803" xr:uid="{A2E66B1E-B71F-4717-843F-B7C65776EC55}"/>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32469" xr:uid="{D5DE98D1-769B-43A8-AB7E-D765587A261A}"/>
    <cellStyle name="40% - Accent3 2 2 2 2 2 2 3" xfId="24028" xr:uid="{3466F2A7-B7E1-42E6-8B43-C78CAA796E21}"/>
    <cellStyle name="40% - Accent3 2 2 2 2 2 2 4" xfId="15580" xr:uid="{D797A9A0-118B-4E4D-B9D5-2B07BECAA3C5}"/>
    <cellStyle name="40% - Accent3 2 2 2 2 2 3" xfId="28251" xr:uid="{E7D9CAA1-F8AD-4B6B-9939-94A4DA144908}"/>
    <cellStyle name="40% - Accent3 2 2 2 2 2 4" xfId="19810" xr:uid="{C9630376-44AB-4D60-88E4-C008494A75BE}"/>
    <cellStyle name="40% - Accent3 2 2 2 2 2 5" xfId="11362" xr:uid="{4D4B5AE8-140D-40A6-A5A8-14D4C4822A29}"/>
    <cellStyle name="40% - Accent3 2 2 2 2 3" xfId="4985" xr:uid="{00000000-0005-0000-0000-000008050000}"/>
    <cellStyle name="40% - Accent3 2 2 2 2 3 2" xfId="30324" xr:uid="{03E15F71-B1DF-487D-99FA-F34359143CBE}"/>
    <cellStyle name="40% - Accent3 2 2 2 2 3 3" xfId="21883" xr:uid="{61401C32-6BEB-40DA-9D6F-9DED3545ECB5}"/>
    <cellStyle name="40% - Accent3 2 2 2 2 3 4" xfId="13435" xr:uid="{F41C4D9B-19B1-4A86-A0AD-A8A9750CEF99}"/>
    <cellStyle name="40% - Accent3 2 2 2 2 4" xfId="26106" xr:uid="{ECACF4D3-E929-4A2C-9BFD-48AE937ECC48}"/>
    <cellStyle name="40% - Accent3 2 2 2 2 5" xfId="17665" xr:uid="{402FDB5F-6C6A-4BE5-98E0-BABE81F8C830}"/>
    <cellStyle name="40% - Accent3 2 2 2 2 6" xfId="9217" xr:uid="{C5DA9A50-D694-4D8F-B0D3-737170982B27}"/>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32882" xr:uid="{2085635C-E151-4BAE-96A7-CDEB7000C6C2}"/>
    <cellStyle name="40% - Accent3 2 2 2 3 2 2 3" xfId="24441" xr:uid="{E071585A-A7FF-4C46-AE88-44AC815E6B82}"/>
    <cellStyle name="40% - Accent3 2 2 2 3 2 2 4" xfId="15993" xr:uid="{FD16F9FD-9774-4625-8BC6-23E6BA01A91C}"/>
    <cellStyle name="40% - Accent3 2 2 2 3 2 3" xfId="28664" xr:uid="{55EF524B-348D-4827-B674-8146E3E5ADCF}"/>
    <cellStyle name="40% - Accent3 2 2 2 3 2 4" xfId="20223" xr:uid="{17E36859-58D7-429E-8B25-96AE89F0FA09}"/>
    <cellStyle name="40% - Accent3 2 2 2 3 2 5" xfId="11775" xr:uid="{F4C04A85-0E58-44F0-ADB3-0D2FE61EB141}"/>
    <cellStyle name="40% - Accent3 2 2 2 3 3" xfId="5398" xr:uid="{00000000-0005-0000-0000-00000C050000}"/>
    <cellStyle name="40% - Accent3 2 2 2 3 3 2" xfId="30737" xr:uid="{DA70A83A-A335-49ED-860F-E7AEC435C339}"/>
    <cellStyle name="40% - Accent3 2 2 2 3 3 3" xfId="22296" xr:uid="{F3CA132D-8A76-41C9-8B8C-A9FA08D84787}"/>
    <cellStyle name="40% - Accent3 2 2 2 3 3 4" xfId="13848" xr:uid="{7A5EB5F2-B7BA-4027-87E5-3E935F5804DA}"/>
    <cellStyle name="40% - Accent3 2 2 2 3 4" xfId="26519" xr:uid="{3E95C6A9-0E16-419C-85A5-592BDB13E4F0}"/>
    <cellStyle name="40% - Accent3 2 2 2 3 5" xfId="18078" xr:uid="{BA938F49-3C80-47C5-9B77-F19F80A27766}"/>
    <cellStyle name="40% - Accent3 2 2 2 3 6" xfId="9630" xr:uid="{7C226CE9-4CD5-4B0F-B4B0-F65803AE2DC9}"/>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33295" xr:uid="{E3222A04-11D7-48C2-978A-FBC42A5EEB51}"/>
    <cellStyle name="40% - Accent3 2 2 2 4 2 2 3" xfId="24854" xr:uid="{67B7D9FD-7CC9-4F19-A88B-3719FE412B7B}"/>
    <cellStyle name="40% - Accent3 2 2 2 4 2 2 4" xfId="16406" xr:uid="{AD94F5B8-EFCB-4DC7-8A99-E5F00A52030E}"/>
    <cellStyle name="40% - Accent3 2 2 2 4 2 3" xfId="29077" xr:uid="{E302F602-5260-4285-BDDD-509DCE11D638}"/>
    <cellStyle name="40% - Accent3 2 2 2 4 2 4" xfId="20636" xr:uid="{13A4C470-526A-4C1B-A483-7DBA30E4C8E0}"/>
    <cellStyle name="40% - Accent3 2 2 2 4 2 5" xfId="12188" xr:uid="{029F7F71-0987-4BA7-94D3-02DCD3557DA0}"/>
    <cellStyle name="40% - Accent3 2 2 2 4 3" xfId="5811" xr:uid="{00000000-0005-0000-0000-000010050000}"/>
    <cellStyle name="40% - Accent3 2 2 2 4 3 2" xfId="31150" xr:uid="{4B70936F-575F-4E07-B8A5-396B65865E7E}"/>
    <cellStyle name="40% - Accent3 2 2 2 4 3 3" xfId="22709" xr:uid="{02BDCE5B-E757-4D66-A147-14F2869030E2}"/>
    <cellStyle name="40% - Accent3 2 2 2 4 3 4" xfId="14261" xr:uid="{3A0F24DE-D2D8-41BB-A49F-ED4146739BFC}"/>
    <cellStyle name="40% - Accent3 2 2 2 4 4" xfId="26932" xr:uid="{4739B14E-C2A8-4D9B-9B41-42C85FED0482}"/>
    <cellStyle name="40% - Accent3 2 2 2 4 5" xfId="18491" xr:uid="{1E79AFE0-C7F2-4488-89AB-AE62AFC8487F}"/>
    <cellStyle name="40% - Accent3 2 2 2 4 6" xfId="10043" xr:uid="{E72E8A77-86CC-48C7-9A30-5F78153330D2}"/>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33708" xr:uid="{75FED6D1-5C16-4929-A3E5-4442EED47AA0}"/>
    <cellStyle name="40% - Accent3 2 2 2 5 2 2 3" xfId="25267" xr:uid="{EBBBD836-04F3-4B5E-960C-9A705B79EC23}"/>
    <cellStyle name="40% - Accent3 2 2 2 5 2 2 4" xfId="16819" xr:uid="{21C945ED-C76E-46C0-9055-61D05FC6CDFB}"/>
    <cellStyle name="40% - Accent3 2 2 2 5 2 3" xfId="29490" xr:uid="{7029B3E7-0FEE-4B91-BA06-8A112C0E92B9}"/>
    <cellStyle name="40% - Accent3 2 2 2 5 2 4" xfId="21049" xr:uid="{AD36F2C4-BD3C-46AF-ADBC-30FF353FD8A5}"/>
    <cellStyle name="40% - Accent3 2 2 2 5 2 5" xfId="12601" xr:uid="{1F41910B-484C-4434-B294-C0D184B205BF}"/>
    <cellStyle name="40% - Accent3 2 2 2 5 3" xfId="6224" xr:uid="{00000000-0005-0000-0000-000014050000}"/>
    <cellStyle name="40% - Accent3 2 2 2 5 3 2" xfId="31563" xr:uid="{85B346C1-B9F0-4E95-8E1C-3E10405954B9}"/>
    <cellStyle name="40% - Accent3 2 2 2 5 3 3" xfId="23122" xr:uid="{F69A5F65-A5FB-4D2D-B782-1BBB6A009FB4}"/>
    <cellStyle name="40% - Accent3 2 2 2 5 3 4" xfId="14674" xr:uid="{7FB696AF-7F8B-4C1B-9164-1919C6EE4154}"/>
    <cellStyle name="40% - Accent3 2 2 2 5 4" xfId="27345" xr:uid="{AE61F8FE-B348-43D4-BF75-A7BDEE6A9C35}"/>
    <cellStyle name="40% - Accent3 2 2 2 5 5" xfId="18904" xr:uid="{03B0E7D0-BD78-49F6-8E8C-BB336EB489A8}"/>
    <cellStyle name="40% - Accent3 2 2 2 5 6" xfId="10456" xr:uid="{17AB63B4-936B-435C-9101-6C62B37A979B}"/>
    <cellStyle name="40% - Accent3 2 2 2 6" xfId="2331" xr:uid="{00000000-0005-0000-0000-000015050000}"/>
    <cellStyle name="40% - Accent3 2 2 2 6 2" xfId="6637" xr:uid="{00000000-0005-0000-0000-000016050000}"/>
    <cellStyle name="40% - Accent3 2 2 2 6 2 2" xfId="31976" xr:uid="{F948078B-FA45-4DDC-BED8-E92FBDF7DDF3}"/>
    <cellStyle name="40% - Accent3 2 2 2 6 2 3" xfId="23535" xr:uid="{23E7FB05-B3A9-4F2E-AB64-9180F5D4DC68}"/>
    <cellStyle name="40% - Accent3 2 2 2 6 2 4" xfId="15087" xr:uid="{B0C520E6-35CA-4B16-97FB-D7F868850451}"/>
    <cellStyle name="40% - Accent3 2 2 2 6 3" xfId="27758" xr:uid="{D43C557E-1441-4196-963F-30679A6AAE3D}"/>
    <cellStyle name="40% - Accent3 2 2 2 6 4" xfId="19317" xr:uid="{F6D2147F-1870-4E33-80C9-0989DDA84A89}"/>
    <cellStyle name="40% - Accent3 2 2 2 6 5" xfId="10869" xr:uid="{582ABA29-9915-483A-A686-91C928243EA1}"/>
    <cellStyle name="40% - Accent3 2 2 2 7" xfId="4571" xr:uid="{00000000-0005-0000-0000-000017050000}"/>
    <cellStyle name="40% - Accent3 2 2 2 7 2" xfId="29910" xr:uid="{7B199F2B-2F9A-4118-B0B1-F812F3BBB0E2}"/>
    <cellStyle name="40% - Accent3 2 2 2 7 3" xfId="21469" xr:uid="{2AB1014B-D300-4980-A597-C6FFCE648A43}"/>
    <cellStyle name="40% - Accent3 2 2 2 7 4" xfId="13021" xr:uid="{2C362412-E236-4C9D-9196-29D2B074F86C}"/>
    <cellStyle name="40% - Accent3 2 2 2 8" xfId="25692" xr:uid="{CE7B6333-9527-4D2D-A774-B78642D68289}"/>
    <cellStyle name="40% - Accent3 2 2 2 9" xfId="17251" xr:uid="{508C3FF4-ABEB-45F2-963E-2A4C896AC0B0}"/>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32468" xr:uid="{C53D0468-E24D-4B96-9E27-D177E52887EC}"/>
    <cellStyle name="40% - Accent3 2 2 3 2 2 3" xfId="24027" xr:uid="{138D75C5-CEC4-4768-B37B-77AABBE84955}"/>
    <cellStyle name="40% - Accent3 2 2 3 2 2 4" xfId="15579" xr:uid="{283978D6-2423-4DE2-BF4D-777F5C6C2EB4}"/>
    <cellStyle name="40% - Accent3 2 2 3 2 3" xfId="28250" xr:uid="{559F80FA-CAA4-4582-863B-BAD449E86855}"/>
    <cellStyle name="40% - Accent3 2 2 3 2 4" xfId="19809" xr:uid="{B741F46B-3C8C-4D26-A45A-84BE091269B4}"/>
    <cellStyle name="40% - Accent3 2 2 3 2 5" xfId="11361" xr:uid="{5472FACA-822D-409D-99EE-44F168D46CD9}"/>
    <cellStyle name="40% - Accent3 2 2 3 3" xfId="4984" xr:uid="{00000000-0005-0000-0000-00001B050000}"/>
    <cellStyle name="40% - Accent3 2 2 3 3 2" xfId="30323" xr:uid="{72114A18-67FF-40C0-910E-2F7A2E5126D1}"/>
    <cellStyle name="40% - Accent3 2 2 3 3 3" xfId="21882" xr:uid="{6248D992-01DC-4514-8127-322BD326B5D1}"/>
    <cellStyle name="40% - Accent3 2 2 3 3 4" xfId="13434" xr:uid="{3F59F3BD-9CC8-4815-ADED-505A2AF7D2A2}"/>
    <cellStyle name="40% - Accent3 2 2 3 4" xfId="26105" xr:uid="{3A51C16F-E364-487F-BB7D-81EF9A1687E8}"/>
    <cellStyle name="40% - Accent3 2 2 3 5" xfId="17664" xr:uid="{E5607AFE-5AE9-4F70-A016-D95E52FCBF29}"/>
    <cellStyle name="40% - Accent3 2 2 3 6" xfId="9216" xr:uid="{AC9D1625-E062-46E9-B32E-ECF64FBE317E}"/>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32881" xr:uid="{1A5BF22A-A6F8-444C-9802-189339D3C464}"/>
    <cellStyle name="40% - Accent3 2 2 4 2 2 3" xfId="24440" xr:uid="{0BB02E1A-6AED-4D68-91D1-F121CD087910}"/>
    <cellStyle name="40% - Accent3 2 2 4 2 2 4" xfId="15992" xr:uid="{58D73DDE-D445-49F2-96E9-0E9C73242F9A}"/>
    <cellStyle name="40% - Accent3 2 2 4 2 3" xfId="28663" xr:uid="{034C8D9B-35DD-4E03-A5E1-0631038937E7}"/>
    <cellStyle name="40% - Accent3 2 2 4 2 4" xfId="20222" xr:uid="{635EB62B-2E56-4C51-8698-188E71FC6452}"/>
    <cellStyle name="40% - Accent3 2 2 4 2 5" xfId="11774" xr:uid="{4B92FD55-E913-45ED-A532-30D7FFF526DF}"/>
    <cellStyle name="40% - Accent3 2 2 4 3" xfId="5397" xr:uid="{00000000-0005-0000-0000-00001F050000}"/>
    <cellStyle name="40% - Accent3 2 2 4 3 2" xfId="30736" xr:uid="{16F0F432-F16B-4F4D-9B2D-28CB67A8EE55}"/>
    <cellStyle name="40% - Accent3 2 2 4 3 3" xfId="22295" xr:uid="{282ABB0F-17D7-41EB-A336-3726C4AD1C65}"/>
    <cellStyle name="40% - Accent3 2 2 4 3 4" xfId="13847" xr:uid="{7B3D501B-FFED-46E2-B793-AA4D5AF8438A}"/>
    <cellStyle name="40% - Accent3 2 2 4 4" xfId="26518" xr:uid="{19C6558E-C2B0-4A51-BBD9-0ED470654CAA}"/>
    <cellStyle name="40% - Accent3 2 2 4 5" xfId="18077" xr:uid="{3155FFAE-AE4A-4260-9E4A-35CD2F8022F1}"/>
    <cellStyle name="40% - Accent3 2 2 4 6" xfId="9629" xr:uid="{8D8E60DD-A389-4510-B22C-A825ED381247}"/>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33294" xr:uid="{A4E52101-D0D8-462E-A25D-C3EF6A7DFDC1}"/>
    <cellStyle name="40% - Accent3 2 2 5 2 2 3" xfId="24853" xr:uid="{71A2DF0F-5C72-444F-8391-CCF29C8C289C}"/>
    <cellStyle name="40% - Accent3 2 2 5 2 2 4" xfId="16405" xr:uid="{B9743BBF-31EA-4C21-9406-697E68CAC1DE}"/>
    <cellStyle name="40% - Accent3 2 2 5 2 3" xfId="29076" xr:uid="{93DA1F3C-C6CA-4DEE-95E4-BEC9B033D0BE}"/>
    <cellStyle name="40% - Accent3 2 2 5 2 4" xfId="20635" xr:uid="{321D5367-0339-483F-B3B4-7DFF36FD28AD}"/>
    <cellStyle name="40% - Accent3 2 2 5 2 5" xfId="12187" xr:uid="{928049C6-4CE7-434E-B65E-98D17AB67934}"/>
    <cellStyle name="40% - Accent3 2 2 5 3" xfId="5810" xr:uid="{00000000-0005-0000-0000-000023050000}"/>
    <cellStyle name="40% - Accent3 2 2 5 3 2" xfId="31149" xr:uid="{B2EF32EB-082E-46F1-921F-688BF5D3E447}"/>
    <cellStyle name="40% - Accent3 2 2 5 3 3" xfId="22708" xr:uid="{CA310151-5628-4CFE-BE38-5867DAF9FF24}"/>
    <cellStyle name="40% - Accent3 2 2 5 3 4" xfId="14260" xr:uid="{F711FC0D-5F85-47B1-99FC-B97D94A14A56}"/>
    <cellStyle name="40% - Accent3 2 2 5 4" xfId="26931" xr:uid="{FBF551C5-8096-4F51-94B4-CD3F01050CA7}"/>
    <cellStyle name="40% - Accent3 2 2 5 5" xfId="18490" xr:uid="{6F957CF2-26BE-48B4-9680-C7379C6B8B25}"/>
    <cellStyle name="40% - Accent3 2 2 5 6" xfId="10042" xr:uid="{596A8EFF-1389-4EA0-8D34-BD361E28F7FE}"/>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33707" xr:uid="{F9FD9F0F-8EC0-46BE-9F48-EF1DD7A4A26A}"/>
    <cellStyle name="40% - Accent3 2 2 6 2 2 3" xfId="25266" xr:uid="{DF3602F6-3561-4212-B717-59A187C701E2}"/>
    <cellStyle name="40% - Accent3 2 2 6 2 2 4" xfId="16818" xr:uid="{DFA405D9-3453-4A57-885A-47939782CEC7}"/>
    <cellStyle name="40% - Accent3 2 2 6 2 3" xfId="29489" xr:uid="{2715BF46-516E-4112-AB54-A7B6B33E8107}"/>
    <cellStyle name="40% - Accent3 2 2 6 2 4" xfId="21048" xr:uid="{A26EEC9D-0888-4840-9FE9-A808AA2500B1}"/>
    <cellStyle name="40% - Accent3 2 2 6 2 5" xfId="12600" xr:uid="{FA4D16E8-9483-4463-B82B-B731BA5A5BCE}"/>
    <cellStyle name="40% - Accent3 2 2 6 3" xfId="6223" xr:uid="{00000000-0005-0000-0000-000027050000}"/>
    <cellStyle name="40% - Accent3 2 2 6 3 2" xfId="31562" xr:uid="{08228F88-8F2E-400E-88D2-5E30A3745315}"/>
    <cellStyle name="40% - Accent3 2 2 6 3 3" xfId="23121" xr:uid="{A1F06F87-BDFD-41F5-BA25-17AA01832580}"/>
    <cellStyle name="40% - Accent3 2 2 6 3 4" xfId="14673" xr:uid="{27FBF9A8-FA8F-4ADC-8027-C3A59357AAC8}"/>
    <cellStyle name="40% - Accent3 2 2 6 4" xfId="27344" xr:uid="{C430197A-1BD8-4431-8CDF-3304A3067CD2}"/>
    <cellStyle name="40% - Accent3 2 2 6 5" xfId="18903" xr:uid="{A083BBCB-D453-44C4-8565-2310DE410677}"/>
    <cellStyle name="40% - Accent3 2 2 6 6" xfId="10455" xr:uid="{27BAB6CD-E975-4444-85C3-86CBEC728E44}"/>
    <cellStyle name="40% - Accent3 2 2 7" xfId="2330" xr:uid="{00000000-0005-0000-0000-000028050000}"/>
    <cellStyle name="40% - Accent3 2 2 7 2" xfId="6636" xr:uid="{00000000-0005-0000-0000-000029050000}"/>
    <cellStyle name="40% - Accent3 2 2 7 2 2" xfId="31975" xr:uid="{975A471B-16E8-4B9E-9606-DFB3B2273BBB}"/>
    <cellStyle name="40% - Accent3 2 2 7 2 3" xfId="23534" xr:uid="{A72E1B51-D002-466B-B75A-DC54E3240EB7}"/>
    <cellStyle name="40% - Accent3 2 2 7 2 4" xfId="15086" xr:uid="{B334C46F-9B95-4332-B631-5F54474276B4}"/>
    <cellStyle name="40% - Accent3 2 2 7 3" xfId="27757" xr:uid="{3278D69E-9211-4065-89D1-2C0D4FE38F1E}"/>
    <cellStyle name="40% - Accent3 2 2 7 4" xfId="19316" xr:uid="{713081EC-B4FF-4571-8DEB-7240E4F15DB2}"/>
    <cellStyle name="40% - Accent3 2 2 7 5" xfId="10868" xr:uid="{C6B51F81-A11E-4FA6-B3E8-0D8927E77868}"/>
    <cellStyle name="40% - Accent3 2 2 8" xfId="4570" xr:uid="{00000000-0005-0000-0000-00002A050000}"/>
    <cellStyle name="40% - Accent3 2 2 8 2" xfId="29909" xr:uid="{A0FFFBDF-BFE2-4CEA-B3E2-54EDEEAF5107}"/>
    <cellStyle name="40% - Accent3 2 2 8 3" xfId="21468" xr:uid="{90F4D2AD-B866-49B8-9D4B-0D51B48D2FC3}"/>
    <cellStyle name="40% - Accent3 2 2 8 4" xfId="13020" xr:uid="{226CE1C0-EF92-4666-94CB-9F7EDF05E570}"/>
    <cellStyle name="40% - Accent3 2 2 9" xfId="25691" xr:uid="{3B546124-DE95-4076-8F4E-80BC7BB2061D}"/>
    <cellStyle name="40% - Accent3 2 3" xfId="69" xr:uid="{00000000-0005-0000-0000-00002B050000}"/>
    <cellStyle name="40% - Accent3 2 3 10" xfId="8804" xr:uid="{94E97598-3ACC-4E17-97AF-CBA49CE004A9}"/>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32470" xr:uid="{9F8F12B8-B72F-46A6-BD91-51E0F0904203}"/>
    <cellStyle name="40% - Accent3 2 3 2 2 2 3" xfId="24029" xr:uid="{F0C4EE97-84AE-4214-AADF-6374FD33AF55}"/>
    <cellStyle name="40% - Accent3 2 3 2 2 2 4" xfId="15581" xr:uid="{1A481236-1D3D-4376-BF2E-7F41F97171A0}"/>
    <cellStyle name="40% - Accent3 2 3 2 2 3" xfId="28252" xr:uid="{656FFF38-0D1A-4412-9E2B-6A40B4525F86}"/>
    <cellStyle name="40% - Accent3 2 3 2 2 4" xfId="19811" xr:uid="{3A860510-8A05-4699-954B-C51BC0A0148B}"/>
    <cellStyle name="40% - Accent3 2 3 2 2 5" xfId="11363" xr:uid="{D74307EB-948A-4887-B549-CFCEFC6FCB32}"/>
    <cellStyle name="40% - Accent3 2 3 2 3" xfId="4986" xr:uid="{00000000-0005-0000-0000-00002F050000}"/>
    <cellStyle name="40% - Accent3 2 3 2 3 2" xfId="30325" xr:uid="{00BCE4AE-7EE0-4249-B496-7F88F846F65C}"/>
    <cellStyle name="40% - Accent3 2 3 2 3 3" xfId="21884" xr:uid="{67747861-D328-44C1-9CD8-F1845CB31E3E}"/>
    <cellStyle name="40% - Accent3 2 3 2 3 4" xfId="13436" xr:uid="{B3C36C4C-8109-4A2C-A69F-0E431B02A5A1}"/>
    <cellStyle name="40% - Accent3 2 3 2 4" xfId="26107" xr:uid="{AD28B91B-BF68-4D9C-A1CB-AE7A68D1D7D4}"/>
    <cellStyle name="40% - Accent3 2 3 2 5" xfId="17666" xr:uid="{80B3AE31-9F1C-40D6-B667-235B15FABA41}"/>
    <cellStyle name="40% - Accent3 2 3 2 6" xfId="9218" xr:uid="{E1B6B112-E3C7-437F-8823-85C16A4D3B40}"/>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32883" xr:uid="{2C9B922B-2C5C-4A95-98D4-5B86A3F1DB82}"/>
    <cellStyle name="40% - Accent3 2 3 3 2 2 3" xfId="24442" xr:uid="{23FE79CF-7A1E-432C-89BE-BD4C56727BA0}"/>
    <cellStyle name="40% - Accent3 2 3 3 2 2 4" xfId="15994" xr:uid="{AAC8D776-8798-47AD-B04D-E0083AD186DA}"/>
    <cellStyle name="40% - Accent3 2 3 3 2 3" xfId="28665" xr:uid="{6C930639-1BA5-4E6C-A8CF-8F768854E99C}"/>
    <cellStyle name="40% - Accent3 2 3 3 2 4" xfId="20224" xr:uid="{28E93CBE-6690-41BB-B193-ACC446128F7F}"/>
    <cellStyle name="40% - Accent3 2 3 3 2 5" xfId="11776" xr:uid="{843EB6A2-6FC6-45A8-B7AE-A105D855269A}"/>
    <cellStyle name="40% - Accent3 2 3 3 3" xfId="5399" xr:uid="{00000000-0005-0000-0000-000033050000}"/>
    <cellStyle name="40% - Accent3 2 3 3 3 2" xfId="30738" xr:uid="{FCD5AEA5-A074-46A1-98DF-18784CF43087}"/>
    <cellStyle name="40% - Accent3 2 3 3 3 3" xfId="22297" xr:uid="{7639D5F5-857E-4044-ACDE-E5AF6DAA9765}"/>
    <cellStyle name="40% - Accent3 2 3 3 3 4" xfId="13849" xr:uid="{D54962C4-F7BD-4607-8A82-0234AA80BBCA}"/>
    <cellStyle name="40% - Accent3 2 3 3 4" xfId="26520" xr:uid="{6142989A-9500-4244-B892-7BB08C323BD6}"/>
    <cellStyle name="40% - Accent3 2 3 3 5" xfId="18079" xr:uid="{F80D0213-9D31-4769-909C-881040567BB1}"/>
    <cellStyle name="40% - Accent3 2 3 3 6" xfId="9631" xr:uid="{A5305418-D184-4871-B4B5-26CF1E2EA7D6}"/>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33296" xr:uid="{C7D20F2D-2EA8-49B9-918C-29BC08152706}"/>
    <cellStyle name="40% - Accent3 2 3 4 2 2 3" xfId="24855" xr:uid="{9F36C656-C35D-401C-A7CD-436E16B865F3}"/>
    <cellStyle name="40% - Accent3 2 3 4 2 2 4" xfId="16407" xr:uid="{C68311DB-C480-4C83-B727-0F3823FEF31A}"/>
    <cellStyle name="40% - Accent3 2 3 4 2 3" xfId="29078" xr:uid="{2FA4ABD1-70A0-41C8-8C56-1031ACA84FF5}"/>
    <cellStyle name="40% - Accent3 2 3 4 2 4" xfId="20637" xr:uid="{BEC04A6D-9CBF-4E15-9E9B-B2346DE155DF}"/>
    <cellStyle name="40% - Accent3 2 3 4 2 5" xfId="12189" xr:uid="{70C1E504-F729-43FC-A937-989829FD31B3}"/>
    <cellStyle name="40% - Accent3 2 3 4 3" xfId="5812" xr:uid="{00000000-0005-0000-0000-000037050000}"/>
    <cellStyle name="40% - Accent3 2 3 4 3 2" xfId="31151" xr:uid="{17E59483-3AD1-44C4-811F-162C3112E988}"/>
    <cellStyle name="40% - Accent3 2 3 4 3 3" xfId="22710" xr:uid="{27292594-B084-4C98-9377-49CA94C61ADD}"/>
    <cellStyle name="40% - Accent3 2 3 4 3 4" xfId="14262" xr:uid="{FE84D278-061E-4D1E-800A-537264FCADA4}"/>
    <cellStyle name="40% - Accent3 2 3 4 4" xfId="26933" xr:uid="{383E0C9E-AEFA-47F5-9009-77C0977CDA81}"/>
    <cellStyle name="40% - Accent3 2 3 4 5" xfId="18492" xr:uid="{D309031A-CD45-407C-AA12-6892C470FFC7}"/>
    <cellStyle name="40% - Accent3 2 3 4 6" xfId="10044" xr:uid="{F9E3E685-3426-4F26-9C28-3E1CAA01D29E}"/>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33709" xr:uid="{8E03C795-3CD9-40A0-BCCB-DAF4014FDD77}"/>
    <cellStyle name="40% - Accent3 2 3 5 2 2 3" xfId="25268" xr:uid="{0EA49AF9-98CC-4B69-9F18-F319CFD8D334}"/>
    <cellStyle name="40% - Accent3 2 3 5 2 2 4" xfId="16820" xr:uid="{477A4548-A0CD-494A-94CC-BE4A890D972B}"/>
    <cellStyle name="40% - Accent3 2 3 5 2 3" xfId="29491" xr:uid="{EBE12BB6-43BF-4EF1-BEE8-4A623E871EF5}"/>
    <cellStyle name="40% - Accent3 2 3 5 2 4" xfId="21050" xr:uid="{B79D2D34-AB90-4901-B307-B089F7138510}"/>
    <cellStyle name="40% - Accent3 2 3 5 2 5" xfId="12602" xr:uid="{A1E684EE-D6F1-4ECE-84CA-91EAA04AF1C1}"/>
    <cellStyle name="40% - Accent3 2 3 5 3" xfId="6225" xr:uid="{00000000-0005-0000-0000-00003B050000}"/>
    <cellStyle name="40% - Accent3 2 3 5 3 2" xfId="31564" xr:uid="{393DC55E-FC27-40F8-B467-5DD01D9C68D7}"/>
    <cellStyle name="40% - Accent3 2 3 5 3 3" xfId="23123" xr:uid="{89AAC15D-CAD5-4ADB-952B-601274353FD4}"/>
    <cellStyle name="40% - Accent3 2 3 5 3 4" xfId="14675" xr:uid="{A8CB3681-053C-4170-815D-9687404F6F59}"/>
    <cellStyle name="40% - Accent3 2 3 5 4" xfId="27346" xr:uid="{2B75AAE0-D128-453E-BB8A-4432C6342545}"/>
    <cellStyle name="40% - Accent3 2 3 5 5" xfId="18905" xr:uid="{B0A21547-C5BB-460E-9015-2071F03AF7CF}"/>
    <cellStyle name="40% - Accent3 2 3 5 6" xfId="10457" xr:uid="{D7D22076-E760-40FE-BA5B-5210DB741816}"/>
    <cellStyle name="40% - Accent3 2 3 6" xfId="2332" xr:uid="{00000000-0005-0000-0000-00003C050000}"/>
    <cellStyle name="40% - Accent3 2 3 6 2" xfId="6638" xr:uid="{00000000-0005-0000-0000-00003D050000}"/>
    <cellStyle name="40% - Accent3 2 3 6 2 2" xfId="31977" xr:uid="{BE8C940C-0835-453E-8A02-916E941B67EE}"/>
    <cellStyle name="40% - Accent3 2 3 6 2 3" xfId="23536" xr:uid="{39A42A84-4FAA-4019-B358-6476E9C89ECC}"/>
    <cellStyle name="40% - Accent3 2 3 6 2 4" xfId="15088" xr:uid="{95608EBC-D25F-4F9C-A23A-A7B70097F491}"/>
    <cellStyle name="40% - Accent3 2 3 6 3" xfId="27759" xr:uid="{F95E9137-2CAB-4707-9539-EA0B6EC8E5D9}"/>
    <cellStyle name="40% - Accent3 2 3 6 4" xfId="19318" xr:uid="{61BB82F2-AF40-4B1E-808E-63195B053427}"/>
    <cellStyle name="40% - Accent3 2 3 6 5" xfId="10870" xr:uid="{6705BE39-2BB1-48E9-8D6D-BF7619E536A5}"/>
    <cellStyle name="40% - Accent3 2 3 7" xfId="4572" xr:uid="{00000000-0005-0000-0000-00003E050000}"/>
    <cellStyle name="40% - Accent3 2 3 7 2" xfId="29911" xr:uid="{BA6E1CFD-A913-4AD8-B944-E2136F6B7864}"/>
    <cellStyle name="40% - Accent3 2 3 7 3" xfId="21470" xr:uid="{5F300AF1-D4F3-451D-84A0-559E001BF189}"/>
    <cellStyle name="40% - Accent3 2 3 7 4" xfId="13022" xr:uid="{C0D621E9-9342-43E6-A40F-AE76BAE352F7}"/>
    <cellStyle name="40% - Accent3 2 3 8" xfId="25693" xr:uid="{CA6DD1FD-3E07-41C1-BF45-EA55C28DA1C3}"/>
    <cellStyle name="40% - Accent3 2 3 9" xfId="17252" xr:uid="{2F7B1A5F-313D-4D8E-AC17-B4911D8AE2C5}"/>
    <cellStyle name="40% - Accent3 2 4" xfId="635" xr:uid="{00000000-0005-0000-0000-00003F050000}"/>
    <cellStyle name="40% - Accent3 2 4 2" xfId="2906" xr:uid="{00000000-0005-0000-0000-000040050000}"/>
    <cellStyle name="40% - Accent3 2 4 2 2" xfId="7128" xr:uid="{00000000-0005-0000-0000-000041050000}"/>
    <cellStyle name="40% - Accent3 2 4 2 2 2" xfId="32467" xr:uid="{0D59548D-EF1F-4F5D-8FAE-380AD652D2FA}"/>
    <cellStyle name="40% - Accent3 2 4 2 2 3" xfId="24026" xr:uid="{C00BC772-AA9F-4BEF-85D3-1A7B2AA15603}"/>
    <cellStyle name="40% - Accent3 2 4 2 2 4" xfId="15578" xr:uid="{06D6E536-B001-4C51-BCD0-AEBAA5E2196A}"/>
    <cellStyle name="40% - Accent3 2 4 2 3" xfId="28249" xr:uid="{07816AAB-F825-4915-8D4C-6B118C78E1BF}"/>
    <cellStyle name="40% - Accent3 2 4 2 4" xfId="19808" xr:uid="{C6CCC16E-19A0-4B2A-B9F0-5E087E93266F}"/>
    <cellStyle name="40% - Accent3 2 4 2 5" xfId="11360" xr:uid="{BF99E04C-7485-408F-8D24-57BE5C80E333}"/>
    <cellStyle name="40% - Accent3 2 4 3" xfId="4983" xr:uid="{00000000-0005-0000-0000-000042050000}"/>
    <cellStyle name="40% - Accent3 2 4 3 2" xfId="30322" xr:uid="{5D72B5B5-FB6F-4A4A-9377-33A2873C0C89}"/>
    <cellStyle name="40% - Accent3 2 4 3 3" xfId="21881" xr:uid="{CB5E16CC-0027-464C-A850-9FF43E2A0A47}"/>
    <cellStyle name="40% - Accent3 2 4 3 4" xfId="13433" xr:uid="{882B976E-737A-4C38-8A14-5B0C95BD7AE6}"/>
    <cellStyle name="40% - Accent3 2 4 4" xfId="26104" xr:uid="{6FC1C17D-8880-452F-91E5-F3CFB4B37414}"/>
    <cellStyle name="40% - Accent3 2 4 5" xfId="17663" xr:uid="{9E7E2C88-6891-47A3-BB47-43FDEA3FA7DD}"/>
    <cellStyle name="40% - Accent3 2 4 6" xfId="9215" xr:uid="{46288169-48A0-4CEA-B200-0955E90DFB0D}"/>
    <cellStyle name="40% - Accent3 2 5" xfId="1088" xr:uid="{00000000-0005-0000-0000-000043050000}"/>
    <cellStyle name="40% - Accent3 2 5 2" xfId="3319" xr:uid="{00000000-0005-0000-0000-000044050000}"/>
    <cellStyle name="40% - Accent3 2 5 2 2" xfId="7541" xr:uid="{00000000-0005-0000-0000-000045050000}"/>
    <cellStyle name="40% - Accent3 2 5 2 2 2" xfId="32880" xr:uid="{A6A41738-0EDE-4CF3-B052-AE46D5B9F7A1}"/>
    <cellStyle name="40% - Accent3 2 5 2 2 3" xfId="24439" xr:uid="{13F2A578-9604-4CB3-9856-3366DF99BAC5}"/>
    <cellStyle name="40% - Accent3 2 5 2 2 4" xfId="15991" xr:uid="{5CB16B45-5616-401D-B384-9E8CE6CDAFD8}"/>
    <cellStyle name="40% - Accent3 2 5 2 3" xfId="28662" xr:uid="{89FD87DB-526C-414B-B2D8-B41C0134C9D9}"/>
    <cellStyle name="40% - Accent3 2 5 2 4" xfId="20221" xr:uid="{E178F8DA-B2AE-4E33-A55B-49046520AE5B}"/>
    <cellStyle name="40% - Accent3 2 5 2 5" xfId="11773" xr:uid="{D57247D1-EA9C-48F7-BAD2-C48C280BB74A}"/>
    <cellStyle name="40% - Accent3 2 5 3" xfId="5396" xr:uid="{00000000-0005-0000-0000-000046050000}"/>
    <cellStyle name="40% - Accent3 2 5 3 2" xfId="30735" xr:uid="{C6544D78-8B48-468B-A829-6FDEE724A838}"/>
    <cellStyle name="40% - Accent3 2 5 3 3" xfId="22294" xr:uid="{80BA0004-9F94-4A5B-89BF-BB5E0F6B30A2}"/>
    <cellStyle name="40% - Accent3 2 5 3 4" xfId="13846" xr:uid="{5C2139DB-5FC4-493D-94E0-AE562A081FEA}"/>
    <cellStyle name="40% - Accent3 2 5 4" xfId="26517" xr:uid="{C7A64906-EC61-4F85-8F89-5C21644B2B88}"/>
    <cellStyle name="40% - Accent3 2 5 5" xfId="18076" xr:uid="{24BE21DE-808F-4E78-89F0-DE76289F07F7}"/>
    <cellStyle name="40% - Accent3 2 5 6" xfId="9628" xr:uid="{2D87ADFA-DD03-4C12-8F7F-3D8CC4268E87}"/>
    <cellStyle name="40% - Accent3 2 6" xfId="1502" xr:uid="{00000000-0005-0000-0000-000047050000}"/>
    <cellStyle name="40% - Accent3 2 6 2" xfId="3732" xr:uid="{00000000-0005-0000-0000-000048050000}"/>
    <cellStyle name="40% - Accent3 2 6 2 2" xfId="7954" xr:uid="{00000000-0005-0000-0000-000049050000}"/>
    <cellStyle name="40% - Accent3 2 6 2 2 2" xfId="33293" xr:uid="{A8868375-58F0-404A-8DAA-D1BD17085620}"/>
    <cellStyle name="40% - Accent3 2 6 2 2 3" xfId="24852" xr:uid="{1648F69F-F58E-47FD-8FAB-114B88916954}"/>
    <cellStyle name="40% - Accent3 2 6 2 2 4" xfId="16404" xr:uid="{5B5F271D-7C54-4FCA-AA29-1ACE00A4446F}"/>
    <cellStyle name="40% - Accent3 2 6 2 3" xfId="29075" xr:uid="{004D78C6-ECFD-4C72-9DA6-0FF6B70BF93E}"/>
    <cellStyle name="40% - Accent3 2 6 2 4" xfId="20634" xr:uid="{3F6ADDAE-01B7-453C-ABEC-9ADAAF507B67}"/>
    <cellStyle name="40% - Accent3 2 6 2 5" xfId="12186" xr:uid="{0AA1D0F8-E09D-4744-A7FE-D73595ADE543}"/>
    <cellStyle name="40% - Accent3 2 6 3" xfId="5809" xr:uid="{00000000-0005-0000-0000-00004A050000}"/>
    <cellStyle name="40% - Accent3 2 6 3 2" xfId="31148" xr:uid="{3DAB80B2-A8B4-44CA-9D92-2B0A176B4E22}"/>
    <cellStyle name="40% - Accent3 2 6 3 3" xfId="22707" xr:uid="{22E8E436-D09E-47B2-9744-59B274693170}"/>
    <cellStyle name="40% - Accent3 2 6 3 4" xfId="14259" xr:uid="{B06CDC29-BEA0-4CC2-B3FE-86DC4BFD447F}"/>
    <cellStyle name="40% - Accent3 2 6 4" xfId="26930" xr:uid="{3B6BECD2-4CC2-4703-A066-37B8E57E32A8}"/>
    <cellStyle name="40% - Accent3 2 6 5" xfId="18489" xr:uid="{E2AE4D33-483B-4B1B-A46F-767913503D98}"/>
    <cellStyle name="40% - Accent3 2 6 6" xfId="10041" xr:uid="{D2CB45CC-9207-41AC-BD27-5774DC9F3876}"/>
    <cellStyle name="40% - Accent3 2 7" xfId="1916" xr:uid="{00000000-0005-0000-0000-00004B050000}"/>
    <cellStyle name="40% - Accent3 2 7 2" xfId="4145" xr:uid="{00000000-0005-0000-0000-00004C050000}"/>
    <cellStyle name="40% - Accent3 2 7 2 2" xfId="8367" xr:uid="{00000000-0005-0000-0000-00004D050000}"/>
    <cellStyle name="40% - Accent3 2 7 2 2 2" xfId="33706" xr:uid="{469E33F6-6055-4660-BA9B-D307F2C1329D}"/>
    <cellStyle name="40% - Accent3 2 7 2 2 3" xfId="25265" xr:uid="{0F3086F4-F87F-43A0-8D3A-229AC50313E3}"/>
    <cellStyle name="40% - Accent3 2 7 2 2 4" xfId="16817" xr:uid="{652E6800-8929-4C42-843E-0416A30B4D66}"/>
    <cellStyle name="40% - Accent3 2 7 2 3" xfId="29488" xr:uid="{60331F7C-114A-4CDC-9612-59B16D16E127}"/>
    <cellStyle name="40% - Accent3 2 7 2 4" xfId="21047" xr:uid="{5DADF2B8-1F4F-4D83-A19B-E90D19834F57}"/>
    <cellStyle name="40% - Accent3 2 7 2 5" xfId="12599" xr:uid="{EB954256-A6F9-4B8C-A9D4-0D6160FCF13C}"/>
    <cellStyle name="40% - Accent3 2 7 3" xfId="6222" xr:uid="{00000000-0005-0000-0000-00004E050000}"/>
    <cellStyle name="40% - Accent3 2 7 3 2" xfId="31561" xr:uid="{7F8C862B-DFF1-4AEE-B2DD-4839D202166F}"/>
    <cellStyle name="40% - Accent3 2 7 3 3" xfId="23120" xr:uid="{406DC94C-689E-4FBD-88C2-123A8BA590FB}"/>
    <cellStyle name="40% - Accent3 2 7 3 4" xfId="14672" xr:uid="{39E82500-34E1-4CC7-9860-061EB62FC0A8}"/>
    <cellStyle name="40% - Accent3 2 7 4" xfId="27343" xr:uid="{6444D813-EF74-488A-8710-42372D995B1A}"/>
    <cellStyle name="40% - Accent3 2 7 5" xfId="18902" xr:uid="{B11BF3BF-C373-4700-83E3-AB8F3BB0B399}"/>
    <cellStyle name="40% - Accent3 2 7 6" xfId="10454" xr:uid="{4F08DE87-5F53-466C-9A47-ABB7B0254533}"/>
    <cellStyle name="40% - Accent3 2 8" xfId="2329" xr:uid="{00000000-0005-0000-0000-00004F050000}"/>
    <cellStyle name="40% - Accent3 2 8 2" xfId="6635" xr:uid="{00000000-0005-0000-0000-000050050000}"/>
    <cellStyle name="40% - Accent3 2 8 2 2" xfId="31974" xr:uid="{B3F787FC-0830-41E9-B032-A1F4FED3014B}"/>
    <cellStyle name="40% - Accent3 2 8 2 3" xfId="23533" xr:uid="{62B58700-38D6-4D94-89BF-1E4FEAE3AE1E}"/>
    <cellStyle name="40% - Accent3 2 8 2 4" xfId="15085" xr:uid="{B9369ECA-A2BF-43E3-95F7-1DBAE40E52CD}"/>
    <cellStyle name="40% - Accent3 2 8 3" xfId="27756" xr:uid="{1840E24D-016D-4CEE-8CD7-821B574A47EE}"/>
    <cellStyle name="40% - Accent3 2 8 4" xfId="19315" xr:uid="{2787AD47-137B-48B4-BAAB-AEE224E0C453}"/>
    <cellStyle name="40% - Accent3 2 8 5" xfId="10867" xr:uid="{25A0E2EA-68B0-4134-94A4-C5C3BDF44537}"/>
    <cellStyle name="40% - Accent3 2 9" xfId="4569" xr:uid="{00000000-0005-0000-0000-000051050000}"/>
    <cellStyle name="40% - Accent3 2 9 2" xfId="29908" xr:uid="{8CBB4875-A55B-4B0C-816D-BC40A982ED78}"/>
    <cellStyle name="40% - Accent3 2 9 3" xfId="21467" xr:uid="{23A47CDC-CEA6-4D92-BDA8-F20FB5794BBB}"/>
    <cellStyle name="40% - Accent3 2 9 4" xfId="13019" xr:uid="{2D95B175-D202-4E42-8A84-E92AB77913E7}"/>
    <cellStyle name="40% - Accent3 3" xfId="70" xr:uid="{00000000-0005-0000-0000-000052050000}"/>
    <cellStyle name="40% - Accent3 3 10" xfId="17253" xr:uid="{5FB019F4-328B-4C21-8DED-3630C2F3E3D5}"/>
    <cellStyle name="40% - Accent3 3 11" xfId="8805" xr:uid="{06AD5EB3-8AE2-466E-BCF1-F152F6DBCA30}"/>
    <cellStyle name="40% - Accent3 3 2" xfId="71" xr:uid="{00000000-0005-0000-0000-000053050000}"/>
    <cellStyle name="40% - Accent3 3 2 10" xfId="8806" xr:uid="{281DB97F-FCE3-4066-98CC-67748A83882A}"/>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32472" xr:uid="{38CF3B0C-1D05-42CA-AA48-B97BEA6A41C5}"/>
    <cellStyle name="40% - Accent3 3 2 2 2 2 3" xfId="24031" xr:uid="{1BD4303A-BB7D-4527-934E-BC85E0ACED8C}"/>
    <cellStyle name="40% - Accent3 3 2 2 2 2 4" xfId="15583" xr:uid="{D2144462-897E-4541-A5E4-F4EDE1BF2D95}"/>
    <cellStyle name="40% - Accent3 3 2 2 2 3" xfId="28254" xr:uid="{A077DDDE-0A79-4A35-B109-660A7AB20574}"/>
    <cellStyle name="40% - Accent3 3 2 2 2 4" xfId="19813" xr:uid="{EACD69F3-F462-46DA-B12F-E1EB05D63FBF}"/>
    <cellStyle name="40% - Accent3 3 2 2 2 5" xfId="11365" xr:uid="{C49ED528-226E-4FDF-B2B3-0B4FE6EF31B9}"/>
    <cellStyle name="40% - Accent3 3 2 2 3" xfId="4988" xr:uid="{00000000-0005-0000-0000-000057050000}"/>
    <cellStyle name="40% - Accent3 3 2 2 3 2" xfId="30327" xr:uid="{2DB2BDD8-41F9-432C-A3A3-301AF9191189}"/>
    <cellStyle name="40% - Accent3 3 2 2 3 3" xfId="21886" xr:uid="{F7C1FF08-DB53-446F-A1D2-BEC0CDD980DB}"/>
    <cellStyle name="40% - Accent3 3 2 2 3 4" xfId="13438" xr:uid="{E4F3F961-A1B4-4F98-9A36-6D5005C276A6}"/>
    <cellStyle name="40% - Accent3 3 2 2 4" xfId="26109" xr:uid="{087C54F9-EEAC-47A5-8694-8FFDF5A945D0}"/>
    <cellStyle name="40% - Accent3 3 2 2 5" xfId="17668" xr:uid="{BD67C8F4-2738-4782-B472-A598FC1BC51E}"/>
    <cellStyle name="40% - Accent3 3 2 2 6" xfId="9220" xr:uid="{1B550445-94EE-498E-9D18-22AE593E99F4}"/>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32885" xr:uid="{966C5E21-1C2C-4D92-A93C-74449AF77DB7}"/>
    <cellStyle name="40% - Accent3 3 2 3 2 2 3" xfId="24444" xr:uid="{9E6B6C77-427E-4605-9699-6C591DE2FB34}"/>
    <cellStyle name="40% - Accent3 3 2 3 2 2 4" xfId="15996" xr:uid="{5E6E1C3E-9EE5-412A-AAC6-8B6BFCD800D7}"/>
    <cellStyle name="40% - Accent3 3 2 3 2 3" xfId="28667" xr:uid="{C5C05F1F-822E-4D84-BF9E-CB40A15E89B7}"/>
    <cellStyle name="40% - Accent3 3 2 3 2 4" xfId="20226" xr:uid="{844B8183-7054-475D-AA00-AC03223BB7B3}"/>
    <cellStyle name="40% - Accent3 3 2 3 2 5" xfId="11778" xr:uid="{0FF00114-5550-4F58-BD75-2CF64073CD6E}"/>
    <cellStyle name="40% - Accent3 3 2 3 3" xfId="5401" xr:uid="{00000000-0005-0000-0000-00005B050000}"/>
    <cellStyle name="40% - Accent3 3 2 3 3 2" xfId="30740" xr:uid="{29857814-949D-4885-B0F7-0CDB8A788373}"/>
    <cellStyle name="40% - Accent3 3 2 3 3 3" xfId="22299" xr:uid="{A50ABE3E-3AD4-4E5A-BE0B-83E9FF93A372}"/>
    <cellStyle name="40% - Accent3 3 2 3 3 4" xfId="13851" xr:uid="{037BCDD6-8104-4B52-9616-A2B84B5236BC}"/>
    <cellStyle name="40% - Accent3 3 2 3 4" xfId="26522" xr:uid="{C83393FC-552D-4817-94C9-94BFBDB6464F}"/>
    <cellStyle name="40% - Accent3 3 2 3 5" xfId="18081" xr:uid="{5C351026-850C-4398-ACD9-65B704D40DD9}"/>
    <cellStyle name="40% - Accent3 3 2 3 6" xfId="9633" xr:uid="{902DE057-BAE4-4A67-BB90-1A1951568230}"/>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33298" xr:uid="{B7532B08-DC0A-4ED5-8D69-AADEDF5BD3AD}"/>
    <cellStyle name="40% - Accent3 3 2 4 2 2 3" xfId="24857" xr:uid="{D3EE10FB-D2BE-4ECA-B44E-9514969FBC3D}"/>
    <cellStyle name="40% - Accent3 3 2 4 2 2 4" xfId="16409" xr:uid="{61ED59CF-0D83-4EF1-95EE-BC036F694C29}"/>
    <cellStyle name="40% - Accent3 3 2 4 2 3" xfId="29080" xr:uid="{0D691512-B1A4-4263-8BD9-62A51D1EC1ED}"/>
    <cellStyle name="40% - Accent3 3 2 4 2 4" xfId="20639" xr:uid="{2B8593E4-3C0B-453D-B668-4DE38B09D50C}"/>
    <cellStyle name="40% - Accent3 3 2 4 2 5" xfId="12191" xr:uid="{EBC0EE99-5B41-448C-A717-557847F97B59}"/>
    <cellStyle name="40% - Accent3 3 2 4 3" xfId="5814" xr:uid="{00000000-0005-0000-0000-00005F050000}"/>
    <cellStyle name="40% - Accent3 3 2 4 3 2" xfId="31153" xr:uid="{0509BDD8-4325-4117-B13D-A0534C38D41C}"/>
    <cellStyle name="40% - Accent3 3 2 4 3 3" xfId="22712" xr:uid="{01F95015-3A9F-4218-B247-48321930DF3D}"/>
    <cellStyle name="40% - Accent3 3 2 4 3 4" xfId="14264" xr:uid="{614F5ED4-B397-478F-8803-E44F6DCA9805}"/>
    <cellStyle name="40% - Accent3 3 2 4 4" xfId="26935" xr:uid="{9E763E55-0CF4-4775-B832-9A754B7EC740}"/>
    <cellStyle name="40% - Accent3 3 2 4 5" xfId="18494" xr:uid="{22490BD6-DF88-407C-B674-5225A0A1DEA6}"/>
    <cellStyle name="40% - Accent3 3 2 4 6" xfId="10046" xr:uid="{FEBE2829-26A6-41E2-A192-92B81C253CF5}"/>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33711" xr:uid="{50911D2C-71EC-428F-8592-3F8B030D8282}"/>
    <cellStyle name="40% - Accent3 3 2 5 2 2 3" xfId="25270" xr:uid="{D3A9D0D2-22DF-414D-BB35-8AA7155B8419}"/>
    <cellStyle name="40% - Accent3 3 2 5 2 2 4" xfId="16822" xr:uid="{4001323C-D4AF-4A1F-9DE1-5BFE33C95778}"/>
    <cellStyle name="40% - Accent3 3 2 5 2 3" xfId="29493" xr:uid="{248B5152-6941-46DA-BDD3-EA213725B94E}"/>
    <cellStyle name="40% - Accent3 3 2 5 2 4" xfId="21052" xr:uid="{AA130D5F-E6F6-41E4-8C6D-A8DAB7C3796C}"/>
    <cellStyle name="40% - Accent3 3 2 5 2 5" xfId="12604" xr:uid="{AE6B3BD1-FC29-4789-BC2B-A829D377BC1E}"/>
    <cellStyle name="40% - Accent3 3 2 5 3" xfId="6227" xr:uid="{00000000-0005-0000-0000-000063050000}"/>
    <cellStyle name="40% - Accent3 3 2 5 3 2" xfId="31566" xr:uid="{7AFB1C45-0F91-4499-A0A6-B0C5DA01C1F1}"/>
    <cellStyle name="40% - Accent3 3 2 5 3 3" xfId="23125" xr:uid="{E04D80EA-CEC5-4554-B368-C61686F94E6B}"/>
    <cellStyle name="40% - Accent3 3 2 5 3 4" xfId="14677" xr:uid="{91D02C41-B5AC-4660-A8D4-251F6E57A381}"/>
    <cellStyle name="40% - Accent3 3 2 5 4" xfId="27348" xr:uid="{AC2DAD19-1FB7-4515-9C14-F501DECE5AE3}"/>
    <cellStyle name="40% - Accent3 3 2 5 5" xfId="18907" xr:uid="{B2A3F9A9-7879-4DF1-8DA1-64BCE685810C}"/>
    <cellStyle name="40% - Accent3 3 2 5 6" xfId="10459" xr:uid="{401D8B9C-4053-407E-A0B6-70402A06EBE7}"/>
    <cellStyle name="40% - Accent3 3 2 6" xfId="2334" xr:uid="{00000000-0005-0000-0000-000064050000}"/>
    <cellStyle name="40% - Accent3 3 2 6 2" xfId="6640" xr:uid="{00000000-0005-0000-0000-000065050000}"/>
    <cellStyle name="40% - Accent3 3 2 6 2 2" xfId="31979" xr:uid="{DBAEE077-3653-4C62-98D4-DECA8861D3E6}"/>
    <cellStyle name="40% - Accent3 3 2 6 2 3" xfId="23538" xr:uid="{4EFABFF7-C1BC-47D7-B2BA-5CE6ECBEC89C}"/>
    <cellStyle name="40% - Accent3 3 2 6 2 4" xfId="15090" xr:uid="{61344AA0-5F97-4F71-B3A9-D67BBD838A71}"/>
    <cellStyle name="40% - Accent3 3 2 6 3" xfId="27761" xr:uid="{D867C219-3C17-4D9A-9C5B-23962C862459}"/>
    <cellStyle name="40% - Accent3 3 2 6 4" xfId="19320" xr:uid="{68A12471-8D07-4E55-B3C1-2FD57535E60C}"/>
    <cellStyle name="40% - Accent3 3 2 6 5" xfId="10872" xr:uid="{CD8D8BE3-160D-4FE8-B4B1-E2CA0A763E0D}"/>
    <cellStyle name="40% - Accent3 3 2 7" xfId="4574" xr:uid="{00000000-0005-0000-0000-000066050000}"/>
    <cellStyle name="40% - Accent3 3 2 7 2" xfId="29913" xr:uid="{61F57F27-542E-4FF1-89DC-18645FB7CFDB}"/>
    <cellStyle name="40% - Accent3 3 2 7 3" xfId="21472" xr:uid="{804CA102-5CD2-4974-B7A3-ADCDD8764612}"/>
    <cellStyle name="40% - Accent3 3 2 7 4" xfId="13024" xr:uid="{6FE4EBB9-4049-4F05-A70E-FC1245F5E601}"/>
    <cellStyle name="40% - Accent3 3 2 8" xfId="25695" xr:uid="{D7BB577B-677C-4766-8290-EEDC97174C80}"/>
    <cellStyle name="40% - Accent3 3 2 9" xfId="17254" xr:uid="{1B8F5CF3-56B4-4710-8350-B9925C75DF07}"/>
    <cellStyle name="40% - Accent3 3 3" xfId="639" xr:uid="{00000000-0005-0000-0000-000067050000}"/>
    <cellStyle name="40% - Accent3 3 3 2" xfId="2910" xr:uid="{00000000-0005-0000-0000-000068050000}"/>
    <cellStyle name="40% - Accent3 3 3 2 2" xfId="7132" xr:uid="{00000000-0005-0000-0000-000069050000}"/>
    <cellStyle name="40% - Accent3 3 3 2 2 2" xfId="32471" xr:uid="{C6F5C5DC-5635-464D-9001-BC9695F48F0B}"/>
    <cellStyle name="40% - Accent3 3 3 2 2 3" xfId="24030" xr:uid="{F6B17F1E-0089-4E21-AAEF-FD17B407E4A3}"/>
    <cellStyle name="40% - Accent3 3 3 2 2 4" xfId="15582" xr:uid="{D854C8FB-C055-4D23-9974-3AF5DC616F86}"/>
    <cellStyle name="40% - Accent3 3 3 2 3" xfId="28253" xr:uid="{709F828E-8242-435A-90A5-3CA020C329CF}"/>
    <cellStyle name="40% - Accent3 3 3 2 4" xfId="19812" xr:uid="{CA750A57-CA6D-4361-A400-3698C077A209}"/>
    <cellStyle name="40% - Accent3 3 3 2 5" xfId="11364" xr:uid="{DB582FCF-86F0-4F10-A063-564E9678FED8}"/>
    <cellStyle name="40% - Accent3 3 3 3" xfId="4987" xr:uid="{00000000-0005-0000-0000-00006A050000}"/>
    <cellStyle name="40% - Accent3 3 3 3 2" xfId="30326" xr:uid="{0BA7CC72-A8CD-49BC-B4DC-2FFCD399348A}"/>
    <cellStyle name="40% - Accent3 3 3 3 3" xfId="21885" xr:uid="{68266196-39BF-4F1B-935A-661316605355}"/>
    <cellStyle name="40% - Accent3 3 3 3 4" xfId="13437" xr:uid="{3F28C418-6037-4FC4-85B9-D03DB78D9F1E}"/>
    <cellStyle name="40% - Accent3 3 3 4" xfId="26108" xr:uid="{119B0B7A-2355-40E5-AFE4-80DF74B0B604}"/>
    <cellStyle name="40% - Accent3 3 3 5" xfId="17667" xr:uid="{04608395-F85E-4DD7-A5BA-EB51E1F551D2}"/>
    <cellStyle name="40% - Accent3 3 3 6" xfId="9219" xr:uid="{2F3CC2BC-67EE-496D-BB62-1941632E2C63}"/>
    <cellStyle name="40% - Accent3 3 4" xfId="1092" xr:uid="{00000000-0005-0000-0000-00006B050000}"/>
    <cellStyle name="40% - Accent3 3 4 2" xfId="3323" xr:uid="{00000000-0005-0000-0000-00006C050000}"/>
    <cellStyle name="40% - Accent3 3 4 2 2" xfId="7545" xr:uid="{00000000-0005-0000-0000-00006D050000}"/>
    <cellStyle name="40% - Accent3 3 4 2 2 2" xfId="32884" xr:uid="{3FC5F16C-4BA3-4D8B-9133-34A915A1D0BE}"/>
    <cellStyle name="40% - Accent3 3 4 2 2 3" xfId="24443" xr:uid="{008DFB27-B52D-4272-A27B-09580E4E2438}"/>
    <cellStyle name="40% - Accent3 3 4 2 2 4" xfId="15995" xr:uid="{5C528526-C612-444C-B8BE-E4960A04ACA2}"/>
    <cellStyle name="40% - Accent3 3 4 2 3" xfId="28666" xr:uid="{06333CD6-7170-4FB0-8BB4-27C879F7E3EC}"/>
    <cellStyle name="40% - Accent3 3 4 2 4" xfId="20225" xr:uid="{FDF1E549-5AB2-4DCD-B217-09F3675C088F}"/>
    <cellStyle name="40% - Accent3 3 4 2 5" xfId="11777" xr:uid="{AEB644F8-B1DB-43DC-B358-B127B6A3C70B}"/>
    <cellStyle name="40% - Accent3 3 4 3" xfId="5400" xr:uid="{00000000-0005-0000-0000-00006E050000}"/>
    <cellStyle name="40% - Accent3 3 4 3 2" xfId="30739" xr:uid="{43316E56-FAFF-4AEC-8F50-2EE41B6460E4}"/>
    <cellStyle name="40% - Accent3 3 4 3 3" xfId="22298" xr:uid="{431BD0E0-6160-4ABF-8271-FAD024DD7777}"/>
    <cellStyle name="40% - Accent3 3 4 3 4" xfId="13850" xr:uid="{E1F7864B-318E-4009-866A-EA7300A73DF7}"/>
    <cellStyle name="40% - Accent3 3 4 4" xfId="26521" xr:uid="{3DA52EA3-AFBA-42C3-9214-9EA772AA8676}"/>
    <cellStyle name="40% - Accent3 3 4 5" xfId="18080" xr:uid="{1A022C9E-F367-4642-AF30-495FC836C712}"/>
    <cellStyle name="40% - Accent3 3 4 6" xfId="9632" xr:uid="{4C9C1B64-028A-44D8-AEE5-32CF007A0853}"/>
    <cellStyle name="40% - Accent3 3 5" xfId="1506" xr:uid="{00000000-0005-0000-0000-00006F050000}"/>
    <cellStyle name="40% - Accent3 3 5 2" xfId="3736" xr:uid="{00000000-0005-0000-0000-000070050000}"/>
    <cellStyle name="40% - Accent3 3 5 2 2" xfId="7958" xr:uid="{00000000-0005-0000-0000-000071050000}"/>
    <cellStyle name="40% - Accent3 3 5 2 2 2" xfId="33297" xr:uid="{0A8AEF3E-D9BC-4DC7-A65E-27B86E0B731D}"/>
    <cellStyle name="40% - Accent3 3 5 2 2 3" xfId="24856" xr:uid="{E5702799-AE77-40E4-A560-3312374C026D}"/>
    <cellStyle name="40% - Accent3 3 5 2 2 4" xfId="16408" xr:uid="{044A08F1-03F2-4032-B3FF-985481D91982}"/>
    <cellStyle name="40% - Accent3 3 5 2 3" xfId="29079" xr:uid="{37FDAE43-A836-4619-8C29-9252125F7D7C}"/>
    <cellStyle name="40% - Accent3 3 5 2 4" xfId="20638" xr:uid="{D7D7482B-4240-4208-B8F6-F12205B91D04}"/>
    <cellStyle name="40% - Accent3 3 5 2 5" xfId="12190" xr:uid="{3AB4B5F9-234C-4EDD-B04A-EFCAF56C518A}"/>
    <cellStyle name="40% - Accent3 3 5 3" xfId="5813" xr:uid="{00000000-0005-0000-0000-000072050000}"/>
    <cellStyle name="40% - Accent3 3 5 3 2" xfId="31152" xr:uid="{0239337C-E8D5-46B5-8847-B9E66C8F6B14}"/>
    <cellStyle name="40% - Accent3 3 5 3 3" xfId="22711" xr:uid="{7D720726-995D-43AA-AE60-187C939F4A59}"/>
    <cellStyle name="40% - Accent3 3 5 3 4" xfId="14263" xr:uid="{23136A4D-6430-4A8A-8C52-D7EF9885DDBC}"/>
    <cellStyle name="40% - Accent3 3 5 4" xfId="26934" xr:uid="{D15F4283-6718-4EC4-A5E4-7B6BB326DC9A}"/>
    <cellStyle name="40% - Accent3 3 5 5" xfId="18493" xr:uid="{5B787147-70F0-4065-AF8C-B51F729B05FF}"/>
    <cellStyle name="40% - Accent3 3 5 6" xfId="10045" xr:uid="{7594CAAA-15CC-43D6-B723-0F40DA639F6F}"/>
    <cellStyle name="40% - Accent3 3 6" xfId="1920" xr:uid="{00000000-0005-0000-0000-000073050000}"/>
    <cellStyle name="40% - Accent3 3 6 2" xfId="4149" xr:uid="{00000000-0005-0000-0000-000074050000}"/>
    <cellStyle name="40% - Accent3 3 6 2 2" xfId="8371" xr:uid="{00000000-0005-0000-0000-000075050000}"/>
    <cellStyle name="40% - Accent3 3 6 2 2 2" xfId="33710" xr:uid="{2C42EFFB-9985-4337-BAF2-E686054BF857}"/>
    <cellStyle name="40% - Accent3 3 6 2 2 3" xfId="25269" xr:uid="{1C88B9D0-4294-4372-A4BB-80895248E560}"/>
    <cellStyle name="40% - Accent3 3 6 2 2 4" xfId="16821" xr:uid="{01312970-911A-4421-813B-9800F0EDC767}"/>
    <cellStyle name="40% - Accent3 3 6 2 3" xfId="29492" xr:uid="{F87A7E6C-053B-4396-9C6F-588CCC3B3E67}"/>
    <cellStyle name="40% - Accent3 3 6 2 4" xfId="21051" xr:uid="{DD275FDD-DDD2-4BEF-8878-491793A1BA74}"/>
    <cellStyle name="40% - Accent3 3 6 2 5" xfId="12603" xr:uid="{31AA475D-BA78-4973-9ADF-581F768F2E23}"/>
    <cellStyle name="40% - Accent3 3 6 3" xfId="6226" xr:uid="{00000000-0005-0000-0000-000076050000}"/>
    <cellStyle name="40% - Accent3 3 6 3 2" xfId="31565" xr:uid="{FC877CAE-45FA-4934-B905-6B8162AEB420}"/>
    <cellStyle name="40% - Accent3 3 6 3 3" xfId="23124" xr:uid="{930BE6D5-B518-4808-8AD9-3DF4AD1A25D4}"/>
    <cellStyle name="40% - Accent3 3 6 3 4" xfId="14676" xr:uid="{35566133-2CB9-457A-9869-0E8E2829E9ED}"/>
    <cellStyle name="40% - Accent3 3 6 4" xfId="27347" xr:uid="{54EC5B05-BF02-4046-B1EB-694EB3A8B2A3}"/>
    <cellStyle name="40% - Accent3 3 6 5" xfId="18906" xr:uid="{18F92013-1C5F-4246-BAF0-3A3A73A6A356}"/>
    <cellStyle name="40% - Accent3 3 6 6" xfId="10458" xr:uid="{0BF16E59-6D2F-4A99-93E5-5FCF6B2CF20C}"/>
    <cellStyle name="40% - Accent3 3 7" xfId="2333" xr:uid="{00000000-0005-0000-0000-000077050000}"/>
    <cellStyle name="40% - Accent3 3 7 2" xfId="6639" xr:uid="{00000000-0005-0000-0000-000078050000}"/>
    <cellStyle name="40% - Accent3 3 7 2 2" xfId="31978" xr:uid="{26816C88-6335-4A06-9397-8758BAEB328F}"/>
    <cellStyle name="40% - Accent3 3 7 2 3" xfId="23537" xr:uid="{F8640980-E43C-49C9-B35D-7BC41B5E4568}"/>
    <cellStyle name="40% - Accent3 3 7 2 4" xfId="15089" xr:uid="{7B69BA7F-74F4-42FF-B4E8-F3CD4CEE405C}"/>
    <cellStyle name="40% - Accent3 3 7 3" xfId="27760" xr:uid="{AA4B8214-AA06-4FB7-BC23-8E67E009E6F3}"/>
    <cellStyle name="40% - Accent3 3 7 4" xfId="19319" xr:uid="{4043E67F-F44F-4470-AD6F-661B96C81155}"/>
    <cellStyle name="40% - Accent3 3 7 5" xfId="10871" xr:uid="{EF92AFFC-8024-4351-BCE5-F1706584FE0B}"/>
    <cellStyle name="40% - Accent3 3 8" xfId="4573" xr:uid="{00000000-0005-0000-0000-000079050000}"/>
    <cellStyle name="40% - Accent3 3 8 2" xfId="29912" xr:uid="{B3D48252-4887-4BAB-AEA4-41FDC6692D3E}"/>
    <cellStyle name="40% - Accent3 3 8 3" xfId="21471" xr:uid="{1984308A-3315-454E-941E-7CE41657E8C1}"/>
    <cellStyle name="40% - Accent3 3 8 4" xfId="13023" xr:uid="{B2F7599B-A12F-411A-A0B3-C390EBD50EDE}"/>
    <cellStyle name="40% - Accent3 3 9" xfId="25694" xr:uid="{DFA64357-FDFA-4383-AB63-AA59EEBEE642}"/>
    <cellStyle name="40% - Accent3 4" xfId="72" xr:uid="{00000000-0005-0000-0000-00007A050000}"/>
    <cellStyle name="40% - Accent3 4 10" xfId="8807" xr:uid="{E0F98E9D-A0DF-49DA-859B-802E24675C32}"/>
    <cellStyle name="40% - Accent3 4 2" xfId="641" xr:uid="{00000000-0005-0000-0000-00007B050000}"/>
    <cellStyle name="40% - Accent3 4 2 2" xfId="2912" xr:uid="{00000000-0005-0000-0000-00007C050000}"/>
    <cellStyle name="40% - Accent3 4 2 2 2" xfId="7134" xr:uid="{00000000-0005-0000-0000-00007D050000}"/>
    <cellStyle name="40% - Accent3 4 2 2 2 2" xfId="32473" xr:uid="{14E65F15-3B03-433D-8FE5-023C3AE40225}"/>
    <cellStyle name="40% - Accent3 4 2 2 2 3" xfId="24032" xr:uid="{640853B0-8ACE-4A54-8030-DAC619927E00}"/>
    <cellStyle name="40% - Accent3 4 2 2 2 4" xfId="15584" xr:uid="{50C4205A-397D-44D1-94CC-D3667918E0AB}"/>
    <cellStyle name="40% - Accent3 4 2 2 3" xfId="28255" xr:uid="{9206D103-1927-41F8-AEA8-38297C89D6E0}"/>
    <cellStyle name="40% - Accent3 4 2 2 4" xfId="19814" xr:uid="{795D5995-B406-4631-9847-809868F06B51}"/>
    <cellStyle name="40% - Accent3 4 2 2 5" xfId="11366" xr:uid="{81F1EFD8-F10C-45E8-BAF2-C1FDC6863C8C}"/>
    <cellStyle name="40% - Accent3 4 2 3" xfId="4989" xr:uid="{00000000-0005-0000-0000-00007E050000}"/>
    <cellStyle name="40% - Accent3 4 2 3 2" xfId="30328" xr:uid="{B9A75CAA-8870-4F4E-8E93-527A23357C5E}"/>
    <cellStyle name="40% - Accent3 4 2 3 3" xfId="21887" xr:uid="{92CB323B-4E80-4C23-BEF9-6DD937CD941C}"/>
    <cellStyle name="40% - Accent3 4 2 3 4" xfId="13439" xr:uid="{1DA82609-96AD-4CE8-B2FF-B4C805C1D567}"/>
    <cellStyle name="40% - Accent3 4 2 4" xfId="26110" xr:uid="{879E45E2-4D01-4FB9-93E5-AFE729B35FF7}"/>
    <cellStyle name="40% - Accent3 4 2 5" xfId="17669" xr:uid="{707E814F-794B-485C-877A-040EE4460040}"/>
    <cellStyle name="40% - Accent3 4 2 6" xfId="9221" xr:uid="{FB4FE99D-9B96-4372-93FA-017417311052}"/>
    <cellStyle name="40% - Accent3 4 3" xfId="1094" xr:uid="{00000000-0005-0000-0000-00007F050000}"/>
    <cellStyle name="40% - Accent3 4 3 2" xfId="3325" xr:uid="{00000000-0005-0000-0000-000080050000}"/>
    <cellStyle name="40% - Accent3 4 3 2 2" xfId="7547" xr:uid="{00000000-0005-0000-0000-000081050000}"/>
    <cellStyle name="40% - Accent3 4 3 2 2 2" xfId="32886" xr:uid="{411B5946-36C8-4851-A6CB-C181036D1A48}"/>
    <cellStyle name="40% - Accent3 4 3 2 2 3" xfId="24445" xr:uid="{95C00F74-2855-4687-A5DF-656755747A11}"/>
    <cellStyle name="40% - Accent3 4 3 2 2 4" xfId="15997" xr:uid="{CAF69571-5E9D-4BFD-83B9-D1321394A4A6}"/>
    <cellStyle name="40% - Accent3 4 3 2 3" xfId="28668" xr:uid="{4B4AAB5B-D957-4B69-82E4-94F39C3EA31F}"/>
    <cellStyle name="40% - Accent3 4 3 2 4" xfId="20227" xr:uid="{D8C4D3C0-C832-4142-A331-B1BA2663A313}"/>
    <cellStyle name="40% - Accent3 4 3 2 5" xfId="11779" xr:uid="{1D10C92E-D3CA-435E-8211-1E9A2A84383F}"/>
    <cellStyle name="40% - Accent3 4 3 3" xfId="5402" xr:uid="{00000000-0005-0000-0000-000082050000}"/>
    <cellStyle name="40% - Accent3 4 3 3 2" xfId="30741" xr:uid="{31F86902-20FF-4DD4-A315-BB436E31A4FB}"/>
    <cellStyle name="40% - Accent3 4 3 3 3" xfId="22300" xr:uid="{86DA1A39-527D-49F7-94F0-B55F31288F0D}"/>
    <cellStyle name="40% - Accent3 4 3 3 4" xfId="13852" xr:uid="{36BF279B-CC22-4C88-AB76-F5820C255196}"/>
    <cellStyle name="40% - Accent3 4 3 4" xfId="26523" xr:uid="{868BA697-5AF0-4FED-B2C9-E0B5228FD0AE}"/>
    <cellStyle name="40% - Accent3 4 3 5" xfId="18082" xr:uid="{0E197066-1C81-4555-BD3C-18F8934E34EA}"/>
    <cellStyle name="40% - Accent3 4 3 6" xfId="9634" xr:uid="{F2733E33-7CE1-42EE-9AF9-0EE8FDBE6187}"/>
    <cellStyle name="40% - Accent3 4 4" xfId="1508" xr:uid="{00000000-0005-0000-0000-000083050000}"/>
    <cellStyle name="40% - Accent3 4 4 2" xfId="3738" xr:uid="{00000000-0005-0000-0000-000084050000}"/>
    <cellStyle name="40% - Accent3 4 4 2 2" xfId="7960" xr:uid="{00000000-0005-0000-0000-000085050000}"/>
    <cellStyle name="40% - Accent3 4 4 2 2 2" xfId="33299" xr:uid="{59F49B52-F02C-4708-8AF3-84E51B7AF3DD}"/>
    <cellStyle name="40% - Accent3 4 4 2 2 3" xfId="24858" xr:uid="{A249AC12-1968-45AA-A24E-4F8F9BEA7610}"/>
    <cellStyle name="40% - Accent3 4 4 2 2 4" xfId="16410" xr:uid="{4C771D17-5909-4F4E-B9C3-842D8A289D09}"/>
    <cellStyle name="40% - Accent3 4 4 2 3" xfId="29081" xr:uid="{4724F520-1A3F-4BE2-B5F0-E3E4C058B5F6}"/>
    <cellStyle name="40% - Accent3 4 4 2 4" xfId="20640" xr:uid="{5AE636AB-9706-43CC-928C-41E68C692275}"/>
    <cellStyle name="40% - Accent3 4 4 2 5" xfId="12192" xr:uid="{B9E127B6-FB2D-4DC3-A1BB-7016B9B73ABE}"/>
    <cellStyle name="40% - Accent3 4 4 3" xfId="5815" xr:uid="{00000000-0005-0000-0000-000086050000}"/>
    <cellStyle name="40% - Accent3 4 4 3 2" xfId="31154" xr:uid="{6304FF67-9103-44B5-8524-95C75F4A0773}"/>
    <cellStyle name="40% - Accent3 4 4 3 3" xfId="22713" xr:uid="{07B443AB-FE05-49B3-9E51-9CC2BA844875}"/>
    <cellStyle name="40% - Accent3 4 4 3 4" xfId="14265" xr:uid="{7ADE4522-BFF0-450D-803F-FA1ABCD9E6FF}"/>
    <cellStyle name="40% - Accent3 4 4 4" xfId="26936" xr:uid="{26F3ED80-7498-47D6-BF41-2343F423DB77}"/>
    <cellStyle name="40% - Accent3 4 4 5" xfId="18495" xr:uid="{AC168DAC-FB6A-4B1A-92E0-B41C729EA223}"/>
    <cellStyle name="40% - Accent3 4 4 6" xfId="10047" xr:uid="{CFC8A705-B313-4EB2-B128-D21A868172B8}"/>
    <cellStyle name="40% - Accent3 4 5" xfId="1922" xr:uid="{00000000-0005-0000-0000-000087050000}"/>
    <cellStyle name="40% - Accent3 4 5 2" xfId="4151" xr:uid="{00000000-0005-0000-0000-000088050000}"/>
    <cellStyle name="40% - Accent3 4 5 2 2" xfId="8373" xr:uid="{00000000-0005-0000-0000-000089050000}"/>
    <cellStyle name="40% - Accent3 4 5 2 2 2" xfId="33712" xr:uid="{A7701364-209E-469F-BA95-5C4E29C50B70}"/>
    <cellStyle name="40% - Accent3 4 5 2 2 3" xfId="25271" xr:uid="{52CBFBCE-03F9-45B5-BB11-48CB7835AB62}"/>
    <cellStyle name="40% - Accent3 4 5 2 2 4" xfId="16823" xr:uid="{CF6A2789-859C-4ED0-AA15-FB2340F6436E}"/>
    <cellStyle name="40% - Accent3 4 5 2 3" xfId="29494" xr:uid="{C29D1DBF-E025-4330-BBF2-168D066C168B}"/>
    <cellStyle name="40% - Accent3 4 5 2 4" xfId="21053" xr:uid="{CFA14E59-1559-4B90-ACF9-D6F3581DD701}"/>
    <cellStyle name="40% - Accent3 4 5 2 5" xfId="12605" xr:uid="{2347CABA-061A-4433-965C-16368570C8DA}"/>
    <cellStyle name="40% - Accent3 4 5 3" xfId="6228" xr:uid="{00000000-0005-0000-0000-00008A050000}"/>
    <cellStyle name="40% - Accent3 4 5 3 2" xfId="31567" xr:uid="{EE965138-FF89-4F69-9AF2-2B4260543FCD}"/>
    <cellStyle name="40% - Accent3 4 5 3 3" xfId="23126" xr:uid="{0523E4FD-0E79-4223-B532-F4B07FA9B301}"/>
    <cellStyle name="40% - Accent3 4 5 3 4" xfId="14678" xr:uid="{6A695994-A2CF-4666-A007-139477B1EE17}"/>
    <cellStyle name="40% - Accent3 4 5 4" xfId="27349" xr:uid="{8132556B-B0E5-4740-8FA5-EDAE8E1712AB}"/>
    <cellStyle name="40% - Accent3 4 5 5" xfId="18908" xr:uid="{3887D464-5219-4A7C-8DCF-31BFCEBDDD0C}"/>
    <cellStyle name="40% - Accent3 4 5 6" xfId="10460" xr:uid="{B6EC768A-8D58-4A3C-90D9-AD9743776A27}"/>
    <cellStyle name="40% - Accent3 4 6" xfId="2335" xr:uid="{00000000-0005-0000-0000-00008B050000}"/>
    <cellStyle name="40% - Accent3 4 6 2" xfId="6641" xr:uid="{00000000-0005-0000-0000-00008C050000}"/>
    <cellStyle name="40% - Accent3 4 6 2 2" xfId="31980" xr:uid="{EC7D6507-9F0F-4A79-B94A-DCFA9F01094A}"/>
    <cellStyle name="40% - Accent3 4 6 2 3" xfId="23539" xr:uid="{4EE278A1-6AD6-4A2E-8FC3-51C8CFAA350C}"/>
    <cellStyle name="40% - Accent3 4 6 2 4" xfId="15091" xr:uid="{F6304BE1-79C5-4083-8211-F841A59D6F55}"/>
    <cellStyle name="40% - Accent3 4 6 3" xfId="27762" xr:uid="{0C3B435F-D835-4565-B836-696AE9FD4A9B}"/>
    <cellStyle name="40% - Accent3 4 6 4" xfId="19321" xr:uid="{1CDE1408-2410-4A5D-9B3A-AEF510901D72}"/>
    <cellStyle name="40% - Accent3 4 6 5" xfId="10873" xr:uid="{ABEF5387-8B64-4C7F-A8D7-8019ED90DE93}"/>
    <cellStyle name="40% - Accent3 4 7" xfId="4575" xr:uid="{00000000-0005-0000-0000-00008D050000}"/>
    <cellStyle name="40% - Accent3 4 7 2" xfId="29914" xr:uid="{DF0CCC32-B5E2-440E-9AD2-AD4B4C0EDD8A}"/>
    <cellStyle name="40% - Accent3 4 7 3" xfId="21473" xr:uid="{2C2D527C-A2B0-4025-AD36-C4E84DE7798C}"/>
    <cellStyle name="40% - Accent3 4 7 4" xfId="13025" xr:uid="{74134F14-DF70-4D2D-8073-F41E5D961D70}"/>
    <cellStyle name="40% - Accent3 4 8" xfId="25696" xr:uid="{2845E804-8C54-48BE-958F-1E266E55E720}"/>
    <cellStyle name="40% - Accent3 4 9" xfId="17255" xr:uid="{0AA02A33-648C-4D34-9941-9A4EE0FC24F9}"/>
    <cellStyle name="40% - Accent3 5" xfId="634" xr:uid="{00000000-0005-0000-0000-00008E050000}"/>
    <cellStyle name="40% - Accent3 5 2" xfId="2905" xr:uid="{00000000-0005-0000-0000-00008F050000}"/>
    <cellStyle name="40% - Accent3 5 2 2" xfId="7127" xr:uid="{00000000-0005-0000-0000-000090050000}"/>
    <cellStyle name="40% - Accent3 5 2 2 2" xfId="32466" xr:uid="{9C6D68C0-1850-4963-B2A4-C25FFBCBA82B}"/>
    <cellStyle name="40% - Accent3 5 2 2 3" xfId="24025" xr:uid="{F847D483-C7DA-4066-8161-315A26A24B15}"/>
    <cellStyle name="40% - Accent3 5 2 2 4" xfId="15577" xr:uid="{49C6B6B9-806E-43CE-95A5-FAC8E3150369}"/>
    <cellStyle name="40% - Accent3 5 2 3" xfId="28248" xr:uid="{8B12257E-214E-4F88-8389-E266CAEB9FED}"/>
    <cellStyle name="40% - Accent3 5 2 4" xfId="19807" xr:uid="{654C6F30-EA42-4FA4-A4DE-1D83EFDF9F8C}"/>
    <cellStyle name="40% - Accent3 5 2 5" xfId="11359" xr:uid="{7623551F-9FAF-4BEF-A946-07A27CBF1E7D}"/>
    <cellStyle name="40% - Accent3 5 3" xfId="4982" xr:uid="{00000000-0005-0000-0000-000091050000}"/>
    <cellStyle name="40% - Accent3 5 3 2" xfId="30321" xr:uid="{37F2B7E4-91B6-4271-86D0-BABCC87F15E8}"/>
    <cellStyle name="40% - Accent3 5 3 3" xfId="21880" xr:uid="{26E40BB8-B6E3-4CC9-80C7-0A82CF82F3C9}"/>
    <cellStyle name="40% - Accent3 5 3 4" xfId="13432" xr:uid="{904CC3D5-D38A-4CE6-BFB4-6C59540F62CD}"/>
    <cellStyle name="40% - Accent3 5 4" xfId="26103" xr:uid="{C88B0070-862A-4C5D-9649-28E45989818D}"/>
    <cellStyle name="40% - Accent3 5 5" xfId="17662" xr:uid="{6E171CBA-8B6C-40B9-85FC-3EB23176F5DF}"/>
    <cellStyle name="40% - Accent3 5 6" xfId="9214" xr:uid="{FFEB44AB-CDB4-4F1A-BE8D-41EB2FE884AE}"/>
    <cellStyle name="40% - Accent3 6" xfId="1087" xr:uid="{00000000-0005-0000-0000-000092050000}"/>
    <cellStyle name="40% - Accent3 6 2" xfId="3318" xr:uid="{00000000-0005-0000-0000-000093050000}"/>
    <cellStyle name="40% - Accent3 6 2 2" xfId="7540" xr:uid="{00000000-0005-0000-0000-000094050000}"/>
    <cellStyle name="40% - Accent3 6 2 2 2" xfId="32879" xr:uid="{9463E37C-AF06-4185-B329-FDDA062C8AC1}"/>
    <cellStyle name="40% - Accent3 6 2 2 3" xfId="24438" xr:uid="{ED118AB0-B93B-4BA8-8E1F-BF496E0185EB}"/>
    <cellStyle name="40% - Accent3 6 2 2 4" xfId="15990" xr:uid="{FC56F8BC-0BF6-4612-B6B2-994EE73696D9}"/>
    <cellStyle name="40% - Accent3 6 2 3" xfId="28661" xr:uid="{252B7F5A-4CFA-4C44-9158-0386D2412F57}"/>
    <cellStyle name="40% - Accent3 6 2 4" xfId="20220" xr:uid="{B486E818-692E-4DF4-BA38-4B0FEA4B49CB}"/>
    <cellStyle name="40% - Accent3 6 2 5" xfId="11772" xr:uid="{8461E693-7DF0-41D2-A28C-ABB953BA279D}"/>
    <cellStyle name="40% - Accent3 6 3" xfId="5395" xr:uid="{00000000-0005-0000-0000-000095050000}"/>
    <cellStyle name="40% - Accent3 6 3 2" xfId="30734" xr:uid="{23BFDDB9-BAF3-4918-BB2A-C49EBD6BBB53}"/>
    <cellStyle name="40% - Accent3 6 3 3" xfId="22293" xr:uid="{5E767B49-A5B9-4492-9EBB-9E660A0D4513}"/>
    <cellStyle name="40% - Accent3 6 3 4" xfId="13845" xr:uid="{31E6AFF6-947E-4EEF-852D-BE509151B0F5}"/>
    <cellStyle name="40% - Accent3 6 4" xfId="26516" xr:uid="{1D775C26-1EE2-4AAE-8336-A7128AD248EF}"/>
    <cellStyle name="40% - Accent3 6 5" xfId="18075" xr:uid="{F69A22D5-7323-42E3-9BD3-77A14F86D8CE}"/>
    <cellStyle name="40% - Accent3 6 6" xfId="9627" xr:uid="{354413D0-EC2E-4178-837C-4E4947A38A2F}"/>
    <cellStyle name="40% - Accent3 7" xfId="1501" xr:uid="{00000000-0005-0000-0000-000096050000}"/>
    <cellStyle name="40% - Accent3 7 2" xfId="3731" xr:uid="{00000000-0005-0000-0000-000097050000}"/>
    <cellStyle name="40% - Accent3 7 2 2" xfId="7953" xr:uid="{00000000-0005-0000-0000-000098050000}"/>
    <cellStyle name="40% - Accent3 7 2 2 2" xfId="33292" xr:uid="{1624593E-B3E2-4DB1-AFF3-D9475E1C023F}"/>
    <cellStyle name="40% - Accent3 7 2 2 3" xfId="24851" xr:uid="{76FA70A1-97B0-4A8F-BB92-04FB9A5DD66E}"/>
    <cellStyle name="40% - Accent3 7 2 2 4" xfId="16403" xr:uid="{A6824318-B593-40C4-9CF0-0FF9D46B178C}"/>
    <cellStyle name="40% - Accent3 7 2 3" xfId="29074" xr:uid="{E15F0096-D90C-47F1-9F74-CAD069E467F6}"/>
    <cellStyle name="40% - Accent3 7 2 4" xfId="20633" xr:uid="{5E85A9EF-CEE1-48D7-BCF5-54F2E0141910}"/>
    <cellStyle name="40% - Accent3 7 2 5" xfId="12185" xr:uid="{C81255B3-5121-49BB-B516-DF76A7E269A7}"/>
    <cellStyle name="40% - Accent3 7 3" xfId="5808" xr:uid="{00000000-0005-0000-0000-000099050000}"/>
    <cellStyle name="40% - Accent3 7 3 2" xfId="31147" xr:uid="{0E89A451-B4C1-4810-A338-53B9269A32CF}"/>
    <cellStyle name="40% - Accent3 7 3 3" xfId="22706" xr:uid="{199CEF37-8F35-438B-B19A-9966D08A8C29}"/>
    <cellStyle name="40% - Accent3 7 3 4" xfId="14258" xr:uid="{E8578FFD-7548-4B32-96E9-8EFE63AFDF05}"/>
    <cellStyle name="40% - Accent3 7 4" xfId="26929" xr:uid="{F240FB94-05AE-4D70-8541-20C531EF1DB1}"/>
    <cellStyle name="40% - Accent3 7 5" xfId="18488" xr:uid="{7A66EA39-38A9-4D50-A8D5-AE53E2E9A17B}"/>
    <cellStyle name="40% - Accent3 7 6" xfId="10040" xr:uid="{189F75A8-84BB-4908-A1DB-2818B2B55451}"/>
    <cellStyle name="40% - Accent3 8" xfId="1915" xr:uid="{00000000-0005-0000-0000-00009A050000}"/>
    <cellStyle name="40% - Accent3 8 2" xfId="4144" xr:uid="{00000000-0005-0000-0000-00009B050000}"/>
    <cellStyle name="40% - Accent3 8 2 2" xfId="8366" xr:uid="{00000000-0005-0000-0000-00009C050000}"/>
    <cellStyle name="40% - Accent3 8 2 2 2" xfId="33705" xr:uid="{BAC3BB89-BA3B-4B8E-83CB-E4244B6E2631}"/>
    <cellStyle name="40% - Accent3 8 2 2 3" xfId="25264" xr:uid="{EED84E53-1C24-4335-ACEC-AC3502F8C418}"/>
    <cellStyle name="40% - Accent3 8 2 2 4" xfId="16816" xr:uid="{7148427F-537C-46E5-9F46-52F43E2AAE43}"/>
    <cellStyle name="40% - Accent3 8 2 3" xfId="29487" xr:uid="{39A37741-12C7-4339-8023-5D49268A1F48}"/>
    <cellStyle name="40% - Accent3 8 2 4" xfId="21046" xr:uid="{94A5AAB7-90A9-4EBB-9B9C-DEAC798546EA}"/>
    <cellStyle name="40% - Accent3 8 2 5" xfId="12598" xr:uid="{2079FCE4-1DF4-433D-ABB4-394CD144E006}"/>
    <cellStyle name="40% - Accent3 8 3" xfId="6221" xr:uid="{00000000-0005-0000-0000-00009D050000}"/>
    <cellStyle name="40% - Accent3 8 3 2" xfId="31560" xr:uid="{45AA7ECC-B17D-440E-8B45-84368065EE61}"/>
    <cellStyle name="40% - Accent3 8 3 3" xfId="23119" xr:uid="{65EA2CD3-A84D-47B4-9682-CB79E648A0A2}"/>
    <cellStyle name="40% - Accent3 8 3 4" xfId="14671" xr:uid="{180DF1B1-831F-47B6-B5BB-AEC5E3C91CCA}"/>
    <cellStyle name="40% - Accent3 8 4" xfId="27342" xr:uid="{D7FFC572-3B73-4D6C-A2BF-FB8A4BE7D459}"/>
    <cellStyle name="40% - Accent3 8 5" xfId="18901" xr:uid="{8F425A5B-E11C-4E97-BAC5-51E6E143C0AC}"/>
    <cellStyle name="40% - Accent3 8 6" xfId="10453" xr:uid="{FA1C5577-31F9-4504-8A1A-333EC2D26BCF}"/>
    <cellStyle name="40% - Accent3 9" xfId="2328" xr:uid="{00000000-0005-0000-0000-00009E050000}"/>
    <cellStyle name="40% - Accent3 9 2" xfId="6634" xr:uid="{00000000-0005-0000-0000-00009F050000}"/>
    <cellStyle name="40% - Accent3 9 2 2" xfId="31973" xr:uid="{0C9A904E-41F4-4334-82A3-2F08D8FED25A}"/>
    <cellStyle name="40% - Accent3 9 2 3" xfId="23532" xr:uid="{F3A7E87F-F67D-45E8-93DF-33DFB0B10319}"/>
    <cellStyle name="40% - Accent3 9 2 4" xfId="15084" xr:uid="{FF35CFC5-4C2A-4D1A-9B39-103F386D31DB}"/>
    <cellStyle name="40% - Accent3 9 3" xfId="27755" xr:uid="{6D239ABA-D693-45E7-ACAE-6AF544891CD4}"/>
    <cellStyle name="40% - Accent3 9 4" xfId="19314" xr:uid="{53FE71E2-6EB0-4F38-AEA5-10BEB8E2C930}"/>
    <cellStyle name="40% - Accent3 9 5" xfId="10866" xr:uid="{6FA290D5-9198-4ECE-AE8D-44B94742AF65}"/>
    <cellStyle name="40% - Accent4" xfId="73" builtinId="43" customBuiltin="1"/>
    <cellStyle name="40% - Accent4 10" xfId="4576" xr:uid="{00000000-0005-0000-0000-0000A1050000}"/>
    <cellStyle name="40% - Accent4 10 2" xfId="29915" xr:uid="{36A9CF61-4B0F-4A59-9E8A-641F27DDFB68}"/>
    <cellStyle name="40% - Accent4 10 3" xfId="21474" xr:uid="{668C9E22-EDC4-4512-B709-D506B4C99E81}"/>
    <cellStyle name="40% - Accent4 10 4" xfId="13026" xr:uid="{E0DD1D5D-BEF6-46DD-9F05-BC67273233DC}"/>
    <cellStyle name="40% - Accent4 11" xfId="25697" xr:uid="{2554DA1D-89A3-4F28-B140-AA4788235224}"/>
    <cellStyle name="40% - Accent4 12" xfId="17256" xr:uid="{5988675E-09DB-4CB0-B200-C660A60EF0DA}"/>
    <cellStyle name="40% - Accent4 13" xfId="8808" xr:uid="{099A16FB-399B-41FD-BBD8-E898F1318A9C}"/>
    <cellStyle name="40% - Accent4 2" xfId="74" xr:uid="{00000000-0005-0000-0000-0000A2050000}"/>
    <cellStyle name="40% - Accent4 2 10" xfId="25698" xr:uid="{FCA89DFA-9535-4883-A2D2-653646AA1284}"/>
    <cellStyle name="40% - Accent4 2 11" xfId="17257" xr:uid="{0A8811F3-5ED4-4883-9C41-4FF931529040}"/>
    <cellStyle name="40% - Accent4 2 12" xfId="8809" xr:uid="{80D23DC4-5963-42F3-978C-7C0E854A3653}"/>
    <cellStyle name="40% - Accent4 2 2" xfId="75" xr:uid="{00000000-0005-0000-0000-0000A3050000}"/>
    <cellStyle name="40% - Accent4 2 2 10" xfId="17258" xr:uid="{7F24517E-09A1-4DB6-9853-069C3DFBEC44}"/>
    <cellStyle name="40% - Accent4 2 2 11" xfId="8810" xr:uid="{A9E748C6-7E0F-4FCD-8EF3-AE58335BF023}"/>
    <cellStyle name="40% - Accent4 2 2 2" xfId="76" xr:uid="{00000000-0005-0000-0000-0000A4050000}"/>
    <cellStyle name="40% - Accent4 2 2 2 10" xfId="8811" xr:uid="{F7C92620-CA87-4015-B65D-5840A987019E}"/>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32477" xr:uid="{A9CE796D-DF1D-4A94-BD68-029D2B8A826D}"/>
    <cellStyle name="40% - Accent4 2 2 2 2 2 2 3" xfId="24036" xr:uid="{8B4ACCE8-179E-4EDA-A88E-19032FCEBBBA}"/>
    <cellStyle name="40% - Accent4 2 2 2 2 2 2 4" xfId="15588" xr:uid="{F3FAA37D-99DC-48BE-8968-1BFA6CE1DF39}"/>
    <cellStyle name="40% - Accent4 2 2 2 2 2 3" xfId="28259" xr:uid="{0026933E-8885-459D-9B50-4E1EB09646CA}"/>
    <cellStyle name="40% - Accent4 2 2 2 2 2 4" xfId="19818" xr:uid="{C60AD02D-D749-4D4B-A1C7-8570D5339A36}"/>
    <cellStyle name="40% - Accent4 2 2 2 2 2 5" xfId="11370" xr:uid="{8E573F88-17BB-475B-AC8C-CF46F041F90B}"/>
    <cellStyle name="40% - Accent4 2 2 2 2 3" xfId="4993" xr:uid="{00000000-0005-0000-0000-0000A8050000}"/>
    <cellStyle name="40% - Accent4 2 2 2 2 3 2" xfId="30332" xr:uid="{8CA59CA9-D02D-4C13-AFA6-C9E01DDF5226}"/>
    <cellStyle name="40% - Accent4 2 2 2 2 3 3" xfId="21891" xr:uid="{0BB09D53-91BE-40C1-B52B-C2B38A02D5F5}"/>
    <cellStyle name="40% - Accent4 2 2 2 2 3 4" xfId="13443" xr:uid="{54E0518F-05BB-4B70-8138-0260C01FA994}"/>
    <cellStyle name="40% - Accent4 2 2 2 2 4" xfId="26114" xr:uid="{4578DD9A-47DB-4BE1-A9E6-9C303F096D64}"/>
    <cellStyle name="40% - Accent4 2 2 2 2 5" xfId="17673" xr:uid="{353F0890-BF0F-4C12-8F86-DEDEAB60D913}"/>
    <cellStyle name="40% - Accent4 2 2 2 2 6" xfId="9225" xr:uid="{E51D10D2-54B5-42A0-A730-B9D8EC37C9AB}"/>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32890" xr:uid="{C49CF3A0-631C-428D-A0E9-A725F2F7EC68}"/>
    <cellStyle name="40% - Accent4 2 2 2 3 2 2 3" xfId="24449" xr:uid="{21EE6733-333A-4D31-83AA-B69F3EABDAE9}"/>
    <cellStyle name="40% - Accent4 2 2 2 3 2 2 4" xfId="16001" xr:uid="{3F948069-EE51-4E88-AD2E-188F6B2B6FE4}"/>
    <cellStyle name="40% - Accent4 2 2 2 3 2 3" xfId="28672" xr:uid="{B4D9FF15-EBAB-414E-9982-6044B8798078}"/>
    <cellStyle name="40% - Accent4 2 2 2 3 2 4" xfId="20231" xr:uid="{EDFD89B5-FABC-4CA2-B986-D2FFC0ACC55B}"/>
    <cellStyle name="40% - Accent4 2 2 2 3 2 5" xfId="11783" xr:uid="{018CEB62-3B22-4A20-A60D-95AADBF9986A}"/>
    <cellStyle name="40% - Accent4 2 2 2 3 3" xfId="5406" xr:uid="{00000000-0005-0000-0000-0000AC050000}"/>
    <cellStyle name="40% - Accent4 2 2 2 3 3 2" xfId="30745" xr:uid="{E1E5FAB5-BE5A-4691-89F4-52087406BAA5}"/>
    <cellStyle name="40% - Accent4 2 2 2 3 3 3" xfId="22304" xr:uid="{82DFD11E-3671-4ED7-8564-03A4BC864CA1}"/>
    <cellStyle name="40% - Accent4 2 2 2 3 3 4" xfId="13856" xr:uid="{DF245723-F3A9-4AD8-8B3F-4E9F76A747B0}"/>
    <cellStyle name="40% - Accent4 2 2 2 3 4" xfId="26527" xr:uid="{D77EDBBA-246F-429F-AA92-2C724A54BA33}"/>
    <cellStyle name="40% - Accent4 2 2 2 3 5" xfId="18086" xr:uid="{877D42C8-AA2E-452E-88B0-83AC9BC9C0EA}"/>
    <cellStyle name="40% - Accent4 2 2 2 3 6" xfId="9638" xr:uid="{4F56EFF1-237E-405C-BF05-3B84A3C21BE2}"/>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33303" xr:uid="{A66201AE-28DC-49E4-9AA4-F8CF3C476835}"/>
    <cellStyle name="40% - Accent4 2 2 2 4 2 2 3" xfId="24862" xr:uid="{51E1051D-16E4-4555-839B-37D9A7DE5F09}"/>
    <cellStyle name="40% - Accent4 2 2 2 4 2 2 4" xfId="16414" xr:uid="{522DB393-6297-4EAF-98B4-F7E10DAF3C25}"/>
    <cellStyle name="40% - Accent4 2 2 2 4 2 3" xfId="29085" xr:uid="{B318E884-A938-40EB-A327-9687F6F012F5}"/>
    <cellStyle name="40% - Accent4 2 2 2 4 2 4" xfId="20644" xr:uid="{70957A6C-FB37-4F18-9514-B98902335358}"/>
    <cellStyle name="40% - Accent4 2 2 2 4 2 5" xfId="12196" xr:uid="{411DC484-7D64-4392-A9FE-AF7325FCA9BA}"/>
    <cellStyle name="40% - Accent4 2 2 2 4 3" xfId="5819" xr:uid="{00000000-0005-0000-0000-0000B0050000}"/>
    <cellStyle name="40% - Accent4 2 2 2 4 3 2" xfId="31158" xr:uid="{EC61EB39-1630-4EB0-80CB-5F1C25DCB2DD}"/>
    <cellStyle name="40% - Accent4 2 2 2 4 3 3" xfId="22717" xr:uid="{34062658-93A1-4FD8-9250-1FA54ECA692D}"/>
    <cellStyle name="40% - Accent4 2 2 2 4 3 4" xfId="14269" xr:uid="{A7DB1389-3EC0-408A-A805-E38D239D5EE6}"/>
    <cellStyle name="40% - Accent4 2 2 2 4 4" xfId="26940" xr:uid="{E2C5732A-3C0A-4A90-91A8-BF054C556349}"/>
    <cellStyle name="40% - Accent4 2 2 2 4 5" xfId="18499" xr:uid="{EA5856DC-009C-4FD9-8DC3-2B56D1C46FBC}"/>
    <cellStyle name="40% - Accent4 2 2 2 4 6" xfId="10051" xr:uid="{C87AB9A5-2729-422B-8DEC-8FAEF38B7936}"/>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33716" xr:uid="{C82A45F7-6348-4EF4-BA99-FFB6A71B4907}"/>
    <cellStyle name="40% - Accent4 2 2 2 5 2 2 3" xfId="25275" xr:uid="{491CB0C2-2B1C-4064-AA00-FF03FFE29EFD}"/>
    <cellStyle name="40% - Accent4 2 2 2 5 2 2 4" xfId="16827" xr:uid="{8786E6A9-5835-466A-BF5D-BA8428409D7A}"/>
    <cellStyle name="40% - Accent4 2 2 2 5 2 3" xfId="29498" xr:uid="{4FA6811A-94EE-49D6-B1A1-FB17F17EBC44}"/>
    <cellStyle name="40% - Accent4 2 2 2 5 2 4" xfId="21057" xr:uid="{46291714-8089-4F64-BA76-617B4F97CA73}"/>
    <cellStyle name="40% - Accent4 2 2 2 5 2 5" xfId="12609" xr:uid="{8E92A620-868A-4131-8BAD-BEC1FFA7CF8F}"/>
    <cellStyle name="40% - Accent4 2 2 2 5 3" xfId="6232" xr:uid="{00000000-0005-0000-0000-0000B4050000}"/>
    <cellStyle name="40% - Accent4 2 2 2 5 3 2" xfId="31571" xr:uid="{38E8DE29-F7E1-4B2F-9537-3D46E4EE404D}"/>
    <cellStyle name="40% - Accent4 2 2 2 5 3 3" xfId="23130" xr:uid="{336D9F75-1F78-488F-B346-446144DB96CE}"/>
    <cellStyle name="40% - Accent4 2 2 2 5 3 4" xfId="14682" xr:uid="{5722B42A-BB01-4B11-9B96-ABC68044CED5}"/>
    <cellStyle name="40% - Accent4 2 2 2 5 4" xfId="27353" xr:uid="{A2D70B38-7D3D-4BF8-8065-12C4E8F346CE}"/>
    <cellStyle name="40% - Accent4 2 2 2 5 5" xfId="18912" xr:uid="{7A84BE67-DE50-46DD-BBBE-6A15BAC79ECA}"/>
    <cellStyle name="40% - Accent4 2 2 2 5 6" xfId="10464" xr:uid="{C97DFC01-CFB0-4444-9057-0130D2934046}"/>
    <cellStyle name="40% - Accent4 2 2 2 6" xfId="2339" xr:uid="{00000000-0005-0000-0000-0000B5050000}"/>
    <cellStyle name="40% - Accent4 2 2 2 6 2" xfId="6645" xr:uid="{00000000-0005-0000-0000-0000B6050000}"/>
    <cellStyle name="40% - Accent4 2 2 2 6 2 2" xfId="31984" xr:uid="{32EB7236-BAE1-4DFF-ADB6-1AAB418F1319}"/>
    <cellStyle name="40% - Accent4 2 2 2 6 2 3" xfId="23543" xr:uid="{7E1A5C58-2173-4062-8493-98213E7E9B5E}"/>
    <cellStyle name="40% - Accent4 2 2 2 6 2 4" xfId="15095" xr:uid="{8F78CA2C-DF33-40AC-BFA7-23AEC9366E35}"/>
    <cellStyle name="40% - Accent4 2 2 2 6 3" xfId="27766" xr:uid="{4668E8A1-7E93-4669-966C-95FF45774034}"/>
    <cellStyle name="40% - Accent4 2 2 2 6 4" xfId="19325" xr:uid="{9DC5F42C-AF9D-419A-BB58-C94FE9660994}"/>
    <cellStyle name="40% - Accent4 2 2 2 6 5" xfId="10877" xr:uid="{8AD9013B-DB62-4984-A67F-C8E99931B9AF}"/>
    <cellStyle name="40% - Accent4 2 2 2 7" xfId="4579" xr:uid="{00000000-0005-0000-0000-0000B7050000}"/>
    <cellStyle name="40% - Accent4 2 2 2 7 2" xfId="29918" xr:uid="{4002C3EC-55BA-46EC-B729-164A53F5D88D}"/>
    <cellStyle name="40% - Accent4 2 2 2 7 3" xfId="21477" xr:uid="{18F9DE7F-E88C-4E06-8564-897533B0B712}"/>
    <cellStyle name="40% - Accent4 2 2 2 7 4" xfId="13029" xr:uid="{3FAFDB7D-A223-4506-B9EF-3E65C7321092}"/>
    <cellStyle name="40% - Accent4 2 2 2 8" xfId="25700" xr:uid="{9D475FD8-2636-4064-A124-946E0970BF18}"/>
    <cellStyle name="40% - Accent4 2 2 2 9" xfId="17259" xr:uid="{D9517A80-E76D-488A-9917-8D513C657BF7}"/>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32476" xr:uid="{FC19604E-5A4C-4943-ACC7-57A65527FDBB}"/>
    <cellStyle name="40% - Accent4 2 2 3 2 2 3" xfId="24035" xr:uid="{8808213D-BF6E-40D2-9764-64DAA0EEE981}"/>
    <cellStyle name="40% - Accent4 2 2 3 2 2 4" xfId="15587" xr:uid="{ECCA05AB-65E6-409E-81D0-A39A1E8A56B7}"/>
    <cellStyle name="40% - Accent4 2 2 3 2 3" xfId="28258" xr:uid="{FD7B0DBF-C196-4DF0-A5A6-DA838A4E0563}"/>
    <cellStyle name="40% - Accent4 2 2 3 2 4" xfId="19817" xr:uid="{B5C64EDE-8385-46C1-9F15-2F64CC09D6CF}"/>
    <cellStyle name="40% - Accent4 2 2 3 2 5" xfId="11369" xr:uid="{49F439AA-DD2C-4B61-BF54-C11D7E8DF200}"/>
    <cellStyle name="40% - Accent4 2 2 3 3" xfId="4992" xr:uid="{00000000-0005-0000-0000-0000BB050000}"/>
    <cellStyle name="40% - Accent4 2 2 3 3 2" xfId="30331" xr:uid="{8BE36F64-2279-4C77-8E99-84677F260B69}"/>
    <cellStyle name="40% - Accent4 2 2 3 3 3" xfId="21890" xr:uid="{A8C42064-BE2D-4CE2-8531-84E5504E638D}"/>
    <cellStyle name="40% - Accent4 2 2 3 3 4" xfId="13442" xr:uid="{7A1F4B79-E2E4-4B86-99FE-1474A4367022}"/>
    <cellStyle name="40% - Accent4 2 2 3 4" xfId="26113" xr:uid="{FCBB5655-D57C-4BC9-A718-9793259AA5A7}"/>
    <cellStyle name="40% - Accent4 2 2 3 5" xfId="17672" xr:uid="{08FF4EA7-9C60-4DD3-A08D-47EC1AFA6D20}"/>
    <cellStyle name="40% - Accent4 2 2 3 6" xfId="9224" xr:uid="{090D846C-3B64-4ED5-BC6C-E9F8E0C2820E}"/>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32889" xr:uid="{75DDFC54-E660-407D-8AEE-806AECD1A53B}"/>
    <cellStyle name="40% - Accent4 2 2 4 2 2 3" xfId="24448" xr:uid="{2925A661-A62A-4756-9EF7-2B3A32D4CB4C}"/>
    <cellStyle name="40% - Accent4 2 2 4 2 2 4" xfId="16000" xr:uid="{D79352FC-802C-46ED-894B-AB2AE96A7208}"/>
    <cellStyle name="40% - Accent4 2 2 4 2 3" xfId="28671" xr:uid="{44DC3774-08F7-450A-95B5-4357229CBCF6}"/>
    <cellStyle name="40% - Accent4 2 2 4 2 4" xfId="20230" xr:uid="{4D9E3C0E-DF9B-465E-94D0-6A3F84DE344E}"/>
    <cellStyle name="40% - Accent4 2 2 4 2 5" xfId="11782" xr:uid="{41C887C9-9C5B-413E-8EE8-F43BC18A9765}"/>
    <cellStyle name="40% - Accent4 2 2 4 3" xfId="5405" xr:uid="{00000000-0005-0000-0000-0000BF050000}"/>
    <cellStyle name="40% - Accent4 2 2 4 3 2" xfId="30744" xr:uid="{B7EF3171-18FE-4178-8D47-0E22DC3B1309}"/>
    <cellStyle name="40% - Accent4 2 2 4 3 3" xfId="22303" xr:uid="{ACCAFEFA-E499-4E3C-8ADD-4B6728BA5616}"/>
    <cellStyle name="40% - Accent4 2 2 4 3 4" xfId="13855" xr:uid="{3CE88EB8-D361-42BC-8C61-24D22D6661AF}"/>
    <cellStyle name="40% - Accent4 2 2 4 4" xfId="26526" xr:uid="{D5ACE4CD-1441-4230-8C72-D0ED9E5E7D3A}"/>
    <cellStyle name="40% - Accent4 2 2 4 5" xfId="18085" xr:uid="{1925AB77-E4A7-4667-889D-AAA9A2C7D75C}"/>
    <cellStyle name="40% - Accent4 2 2 4 6" xfId="9637" xr:uid="{7458A208-8497-4DF5-A357-518908D0CF86}"/>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33302" xr:uid="{B48EFDEF-E14C-44BA-9820-938F701891A3}"/>
    <cellStyle name="40% - Accent4 2 2 5 2 2 3" xfId="24861" xr:uid="{E5EB21A4-7F7A-4FA1-9483-09F817A21F34}"/>
    <cellStyle name="40% - Accent4 2 2 5 2 2 4" xfId="16413" xr:uid="{A2600E67-1F9D-4307-998B-0EABA46DCDD0}"/>
    <cellStyle name="40% - Accent4 2 2 5 2 3" xfId="29084" xr:uid="{33A91656-3789-45E9-A807-3B99314294C1}"/>
    <cellStyle name="40% - Accent4 2 2 5 2 4" xfId="20643" xr:uid="{C463796D-A52E-4929-A6EC-E0D7BBA68390}"/>
    <cellStyle name="40% - Accent4 2 2 5 2 5" xfId="12195" xr:uid="{ADFDF5ED-5627-4B86-A9FA-E5CE0443DD02}"/>
    <cellStyle name="40% - Accent4 2 2 5 3" xfId="5818" xr:uid="{00000000-0005-0000-0000-0000C3050000}"/>
    <cellStyle name="40% - Accent4 2 2 5 3 2" xfId="31157" xr:uid="{19C3CA8E-742C-46F7-BE22-CE65AFCEE800}"/>
    <cellStyle name="40% - Accent4 2 2 5 3 3" xfId="22716" xr:uid="{9F79A7C8-09B7-449E-AB76-42340F9EC597}"/>
    <cellStyle name="40% - Accent4 2 2 5 3 4" xfId="14268" xr:uid="{8FC6D2A1-CD04-40DE-8BED-C605AE0948F3}"/>
    <cellStyle name="40% - Accent4 2 2 5 4" xfId="26939" xr:uid="{72ED21B2-EBFE-48A7-8E3D-BA5BA0F596EB}"/>
    <cellStyle name="40% - Accent4 2 2 5 5" xfId="18498" xr:uid="{1D30D048-508A-471B-AE7C-72091391AEF0}"/>
    <cellStyle name="40% - Accent4 2 2 5 6" xfId="10050" xr:uid="{F4E2CA70-86C9-4AF1-8DC0-8350355E3D2E}"/>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33715" xr:uid="{81AE5B41-0B08-4921-A3F1-2B71F61FBC2E}"/>
    <cellStyle name="40% - Accent4 2 2 6 2 2 3" xfId="25274" xr:uid="{6C4B9808-E03C-4204-B2AD-079E312969C2}"/>
    <cellStyle name="40% - Accent4 2 2 6 2 2 4" xfId="16826" xr:uid="{39633E15-606D-4DEB-98CC-D685AD8A350B}"/>
    <cellStyle name="40% - Accent4 2 2 6 2 3" xfId="29497" xr:uid="{FE810ADB-BE60-4D4F-81E1-896C933D6056}"/>
    <cellStyle name="40% - Accent4 2 2 6 2 4" xfId="21056" xr:uid="{BC9F6DC7-3A4D-4801-87DF-602886BF5E15}"/>
    <cellStyle name="40% - Accent4 2 2 6 2 5" xfId="12608" xr:uid="{459C5C6F-0FA6-4904-BB9F-0DDB02F73B55}"/>
    <cellStyle name="40% - Accent4 2 2 6 3" xfId="6231" xr:uid="{00000000-0005-0000-0000-0000C7050000}"/>
    <cellStyle name="40% - Accent4 2 2 6 3 2" xfId="31570" xr:uid="{7615ADFB-0CD2-4EF6-9EF0-FE200821E4D0}"/>
    <cellStyle name="40% - Accent4 2 2 6 3 3" xfId="23129" xr:uid="{F75725B9-23B4-467E-8CD8-FA1B9C15BB73}"/>
    <cellStyle name="40% - Accent4 2 2 6 3 4" xfId="14681" xr:uid="{1685F3A2-7FF4-4A41-ABA4-7DC8F746FE8A}"/>
    <cellStyle name="40% - Accent4 2 2 6 4" xfId="27352" xr:uid="{3C11481D-89F9-40ED-B644-3DF55A8A799A}"/>
    <cellStyle name="40% - Accent4 2 2 6 5" xfId="18911" xr:uid="{39D2B15F-733A-487D-909E-D1FA6C853664}"/>
    <cellStyle name="40% - Accent4 2 2 6 6" xfId="10463" xr:uid="{31A2BC96-3EB0-46BD-8005-8894D7725CAC}"/>
    <cellStyle name="40% - Accent4 2 2 7" xfId="2338" xr:uid="{00000000-0005-0000-0000-0000C8050000}"/>
    <cellStyle name="40% - Accent4 2 2 7 2" xfId="6644" xr:uid="{00000000-0005-0000-0000-0000C9050000}"/>
    <cellStyle name="40% - Accent4 2 2 7 2 2" xfId="31983" xr:uid="{634D6C93-B494-4C8F-871D-8C0CB6D1ABC4}"/>
    <cellStyle name="40% - Accent4 2 2 7 2 3" xfId="23542" xr:uid="{C05717AE-1414-4558-91C2-CC5C6ED737E2}"/>
    <cellStyle name="40% - Accent4 2 2 7 2 4" xfId="15094" xr:uid="{4AEACD70-AEA8-4911-BBAA-288CCD04F2DC}"/>
    <cellStyle name="40% - Accent4 2 2 7 3" xfId="27765" xr:uid="{52C2E9A9-BFE9-4750-B522-0C3E46588475}"/>
    <cellStyle name="40% - Accent4 2 2 7 4" xfId="19324" xr:uid="{7BF0D0B6-CC30-4BB1-92BA-AA8D2C65EBDA}"/>
    <cellStyle name="40% - Accent4 2 2 7 5" xfId="10876" xr:uid="{8BB2E3CD-61D5-4D6E-9EDC-71F0E91618CE}"/>
    <cellStyle name="40% - Accent4 2 2 8" xfId="4578" xr:uid="{00000000-0005-0000-0000-0000CA050000}"/>
    <cellStyle name="40% - Accent4 2 2 8 2" xfId="29917" xr:uid="{FB85F836-C1A4-4D1D-B2F7-15938B233106}"/>
    <cellStyle name="40% - Accent4 2 2 8 3" xfId="21476" xr:uid="{168AB49A-6409-4CA5-91AD-FD9949FCCD96}"/>
    <cellStyle name="40% - Accent4 2 2 8 4" xfId="13028" xr:uid="{4A706F3A-24E8-47B6-9213-B10BA4CED36C}"/>
    <cellStyle name="40% - Accent4 2 2 9" xfId="25699" xr:uid="{793455D3-7B9B-40A9-B7D5-BB101B493E0B}"/>
    <cellStyle name="40% - Accent4 2 3" xfId="77" xr:uid="{00000000-0005-0000-0000-0000CB050000}"/>
    <cellStyle name="40% - Accent4 2 3 10" xfId="8812" xr:uid="{B0402858-CD8E-4377-8E30-D2A31D73A9AA}"/>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32478" xr:uid="{C81F992E-E00B-4623-860A-E31E08C6F0AC}"/>
    <cellStyle name="40% - Accent4 2 3 2 2 2 3" xfId="24037" xr:uid="{96A79E33-123D-46A6-B28E-4CCA08646F3C}"/>
    <cellStyle name="40% - Accent4 2 3 2 2 2 4" xfId="15589" xr:uid="{EAD66410-2DA2-4147-B4D4-5FEEB40EE1F8}"/>
    <cellStyle name="40% - Accent4 2 3 2 2 3" xfId="28260" xr:uid="{6A56937B-4B50-4B20-9A37-809313688B47}"/>
    <cellStyle name="40% - Accent4 2 3 2 2 4" xfId="19819" xr:uid="{CCC6A1B3-6D73-4068-8619-B64BE3C91C5B}"/>
    <cellStyle name="40% - Accent4 2 3 2 2 5" xfId="11371" xr:uid="{EBF561F8-DF98-4CC5-A4D1-CF29895527FB}"/>
    <cellStyle name="40% - Accent4 2 3 2 3" xfId="4994" xr:uid="{00000000-0005-0000-0000-0000CF050000}"/>
    <cellStyle name="40% - Accent4 2 3 2 3 2" xfId="30333" xr:uid="{7205F212-2B80-4520-93A0-404DC70A9AB2}"/>
    <cellStyle name="40% - Accent4 2 3 2 3 3" xfId="21892" xr:uid="{DFC73BDC-B31A-4A89-882C-024B3066E895}"/>
    <cellStyle name="40% - Accent4 2 3 2 3 4" xfId="13444" xr:uid="{A0F5C0C3-9455-4B43-8118-3317D563FD59}"/>
    <cellStyle name="40% - Accent4 2 3 2 4" xfId="26115" xr:uid="{11C26238-DCB3-4384-A50A-67633371F451}"/>
    <cellStyle name="40% - Accent4 2 3 2 5" xfId="17674" xr:uid="{F58C503B-412A-463F-B785-038392CD6E38}"/>
    <cellStyle name="40% - Accent4 2 3 2 6" xfId="9226" xr:uid="{94475824-3503-4C44-8078-B3E298D119A0}"/>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32891" xr:uid="{2AD94A9D-1B15-4142-B017-8CBE785607E4}"/>
    <cellStyle name="40% - Accent4 2 3 3 2 2 3" xfId="24450" xr:uid="{E6190A1A-0509-4FDC-B445-04913A0A3062}"/>
    <cellStyle name="40% - Accent4 2 3 3 2 2 4" xfId="16002" xr:uid="{71998C31-FCA9-4722-ABD0-0A5A55C4FBC0}"/>
    <cellStyle name="40% - Accent4 2 3 3 2 3" xfId="28673" xr:uid="{20E49ABF-3307-4118-992F-FC95F50D5163}"/>
    <cellStyle name="40% - Accent4 2 3 3 2 4" xfId="20232" xr:uid="{AC85885B-1D99-4A51-8641-2F7C22351F10}"/>
    <cellStyle name="40% - Accent4 2 3 3 2 5" xfId="11784" xr:uid="{648E4184-EB59-4CAC-BE36-7FD51CDC1FCA}"/>
    <cellStyle name="40% - Accent4 2 3 3 3" xfId="5407" xr:uid="{00000000-0005-0000-0000-0000D3050000}"/>
    <cellStyle name="40% - Accent4 2 3 3 3 2" xfId="30746" xr:uid="{E8A66EA7-4CFD-4C68-856A-AE5FF97FBE8E}"/>
    <cellStyle name="40% - Accent4 2 3 3 3 3" xfId="22305" xr:uid="{DEAF35D7-8EF3-4DAD-BFC4-84A24AB9519F}"/>
    <cellStyle name="40% - Accent4 2 3 3 3 4" xfId="13857" xr:uid="{6D02B57E-A644-4D27-BCE9-48EA43D70D86}"/>
    <cellStyle name="40% - Accent4 2 3 3 4" xfId="26528" xr:uid="{79AC0321-2E62-4A5E-A622-5064834F3D3B}"/>
    <cellStyle name="40% - Accent4 2 3 3 5" xfId="18087" xr:uid="{BF8DAA7A-1922-4461-9D96-7BB8320F8AF4}"/>
    <cellStyle name="40% - Accent4 2 3 3 6" xfId="9639" xr:uid="{3DF440C6-74E8-4515-B512-90F5A84FB222}"/>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33304" xr:uid="{4D1C6749-BB1F-44C8-BD90-D8CFD0B59B90}"/>
    <cellStyle name="40% - Accent4 2 3 4 2 2 3" xfId="24863" xr:uid="{5592300F-0F13-4964-9969-FA588EF8EA0D}"/>
    <cellStyle name="40% - Accent4 2 3 4 2 2 4" xfId="16415" xr:uid="{280816B5-A833-4AFC-A5DB-B1088684F601}"/>
    <cellStyle name="40% - Accent4 2 3 4 2 3" xfId="29086" xr:uid="{7872BCC8-6D60-4A60-801E-EBD388DAB496}"/>
    <cellStyle name="40% - Accent4 2 3 4 2 4" xfId="20645" xr:uid="{A3A424BD-06F1-4425-A5E1-52416E5F4E8C}"/>
    <cellStyle name="40% - Accent4 2 3 4 2 5" xfId="12197" xr:uid="{B4BCA338-E50D-49F2-B916-45F82D68BB1B}"/>
    <cellStyle name="40% - Accent4 2 3 4 3" xfId="5820" xr:uid="{00000000-0005-0000-0000-0000D7050000}"/>
    <cellStyle name="40% - Accent4 2 3 4 3 2" xfId="31159" xr:uid="{4172C6B5-D1B9-4718-8D97-3B905E3C3D49}"/>
    <cellStyle name="40% - Accent4 2 3 4 3 3" xfId="22718" xr:uid="{BE827839-C768-4A22-BD29-F57DB6D53AAC}"/>
    <cellStyle name="40% - Accent4 2 3 4 3 4" xfId="14270" xr:uid="{31FE2AC8-4772-447B-9798-681588919C9E}"/>
    <cellStyle name="40% - Accent4 2 3 4 4" xfId="26941" xr:uid="{51AE38A1-1DDF-4A1C-9B68-2B2C49DAD87A}"/>
    <cellStyle name="40% - Accent4 2 3 4 5" xfId="18500" xr:uid="{2673AB2F-3236-473D-8D86-44A39B7AD61D}"/>
    <cellStyle name="40% - Accent4 2 3 4 6" xfId="10052" xr:uid="{3C6983A9-58BC-42B3-9585-C9D4E9AFFA2E}"/>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33717" xr:uid="{C4E6208D-A5C1-4B4E-99F0-4C43BC778BCD}"/>
    <cellStyle name="40% - Accent4 2 3 5 2 2 3" xfId="25276" xr:uid="{D931F192-569E-447F-B503-2D5ABEE54AF9}"/>
    <cellStyle name="40% - Accent4 2 3 5 2 2 4" xfId="16828" xr:uid="{C75D74A3-51EB-4332-AA27-A4774F853EBC}"/>
    <cellStyle name="40% - Accent4 2 3 5 2 3" xfId="29499" xr:uid="{068ACCEC-A304-4601-AD6F-47A891E3B989}"/>
    <cellStyle name="40% - Accent4 2 3 5 2 4" xfId="21058" xr:uid="{DB7C1B49-D6FE-426A-A165-C18E20E92D81}"/>
    <cellStyle name="40% - Accent4 2 3 5 2 5" xfId="12610" xr:uid="{92BBFA82-5172-48AA-ADA0-EED826EFE5B3}"/>
    <cellStyle name="40% - Accent4 2 3 5 3" xfId="6233" xr:uid="{00000000-0005-0000-0000-0000DB050000}"/>
    <cellStyle name="40% - Accent4 2 3 5 3 2" xfId="31572" xr:uid="{2A0A7B98-4D35-4767-86DF-8D2F6734C71A}"/>
    <cellStyle name="40% - Accent4 2 3 5 3 3" xfId="23131" xr:uid="{EF74B524-2E7F-4E99-B660-52654737EE87}"/>
    <cellStyle name="40% - Accent4 2 3 5 3 4" xfId="14683" xr:uid="{89EF8282-7104-4B4C-83BF-8F9E030F0E12}"/>
    <cellStyle name="40% - Accent4 2 3 5 4" xfId="27354" xr:uid="{17A477C8-8369-4947-9930-301A258A6580}"/>
    <cellStyle name="40% - Accent4 2 3 5 5" xfId="18913" xr:uid="{D4773C53-1F35-44C3-BE5E-0111A39256BA}"/>
    <cellStyle name="40% - Accent4 2 3 5 6" xfId="10465" xr:uid="{D241DD38-6C41-40DF-8337-E174AF0ABA8A}"/>
    <cellStyle name="40% - Accent4 2 3 6" xfId="2340" xr:uid="{00000000-0005-0000-0000-0000DC050000}"/>
    <cellStyle name="40% - Accent4 2 3 6 2" xfId="6646" xr:uid="{00000000-0005-0000-0000-0000DD050000}"/>
    <cellStyle name="40% - Accent4 2 3 6 2 2" xfId="31985" xr:uid="{1359190F-6578-4925-94B7-1E09EA624522}"/>
    <cellStyle name="40% - Accent4 2 3 6 2 3" xfId="23544" xr:uid="{B581E567-8914-4C61-9E50-50133C05E0B3}"/>
    <cellStyle name="40% - Accent4 2 3 6 2 4" xfId="15096" xr:uid="{B19736EE-CAFB-47B9-A0BF-E00D483FB41D}"/>
    <cellStyle name="40% - Accent4 2 3 6 3" xfId="27767" xr:uid="{68DB29CD-9F7D-4DC1-ADBB-D76FBE3FAF81}"/>
    <cellStyle name="40% - Accent4 2 3 6 4" xfId="19326" xr:uid="{A040A805-8CEE-40B5-9FA5-D61313833F3F}"/>
    <cellStyle name="40% - Accent4 2 3 6 5" xfId="10878" xr:uid="{4D95D031-6D55-420F-815E-7FCEE4340B5A}"/>
    <cellStyle name="40% - Accent4 2 3 7" xfId="4580" xr:uid="{00000000-0005-0000-0000-0000DE050000}"/>
    <cellStyle name="40% - Accent4 2 3 7 2" xfId="29919" xr:uid="{8A0B1AEE-4E89-478C-9764-9E21A19C2237}"/>
    <cellStyle name="40% - Accent4 2 3 7 3" xfId="21478" xr:uid="{37A59BCF-F021-4738-8947-935D02FD5FB1}"/>
    <cellStyle name="40% - Accent4 2 3 7 4" xfId="13030" xr:uid="{547F05DE-F853-4F5B-A6FF-A052CA5BCCE0}"/>
    <cellStyle name="40% - Accent4 2 3 8" xfId="25701" xr:uid="{FB193101-F815-4EF7-AA35-9D0F7239E436}"/>
    <cellStyle name="40% - Accent4 2 3 9" xfId="17260" xr:uid="{3CF0F20C-0552-47F9-B5E2-C59AB18DDD26}"/>
    <cellStyle name="40% - Accent4 2 4" xfId="643" xr:uid="{00000000-0005-0000-0000-0000DF050000}"/>
    <cellStyle name="40% - Accent4 2 4 2" xfId="2914" xr:uid="{00000000-0005-0000-0000-0000E0050000}"/>
    <cellStyle name="40% - Accent4 2 4 2 2" xfId="7136" xr:uid="{00000000-0005-0000-0000-0000E1050000}"/>
    <cellStyle name="40% - Accent4 2 4 2 2 2" xfId="32475" xr:uid="{AC1F6BF3-0F8A-4C0F-B3B2-9D6FD846B5EE}"/>
    <cellStyle name="40% - Accent4 2 4 2 2 3" xfId="24034" xr:uid="{3046F47A-1157-456A-8F47-3EF3C830A6B3}"/>
    <cellStyle name="40% - Accent4 2 4 2 2 4" xfId="15586" xr:uid="{56022044-DF19-413E-9753-B7494EF0ABF8}"/>
    <cellStyle name="40% - Accent4 2 4 2 3" xfId="28257" xr:uid="{867CCEF0-4A40-49EA-81C0-D8D6B7328A92}"/>
    <cellStyle name="40% - Accent4 2 4 2 4" xfId="19816" xr:uid="{F2A403F4-091D-4A42-9167-A205503CF4FD}"/>
    <cellStyle name="40% - Accent4 2 4 2 5" xfId="11368" xr:uid="{0A2F303F-C850-4A2B-A634-F60B922FEC1F}"/>
    <cellStyle name="40% - Accent4 2 4 3" xfId="4991" xr:uid="{00000000-0005-0000-0000-0000E2050000}"/>
    <cellStyle name="40% - Accent4 2 4 3 2" xfId="30330" xr:uid="{D887FF15-AFC0-4017-B8B5-E330DFE95BD5}"/>
    <cellStyle name="40% - Accent4 2 4 3 3" xfId="21889" xr:uid="{6FDEC695-66AF-4B24-9884-A601B593F022}"/>
    <cellStyle name="40% - Accent4 2 4 3 4" xfId="13441" xr:uid="{A9F2EB5A-33EC-4551-9B2F-BB574F3B83F5}"/>
    <cellStyle name="40% - Accent4 2 4 4" xfId="26112" xr:uid="{DA168349-2459-48FF-842A-B6352B0F4446}"/>
    <cellStyle name="40% - Accent4 2 4 5" xfId="17671" xr:uid="{972789BB-9477-4193-AE94-55B4C6CF73A3}"/>
    <cellStyle name="40% - Accent4 2 4 6" xfId="9223" xr:uid="{429195E8-9BA8-41F8-AC0A-4DA04E60763F}"/>
    <cellStyle name="40% - Accent4 2 5" xfId="1096" xr:uid="{00000000-0005-0000-0000-0000E3050000}"/>
    <cellStyle name="40% - Accent4 2 5 2" xfId="3327" xr:uid="{00000000-0005-0000-0000-0000E4050000}"/>
    <cellStyle name="40% - Accent4 2 5 2 2" xfId="7549" xr:uid="{00000000-0005-0000-0000-0000E5050000}"/>
    <cellStyle name="40% - Accent4 2 5 2 2 2" xfId="32888" xr:uid="{D0BF3654-E3E5-49A6-B34D-A53CCD65246E}"/>
    <cellStyle name="40% - Accent4 2 5 2 2 3" xfId="24447" xr:uid="{95EA23D7-637D-42FA-ABC3-6E141A45BFBA}"/>
    <cellStyle name="40% - Accent4 2 5 2 2 4" xfId="15999" xr:uid="{C0ADF489-BF4C-4EBC-8D52-D167EFB208BD}"/>
    <cellStyle name="40% - Accent4 2 5 2 3" xfId="28670" xr:uid="{AF9250CE-0E96-4675-8627-202A06C157B6}"/>
    <cellStyle name="40% - Accent4 2 5 2 4" xfId="20229" xr:uid="{F1B63B90-69B5-4F2B-ACB1-8FBC520AE8F3}"/>
    <cellStyle name="40% - Accent4 2 5 2 5" xfId="11781" xr:uid="{6FBAEFBF-276E-445C-9EC9-65F040379A01}"/>
    <cellStyle name="40% - Accent4 2 5 3" xfId="5404" xr:uid="{00000000-0005-0000-0000-0000E6050000}"/>
    <cellStyle name="40% - Accent4 2 5 3 2" xfId="30743" xr:uid="{6815C0FA-67D5-49AD-87CA-B1C9AA277BB8}"/>
    <cellStyle name="40% - Accent4 2 5 3 3" xfId="22302" xr:uid="{43712E86-BF16-4526-9A29-86B0FA706E47}"/>
    <cellStyle name="40% - Accent4 2 5 3 4" xfId="13854" xr:uid="{8E9CB452-C831-49F0-BFC6-2E60BEDA5284}"/>
    <cellStyle name="40% - Accent4 2 5 4" xfId="26525" xr:uid="{761C550A-3AE0-4B62-8114-FF416CF777B8}"/>
    <cellStyle name="40% - Accent4 2 5 5" xfId="18084" xr:uid="{32A7CE05-B7B6-48C9-BBC8-FB05FD3FCC24}"/>
    <cellStyle name="40% - Accent4 2 5 6" xfId="9636" xr:uid="{6DEF383C-F179-423C-B6FE-585B331B357E}"/>
    <cellStyle name="40% - Accent4 2 6" xfId="1510" xr:uid="{00000000-0005-0000-0000-0000E7050000}"/>
    <cellStyle name="40% - Accent4 2 6 2" xfId="3740" xr:uid="{00000000-0005-0000-0000-0000E8050000}"/>
    <cellStyle name="40% - Accent4 2 6 2 2" xfId="7962" xr:uid="{00000000-0005-0000-0000-0000E9050000}"/>
    <cellStyle name="40% - Accent4 2 6 2 2 2" xfId="33301" xr:uid="{B5EFAA7D-6FD1-4BAC-A2AC-C8EC6CCBE8B4}"/>
    <cellStyle name="40% - Accent4 2 6 2 2 3" xfId="24860" xr:uid="{D753D115-B636-4F80-871B-2C795180FD90}"/>
    <cellStyle name="40% - Accent4 2 6 2 2 4" xfId="16412" xr:uid="{6FA482D4-32C6-4162-BA5B-0A0145CCBA7A}"/>
    <cellStyle name="40% - Accent4 2 6 2 3" xfId="29083" xr:uid="{43834835-0D6D-447E-B13D-7DC425693FA0}"/>
    <cellStyle name="40% - Accent4 2 6 2 4" xfId="20642" xr:uid="{7BA6DCD7-2B1B-44FD-9B95-5AB13D46E2F7}"/>
    <cellStyle name="40% - Accent4 2 6 2 5" xfId="12194" xr:uid="{40B3606F-C814-459F-B3F4-6FAA9225C511}"/>
    <cellStyle name="40% - Accent4 2 6 3" xfId="5817" xr:uid="{00000000-0005-0000-0000-0000EA050000}"/>
    <cellStyle name="40% - Accent4 2 6 3 2" xfId="31156" xr:uid="{7F61C8AD-20E5-4352-BFBB-FF87F40E09A6}"/>
    <cellStyle name="40% - Accent4 2 6 3 3" xfId="22715" xr:uid="{5167BF33-A1AD-41D4-897A-E2C695B7A5DB}"/>
    <cellStyle name="40% - Accent4 2 6 3 4" xfId="14267" xr:uid="{B604F7F5-09B7-4991-A2C1-59D0A84203A5}"/>
    <cellStyle name="40% - Accent4 2 6 4" xfId="26938" xr:uid="{8948C20D-6852-48AE-8F16-F8A9F1E2075D}"/>
    <cellStyle name="40% - Accent4 2 6 5" xfId="18497" xr:uid="{BF8D4476-441D-43FD-A4A6-6F0D7A611F8D}"/>
    <cellStyle name="40% - Accent4 2 6 6" xfId="10049" xr:uid="{B9DBD975-0792-46E1-A025-4AC2ADEB6053}"/>
    <cellStyle name="40% - Accent4 2 7" xfId="1924" xr:uid="{00000000-0005-0000-0000-0000EB050000}"/>
    <cellStyle name="40% - Accent4 2 7 2" xfId="4153" xr:uid="{00000000-0005-0000-0000-0000EC050000}"/>
    <cellStyle name="40% - Accent4 2 7 2 2" xfId="8375" xr:uid="{00000000-0005-0000-0000-0000ED050000}"/>
    <cellStyle name="40% - Accent4 2 7 2 2 2" xfId="33714" xr:uid="{D6326E6A-AA76-437E-8E80-E1BBBE24B88A}"/>
    <cellStyle name="40% - Accent4 2 7 2 2 3" xfId="25273" xr:uid="{55C2B160-6802-43F5-9A60-13588C5DC46B}"/>
    <cellStyle name="40% - Accent4 2 7 2 2 4" xfId="16825" xr:uid="{BDB751BD-4F6D-40DA-B325-2ABE8C517AF2}"/>
    <cellStyle name="40% - Accent4 2 7 2 3" xfId="29496" xr:uid="{A59BF8AE-D9D2-46F1-8A34-63552BFAC0E1}"/>
    <cellStyle name="40% - Accent4 2 7 2 4" xfId="21055" xr:uid="{092D0F79-8F40-421D-9843-5D15A59CE828}"/>
    <cellStyle name="40% - Accent4 2 7 2 5" xfId="12607" xr:uid="{BA2B8C22-E8C5-4044-98D3-56F3FCAB1919}"/>
    <cellStyle name="40% - Accent4 2 7 3" xfId="6230" xr:uid="{00000000-0005-0000-0000-0000EE050000}"/>
    <cellStyle name="40% - Accent4 2 7 3 2" xfId="31569" xr:uid="{2DCC84BA-B12B-4EC9-A6FE-44A5D8400A5A}"/>
    <cellStyle name="40% - Accent4 2 7 3 3" xfId="23128" xr:uid="{4AFF993B-E3F8-429C-A7F6-6FBB7552918A}"/>
    <cellStyle name="40% - Accent4 2 7 3 4" xfId="14680" xr:uid="{C4CB9498-8C07-4197-8DD2-2EEA80AA0301}"/>
    <cellStyle name="40% - Accent4 2 7 4" xfId="27351" xr:uid="{5F7FD5DF-85BB-4552-A7CF-7F19C9010C0E}"/>
    <cellStyle name="40% - Accent4 2 7 5" xfId="18910" xr:uid="{37F693BF-B245-4454-AFE1-A81001C461F3}"/>
    <cellStyle name="40% - Accent4 2 7 6" xfId="10462" xr:uid="{3670B644-1704-4A76-B26F-220A488EE606}"/>
    <cellStyle name="40% - Accent4 2 8" xfId="2337" xr:uid="{00000000-0005-0000-0000-0000EF050000}"/>
    <cellStyle name="40% - Accent4 2 8 2" xfId="6643" xr:uid="{00000000-0005-0000-0000-0000F0050000}"/>
    <cellStyle name="40% - Accent4 2 8 2 2" xfId="31982" xr:uid="{607D7730-08E3-4E84-80F2-81BDBEA56965}"/>
    <cellStyle name="40% - Accent4 2 8 2 3" xfId="23541" xr:uid="{85435CA6-F955-4A3E-A2A9-81F78A86B085}"/>
    <cellStyle name="40% - Accent4 2 8 2 4" xfId="15093" xr:uid="{8BE2264A-09C0-4CF2-B460-D1C7124B68B7}"/>
    <cellStyle name="40% - Accent4 2 8 3" xfId="27764" xr:uid="{A70D33E9-E303-4DD7-A548-D198166199A9}"/>
    <cellStyle name="40% - Accent4 2 8 4" xfId="19323" xr:uid="{D9B121CB-0679-474C-842F-7F6E5B648C48}"/>
    <cellStyle name="40% - Accent4 2 8 5" xfId="10875" xr:uid="{5621F19C-3045-4097-8A14-0F217C8428C4}"/>
    <cellStyle name="40% - Accent4 2 9" xfId="4577" xr:uid="{00000000-0005-0000-0000-0000F1050000}"/>
    <cellStyle name="40% - Accent4 2 9 2" xfId="29916" xr:uid="{EE7CF105-773E-4EF8-9AFA-D0C764FEC66C}"/>
    <cellStyle name="40% - Accent4 2 9 3" xfId="21475" xr:uid="{53ADC87D-4790-411C-928E-832302EAD419}"/>
    <cellStyle name="40% - Accent4 2 9 4" xfId="13027" xr:uid="{C7DD3F3A-0BF6-4A3B-9FEA-B805C5DAE872}"/>
    <cellStyle name="40% - Accent4 3" xfId="78" xr:uid="{00000000-0005-0000-0000-0000F2050000}"/>
    <cellStyle name="40% - Accent4 3 10" xfId="17261" xr:uid="{1F3EB1F9-31DF-4299-B3E1-A0962C40D942}"/>
    <cellStyle name="40% - Accent4 3 11" xfId="8813" xr:uid="{2F5B3A18-0510-4804-8AA3-4EB930FF9C28}"/>
    <cellStyle name="40% - Accent4 3 2" xfId="79" xr:uid="{00000000-0005-0000-0000-0000F3050000}"/>
    <cellStyle name="40% - Accent4 3 2 10" xfId="8814" xr:uid="{5094DF56-BA59-4C32-A652-6685FDED38E4}"/>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32480" xr:uid="{87F39C48-6ACE-41D5-A3C5-A381B5588668}"/>
    <cellStyle name="40% - Accent4 3 2 2 2 2 3" xfId="24039" xr:uid="{A4762DA6-6A93-474D-B3F8-1CBB8429A11C}"/>
    <cellStyle name="40% - Accent4 3 2 2 2 2 4" xfId="15591" xr:uid="{FEDD2DDD-290D-488F-808D-3F0A83D06B41}"/>
    <cellStyle name="40% - Accent4 3 2 2 2 3" xfId="28262" xr:uid="{12F7924A-CF3F-467B-AE13-B6AB655EC522}"/>
    <cellStyle name="40% - Accent4 3 2 2 2 4" xfId="19821" xr:uid="{9EA5B759-0B48-426F-8B04-7442D8287322}"/>
    <cellStyle name="40% - Accent4 3 2 2 2 5" xfId="11373" xr:uid="{CE951C52-9874-4DA8-9115-58C4171ADF50}"/>
    <cellStyle name="40% - Accent4 3 2 2 3" xfId="4996" xr:uid="{00000000-0005-0000-0000-0000F7050000}"/>
    <cellStyle name="40% - Accent4 3 2 2 3 2" xfId="30335" xr:uid="{7BF369F4-EFDF-474A-A956-BF16802EE4A8}"/>
    <cellStyle name="40% - Accent4 3 2 2 3 3" xfId="21894" xr:uid="{4846CCDA-230C-4F2D-A6A0-861D8891A64B}"/>
    <cellStyle name="40% - Accent4 3 2 2 3 4" xfId="13446" xr:uid="{853CD57B-F83E-4BFA-9CE8-E2909CEAAE3B}"/>
    <cellStyle name="40% - Accent4 3 2 2 4" xfId="26117" xr:uid="{1F8DA9B0-4987-4260-9685-91252FB5FE3E}"/>
    <cellStyle name="40% - Accent4 3 2 2 5" xfId="17676" xr:uid="{7F443E97-CA32-4724-81C6-3BA3D56CDAED}"/>
    <cellStyle name="40% - Accent4 3 2 2 6" xfId="9228" xr:uid="{82E97804-A928-4A99-824A-D03CDB11D6CD}"/>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32893" xr:uid="{95280601-E2E1-457C-BC64-238FFAD59872}"/>
    <cellStyle name="40% - Accent4 3 2 3 2 2 3" xfId="24452" xr:uid="{A62CF72D-86BD-4131-A123-A4E8CA9B59D0}"/>
    <cellStyle name="40% - Accent4 3 2 3 2 2 4" xfId="16004" xr:uid="{F72DF195-4DFF-428D-B3F1-E3BCC531DF89}"/>
    <cellStyle name="40% - Accent4 3 2 3 2 3" xfId="28675" xr:uid="{0D37192A-BE9D-41C5-9057-571FA3C5D798}"/>
    <cellStyle name="40% - Accent4 3 2 3 2 4" xfId="20234" xr:uid="{D9DDF149-900A-46A0-A9AE-22126D277AD1}"/>
    <cellStyle name="40% - Accent4 3 2 3 2 5" xfId="11786" xr:uid="{6A822680-28B9-49E4-BEC5-4EB283EA16F3}"/>
    <cellStyle name="40% - Accent4 3 2 3 3" xfId="5409" xr:uid="{00000000-0005-0000-0000-0000FB050000}"/>
    <cellStyle name="40% - Accent4 3 2 3 3 2" xfId="30748" xr:uid="{FB1C702E-1539-41C3-8EBE-17924B66C47D}"/>
    <cellStyle name="40% - Accent4 3 2 3 3 3" xfId="22307" xr:uid="{920D3ADB-E012-44D0-B1DF-D763DC23B637}"/>
    <cellStyle name="40% - Accent4 3 2 3 3 4" xfId="13859" xr:uid="{B6DA772B-A8B9-4012-9B1B-2B13D2A0FFA0}"/>
    <cellStyle name="40% - Accent4 3 2 3 4" xfId="26530" xr:uid="{02208D0B-61A1-4F89-B184-67BE9526AF47}"/>
    <cellStyle name="40% - Accent4 3 2 3 5" xfId="18089" xr:uid="{CA3A153D-1DFC-4728-AC37-EB01712080D7}"/>
    <cellStyle name="40% - Accent4 3 2 3 6" xfId="9641" xr:uid="{94AEDAE9-2D1F-44D8-B1CA-823B85A9C8CE}"/>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33306" xr:uid="{9C0FC6DE-4BC1-4330-8262-28EA84BC74C8}"/>
    <cellStyle name="40% - Accent4 3 2 4 2 2 3" xfId="24865" xr:uid="{FFA6CA37-F80F-4D26-89FA-C7E701ACB3E5}"/>
    <cellStyle name="40% - Accent4 3 2 4 2 2 4" xfId="16417" xr:uid="{D96D1B52-CDC0-44F0-9D47-44607CB7D2E9}"/>
    <cellStyle name="40% - Accent4 3 2 4 2 3" xfId="29088" xr:uid="{41E59F96-C9D6-490C-9949-943A4B92A416}"/>
    <cellStyle name="40% - Accent4 3 2 4 2 4" xfId="20647" xr:uid="{C89D519D-A830-4EDF-9078-7DFCAD07F3CF}"/>
    <cellStyle name="40% - Accent4 3 2 4 2 5" xfId="12199" xr:uid="{5A6363AE-D00B-4D32-9540-D36FE2CBB09A}"/>
    <cellStyle name="40% - Accent4 3 2 4 3" xfId="5822" xr:uid="{00000000-0005-0000-0000-0000FF050000}"/>
    <cellStyle name="40% - Accent4 3 2 4 3 2" xfId="31161" xr:uid="{2303A5AE-B750-46BB-943A-97459282E145}"/>
    <cellStyle name="40% - Accent4 3 2 4 3 3" xfId="22720" xr:uid="{FD41A7DA-9130-4693-884D-551E1EB0BF97}"/>
    <cellStyle name="40% - Accent4 3 2 4 3 4" xfId="14272" xr:uid="{B13075CA-DA55-4A0A-AB3F-99D0B37F7626}"/>
    <cellStyle name="40% - Accent4 3 2 4 4" xfId="26943" xr:uid="{E8D55AAB-516F-432D-8FD1-C9B189D8071F}"/>
    <cellStyle name="40% - Accent4 3 2 4 5" xfId="18502" xr:uid="{CA814E1C-B4DE-4D46-BFFE-94AA27C2FB93}"/>
    <cellStyle name="40% - Accent4 3 2 4 6" xfId="10054" xr:uid="{362B3B02-41E7-4D10-9702-348347738B42}"/>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33719" xr:uid="{2B2C5DBC-E7E5-4931-907D-BA327DC39A86}"/>
    <cellStyle name="40% - Accent4 3 2 5 2 2 3" xfId="25278" xr:uid="{9D51C69F-9EAC-44CE-9E05-ADBAFD709638}"/>
    <cellStyle name="40% - Accent4 3 2 5 2 2 4" xfId="16830" xr:uid="{EE40B018-5CCA-416B-8FD6-CF0DD176FBD4}"/>
    <cellStyle name="40% - Accent4 3 2 5 2 3" xfId="29501" xr:uid="{F2022B16-51CF-48D4-95D9-F68137E3ACC1}"/>
    <cellStyle name="40% - Accent4 3 2 5 2 4" xfId="21060" xr:uid="{F51F7C48-498E-429A-B108-FE086E47B749}"/>
    <cellStyle name="40% - Accent4 3 2 5 2 5" xfId="12612" xr:uid="{B6581CFE-94BC-4A3F-8C42-E75A181DE548}"/>
    <cellStyle name="40% - Accent4 3 2 5 3" xfId="6235" xr:uid="{00000000-0005-0000-0000-000003060000}"/>
    <cellStyle name="40% - Accent4 3 2 5 3 2" xfId="31574" xr:uid="{416A7936-FA42-426A-896C-4A0DB97DB88B}"/>
    <cellStyle name="40% - Accent4 3 2 5 3 3" xfId="23133" xr:uid="{6617C803-3D3D-46C6-9479-E01877361B82}"/>
    <cellStyle name="40% - Accent4 3 2 5 3 4" xfId="14685" xr:uid="{B54186E1-3807-4472-B3B3-D931B3B00440}"/>
    <cellStyle name="40% - Accent4 3 2 5 4" xfId="27356" xr:uid="{57764F70-DC95-4C76-BC6C-5AB8817437D9}"/>
    <cellStyle name="40% - Accent4 3 2 5 5" xfId="18915" xr:uid="{ED6AD5E7-4F31-490A-8ECF-5147C6EA46E4}"/>
    <cellStyle name="40% - Accent4 3 2 5 6" xfId="10467" xr:uid="{3AF61C0A-6D89-495A-8AA5-C7DEC2FC0853}"/>
    <cellStyle name="40% - Accent4 3 2 6" xfId="2342" xr:uid="{00000000-0005-0000-0000-000004060000}"/>
    <cellStyle name="40% - Accent4 3 2 6 2" xfId="6648" xr:uid="{00000000-0005-0000-0000-000005060000}"/>
    <cellStyle name="40% - Accent4 3 2 6 2 2" xfId="31987" xr:uid="{30DC4611-018C-461F-9D53-2F9823C57BD8}"/>
    <cellStyle name="40% - Accent4 3 2 6 2 3" xfId="23546" xr:uid="{B461AB3D-E990-41AE-8CCA-1D579E12C441}"/>
    <cellStyle name="40% - Accent4 3 2 6 2 4" xfId="15098" xr:uid="{E3461536-6491-4205-BDFF-5EF6D0C8292A}"/>
    <cellStyle name="40% - Accent4 3 2 6 3" xfId="27769" xr:uid="{232541B3-F9B1-409B-9331-4B52F5BDEBA9}"/>
    <cellStyle name="40% - Accent4 3 2 6 4" xfId="19328" xr:uid="{FB0D2ECD-2740-4EFF-8782-84182057AF7D}"/>
    <cellStyle name="40% - Accent4 3 2 6 5" xfId="10880" xr:uid="{980E3D76-FCDA-4929-9B69-14ADDFBBB63C}"/>
    <cellStyle name="40% - Accent4 3 2 7" xfId="4582" xr:uid="{00000000-0005-0000-0000-000006060000}"/>
    <cellStyle name="40% - Accent4 3 2 7 2" xfId="29921" xr:uid="{9C41B92A-9E04-4C0D-97CE-A0948F33F23E}"/>
    <cellStyle name="40% - Accent4 3 2 7 3" xfId="21480" xr:uid="{35B56F79-8162-40EB-BEA2-C08A05C8A0B7}"/>
    <cellStyle name="40% - Accent4 3 2 7 4" xfId="13032" xr:uid="{F138DA05-546C-4D14-8826-CE92D685BA98}"/>
    <cellStyle name="40% - Accent4 3 2 8" xfId="25703" xr:uid="{EB430284-0337-41C5-A4E8-F295567E2CF2}"/>
    <cellStyle name="40% - Accent4 3 2 9" xfId="17262" xr:uid="{A08F2F52-BBA7-445D-A3B8-B6D1C966733C}"/>
    <cellStyle name="40% - Accent4 3 3" xfId="647" xr:uid="{00000000-0005-0000-0000-000007060000}"/>
    <cellStyle name="40% - Accent4 3 3 2" xfId="2918" xr:uid="{00000000-0005-0000-0000-000008060000}"/>
    <cellStyle name="40% - Accent4 3 3 2 2" xfId="7140" xr:uid="{00000000-0005-0000-0000-000009060000}"/>
    <cellStyle name="40% - Accent4 3 3 2 2 2" xfId="32479" xr:uid="{3DD04146-A6D2-46CF-9BE1-E9A472431E31}"/>
    <cellStyle name="40% - Accent4 3 3 2 2 3" xfId="24038" xr:uid="{85AF7153-FD25-42E5-A008-4D0B9C2A969B}"/>
    <cellStyle name="40% - Accent4 3 3 2 2 4" xfId="15590" xr:uid="{47377A49-C987-4300-B5E1-24F53B4849AE}"/>
    <cellStyle name="40% - Accent4 3 3 2 3" xfId="28261" xr:uid="{EDA322AD-345A-4348-9A37-7817D11622CB}"/>
    <cellStyle name="40% - Accent4 3 3 2 4" xfId="19820" xr:uid="{569335A4-9290-4E09-A11B-EF5037B1E4A9}"/>
    <cellStyle name="40% - Accent4 3 3 2 5" xfId="11372" xr:uid="{7EDFD903-3033-43D4-A1CC-8387A2241001}"/>
    <cellStyle name="40% - Accent4 3 3 3" xfId="4995" xr:uid="{00000000-0005-0000-0000-00000A060000}"/>
    <cellStyle name="40% - Accent4 3 3 3 2" xfId="30334" xr:uid="{46C61FAC-DBE1-445C-BF37-547988B4DDE3}"/>
    <cellStyle name="40% - Accent4 3 3 3 3" xfId="21893" xr:uid="{B440790B-01A2-4D71-A5E0-D44C28F7062B}"/>
    <cellStyle name="40% - Accent4 3 3 3 4" xfId="13445" xr:uid="{39209E43-D06C-4BA8-BE6D-75132A30EA28}"/>
    <cellStyle name="40% - Accent4 3 3 4" xfId="26116" xr:uid="{52C0C509-3BE8-4717-AB30-0717F97D5910}"/>
    <cellStyle name="40% - Accent4 3 3 5" xfId="17675" xr:uid="{4B92817F-81EC-4F8D-8AD4-8FECB657F570}"/>
    <cellStyle name="40% - Accent4 3 3 6" xfId="9227" xr:uid="{248B0B11-E192-4B45-98B7-7512481F6620}"/>
    <cellStyle name="40% - Accent4 3 4" xfId="1100" xr:uid="{00000000-0005-0000-0000-00000B060000}"/>
    <cellStyle name="40% - Accent4 3 4 2" xfId="3331" xr:uid="{00000000-0005-0000-0000-00000C060000}"/>
    <cellStyle name="40% - Accent4 3 4 2 2" xfId="7553" xr:uid="{00000000-0005-0000-0000-00000D060000}"/>
    <cellStyle name="40% - Accent4 3 4 2 2 2" xfId="32892" xr:uid="{5CB2C630-8E9B-4B67-86B6-89DC4CB7E9F8}"/>
    <cellStyle name="40% - Accent4 3 4 2 2 3" xfId="24451" xr:uid="{F2562095-6ADE-4C3F-A214-E75C26458D3F}"/>
    <cellStyle name="40% - Accent4 3 4 2 2 4" xfId="16003" xr:uid="{479FB461-78AC-4A6E-8B6D-07C65E5EA50C}"/>
    <cellStyle name="40% - Accent4 3 4 2 3" xfId="28674" xr:uid="{9DBCAA9C-CA56-4D1F-B50A-9F87DB0CA80D}"/>
    <cellStyle name="40% - Accent4 3 4 2 4" xfId="20233" xr:uid="{33ECBFE9-DAC5-4AA3-8D1E-0BBFDDC988A6}"/>
    <cellStyle name="40% - Accent4 3 4 2 5" xfId="11785" xr:uid="{795D0E9C-1CB9-4293-85D0-493B1D3AC1FF}"/>
    <cellStyle name="40% - Accent4 3 4 3" xfId="5408" xr:uid="{00000000-0005-0000-0000-00000E060000}"/>
    <cellStyle name="40% - Accent4 3 4 3 2" xfId="30747" xr:uid="{5BDB141B-83B7-4ABD-AADB-021587209965}"/>
    <cellStyle name="40% - Accent4 3 4 3 3" xfId="22306" xr:uid="{89AE9005-4132-40D9-BAC6-379CF920F81F}"/>
    <cellStyle name="40% - Accent4 3 4 3 4" xfId="13858" xr:uid="{2655AD77-92A2-4993-9950-A0950AB1C207}"/>
    <cellStyle name="40% - Accent4 3 4 4" xfId="26529" xr:uid="{192A4E1E-C72E-4F0C-89DE-63270AF70DBF}"/>
    <cellStyle name="40% - Accent4 3 4 5" xfId="18088" xr:uid="{D7E3ADCB-E713-4FB1-B04D-ACC66F0583A4}"/>
    <cellStyle name="40% - Accent4 3 4 6" xfId="9640" xr:uid="{3F35466A-F403-4002-9C3C-D96D51B4F427}"/>
    <cellStyle name="40% - Accent4 3 5" xfId="1514" xr:uid="{00000000-0005-0000-0000-00000F060000}"/>
    <cellStyle name="40% - Accent4 3 5 2" xfId="3744" xr:uid="{00000000-0005-0000-0000-000010060000}"/>
    <cellStyle name="40% - Accent4 3 5 2 2" xfId="7966" xr:uid="{00000000-0005-0000-0000-000011060000}"/>
    <cellStyle name="40% - Accent4 3 5 2 2 2" xfId="33305" xr:uid="{A87D7DE9-BB0E-4D6C-8152-D09AE46D574F}"/>
    <cellStyle name="40% - Accent4 3 5 2 2 3" xfId="24864" xr:uid="{7444844E-06B1-4ACB-889F-F3C3C8271DB6}"/>
    <cellStyle name="40% - Accent4 3 5 2 2 4" xfId="16416" xr:uid="{07D4DE36-19DC-4C33-9117-A4F12DAF77E7}"/>
    <cellStyle name="40% - Accent4 3 5 2 3" xfId="29087" xr:uid="{A686679A-5B7E-4545-A176-F8F85A865D84}"/>
    <cellStyle name="40% - Accent4 3 5 2 4" xfId="20646" xr:uid="{35859442-5630-429D-B34D-552AE55F9F10}"/>
    <cellStyle name="40% - Accent4 3 5 2 5" xfId="12198" xr:uid="{22FA73AC-DFB4-467F-BF93-8E3D4528A964}"/>
    <cellStyle name="40% - Accent4 3 5 3" xfId="5821" xr:uid="{00000000-0005-0000-0000-000012060000}"/>
    <cellStyle name="40% - Accent4 3 5 3 2" xfId="31160" xr:uid="{A1193E53-BE73-49D8-A932-5DDB53F1AA26}"/>
    <cellStyle name="40% - Accent4 3 5 3 3" xfId="22719" xr:uid="{BBD6A179-0315-4A24-9190-00613DBDC454}"/>
    <cellStyle name="40% - Accent4 3 5 3 4" xfId="14271" xr:uid="{630D7A2F-8EC1-44C8-9CFF-348AC5AD16FF}"/>
    <cellStyle name="40% - Accent4 3 5 4" xfId="26942" xr:uid="{AF127783-7B9C-4632-B933-95AAB13E2068}"/>
    <cellStyle name="40% - Accent4 3 5 5" xfId="18501" xr:uid="{08873908-A40E-4363-8591-3EEAC721B7F7}"/>
    <cellStyle name="40% - Accent4 3 5 6" xfId="10053" xr:uid="{15528B35-EAE2-40CB-A1E0-1CA4E6BC5E3F}"/>
    <cellStyle name="40% - Accent4 3 6" xfId="1928" xr:uid="{00000000-0005-0000-0000-000013060000}"/>
    <cellStyle name="40% - Accent4 3 6 2" xfId="4157" xr:uid="{00000000-0005-0000-0000-000014060000}"/>
    <cellStyle name="40% - Accent4 3 6 2 2" xfId="8379" xr:uid="{00000000-0005-0000-0000-000015060000}"/>
    <cellStyle name="40% - Accent4 3 6 2 2 2" xfId="33718" xr:uid="{471CC35E-4A66-4C02-A477-7EF87F279D13}"/>
    <cellStyle name="40% - Accent4 3 6 2 2 3" xfId="25277" xr:uid="{1574ACCB-0787-4C59-8513-62CAA42428E5}"/>
    <cellStyle name="40% - Accent4 3 6 2 2 4" xfId="16829" xr:uid="{9EDB6813-F883-4F9A-97F7-AE87130C2A01}"/>
    <cellStyle name="40% - Accent4 3 6 2 3" xfId="29500" xr:uid="{AA484CC0-1C13-44EF-9F3C-CDE67C8FA935}"/>
    <cellStyle name="40% - Accent4 3 6 2 4" xfId="21059" xr:uid="{2E46DB6C-0A55-4024-94BC-B7E7A557381B}"/>
    <cellStyle name="40% - Accent4 3 6 2 5" xfId="12611" xr:uid="{22C1C2D9-3E0F-4B5F-93AD-655639750408}"/>
    <cellStyle name="40% - Accent4 3 6 3" xfId="6234" xr:uid="{00000000-0005-0000-0000-000016060000}"/>
    <cellStyle name="40% - Accent4 3 6 3 2" xfId="31573" xr:uid="{5A15741F-858F-47FE-B072-50B4F5020645}"/>
    <cellStyle name="40% - Accent4 3 6 3 3" xfId="23132" xr:uid="{32CB4C64-B1D2-4797-AED2-26FCF39CD4F2}"/>
    <cellStyle name="40% - Accent4 3 6 3 4" xfId="14684" xr:uid="{CB03CFD8-DD62-46B9-A4C2-D899EB1C3812}"/>
    <cellStyle name="40% - Accent4 3 6 4" xfId="27355" xr:uid="{28C21556-700E-4215-A497-7554C11997A5}"/>
    <cellStyle name="40% - Accent4 3 6 5" xfId="18914" xr:uid="{78673FB1-62BB-4C24-9484-01B7991D441D}"/>
    <cellStyle name="40% - Accent4 3 6 6" xfId="10466" xr:uid="{5CC856A1-E1F9-4C99-B66D-25912C9FFB1A}"/>
    <cellStyle name="40% - Accent4 3 7" xfId="2341" xr:uid="{00000000-0005-0000-0000-000017060000}"/>
    <cellStyle name="40% - Accent4 3 7 2" xfId="6647" xr:uid="{00000000-0005-0000-0000-000018060000}"/>
    <cellStyle name="40% - Accent4 3 7 2 2" xfId="31986" xr:uid="{FBB0B707-AE85-4E8F-8017-767EC6001E82}"/>
    <cellStyle name="40% - Accent4 3 7 2 3" xfId="23545" xr:uid="{80806F37-F261-4D58-A386-7E2C904A971F}"/>
    <cellStyle name="40% - Accent4 3 7 2 4" xfId="15097" xr:uid="{C89579DA-72DA-401D-998A-734EEC26D4DE}"/>
    <cellStyle name="40% - Accent4 3 7 3" xfId="27768" xr:uid="{43318B3E-B50E-4201-B57A-BA8746987C09}"/>
    <cellStyle name="40% - Accent4 3 7 4" xfId="19327" xr:uid="{B9A98AD1-47D2-454B-BDB9-04E5983EF9E7}"/>
    <cellStyle name="40% - Accent4 3 7 5" xfId="10879" xr:uid="{2DEAAC5C-FAD6-47E3-934E-4078A40721CB}"/>
    <cellStyle name="40% - Accent4 3 8" xfId="4581" xr:uid="{00000000-0005-0000-0000-000019060000}"/>
    <cellStyle name="40% - Accent4 3 8 2" xfId="29920" xr:uid="{FF4B42ED-99A0-45E7-987C-BA73D14B4547}"/>
    <cellStyle name="40% - Accent4 3 8 3" xfId="21479" xr:uid="{94BBD2D6-9043-466C-A804-8EBDF9C7A4BF}"/>
    <cellStyle name="40% - Accent4 3 8 4" xfId="13031" xr:uid="{A30A9CF2-C005-4B5B-86A6-37FF462F77B3}"/>
    <cellStyle name="40% - Accent4 3 9" xfId="25702" xr:uid="{574712B4-D93C-40AF-BD0D-6CF6879AF7F8}"/>
    <cellStyle name="40% - Accent4 4" xfId="80" xr:uid="{00000000-0005-0000-0000-00001A060000}"/>
    <cellStyle name="40% - Accent4 4 10" xfId="8815" xr:uid="{0A7D17E7-8C4D-4282-B4C4-A0D58B069DF9}"/>
    <cellStyle name="40% - Accent4 4 2" xfId="649" xr:uid="{00000000-0005-0000-0000-00001B060000}"/>
    <cellStyle name="40% - Accent4 4 2 2" xfId="2920" xr:uid="{00000000-0005-0000-0000-00001C060000}"/>
    <cellStyle name="40% - Accent4 4 2 2 2" xfId="7142" xr:uid="{00000000-0005-0000-0000-00001D060000}"/>
    <cellStyle name="40% - Accent4 4 2 2 2 2" xfId="32481" xr:uid="{DB9E3DAD-A218-4432-9605-EE26D8CC046F}"/>
    <cellStyle name="40% - Accent4 4 2 2 2 3" xfId="24040" xr:uid="{82E8D20F-098C-480C-B4BE-CDC8AC822695}"/>
    <cellStyle name="40% - Accent4 4 2 2 2 4" xfId="15592" xr:uid="{DDF7BE84-CD90-4E41-9435-DE78B8CB070F}"/>
    <cellStyle name="40% - Accent4 4 2 2 3" xfId="28263" xr:uid="{16052B15-DC0D-4D4F-8B3D-8064746BB309}"/>
    <cellStyle name="40% - Accent4 4 2 2 4" xfId="19822" xr:uid="{2B5434A0-E5D6-4D10-B50B-0A48A4E23DD7}"/>
    <cellStyle name="40% - Accent4 4 2 2 5" xfId="11374" xr:uid="{F5955772-51A7-4F19-BEE3-208FCB8BE05D}"/>
    <cellStyle name="40% - Accent4 4 2 3" xfId="4997" xr:uid="{00000000-0005-0000-0000-00001E060000}"/>
    <cellStyle name="40% - Accent4 4 2 3 2" xfId="30336" xr:uid="{F5D64E37-DCED-45C4-A43A-C4133779AAA7}"/>
    <cellStyle name="40% - Accent4 4 2 3 3" xfId="21895" xr:uid="{AAEDA22D-8387-4BD9-9EC2-9E1BAB5F4882}"/>
    <cellStyle name="40% - Accent4 4 2 3 4" xfId="13447" xr:uid="{95952B53-9285-4ED4-8ABA-8B82549C7FAC}"/>
    <cellStyle name="40% - Accent4 4 2 4" xfId="26118" xr:uid="{5DFA7B6B-91B8-415B-9538-999058F3A680}"/>
    <cellStyle name="40% - Accent4 4 2 5" xfId="17677" xr:uid="{90E6EAD2-5CB2-41B5-BF2B-64B6AC60A330}"/>
    <cellStyle name="40% - Accent4 4 2 6" xfId="9229" xr:uid="{E12935EC-26D0-43C6-9C8B-02E930F8180D}"/>
    <cellStyle name="40% - Accent4 4 3" xfId="1102" xr:uid="{00000000-0005-0000-0000-00001F060000}"/>
    <cellStyle name="40% - Accent4 4 3 2" xfId="3333" xr:uid="{00000000-0005-0000-0000-000020060000}"/>
    <cellStyle name="40% - Accent4 4 3 2 2" xfId="7555" xr:uid="{00000000-0005-0000-0000-000021060000}"/>
    <cellStyle name="40% - Accent4 4 3 2 2 2" xfId="32894" xr:uid="{A207DF98-FEDB-49CA-8106-CE31EEEE3E5E}"/>
    <cellStyle name="40% - Accent4 4 3 2 2 3" xfId="24453" xr:uid="{F4F68549-2204-42D4-BA5E-5CDB52558A5E}"/>
    <cellStyle name="40% - Accent4 4 3 2 2 4" xfId="16005" xr:uid="{D63DD001-45C6-43D4-B6D0-61289749F470}"/>
    <cellStyle name="40% - Accent4 4 3 2 3" xfId="28676" xr:uid="{2AC213E2-DF2F-4B21-8063-CA1F197FF9DF}"/>
    <cellStyle name="40% - Accent4 4 3 2 4" xfId="20235" xr:uid="{08A17337-72E9-4A63-A9AF-364B5B6AA3C2}"/>
    <cellStyle name="40% - Accent4 4 3 2 5" xfId="11787" xr:uid="{8C5B08DD-03CE-4D51-ACC8-0F9DEAB86012}"/>
    <cellStyle name="40% - Accent4 4 3 3" xfId="5410" xr:uid="{00000000-0005-0000-0000-000022060000}"/>
    <cellStyle name="40% - Accent4 4 3 3 2" xfId="30749" xr:uid="{7D375CE9-DC73-4456-9CDE-506A0ADF4187}"/>
    <cellStyle name="40% - Accent4 4 3 3 3" xfId="22308" xr:uid="{1ECDA0FF-B3DB-4B6A-A682-51B63D6A4DC9}"/>
    <cellStyle name="40% - Accent4 4 3 3 4" xfId="13860" xr:uid="{2EEA087E-2B87-4C19-BC79-7E0933A51AB4}"/>
    <cellStyle name="40% - Accent4 4 3 4" xfId="26531" xr:uid="{8923BC43-311B-4E7F-BB2B-6DA559757EFE}"/>
    <cellStyle name="40% - Accent4 4 3 5" xfId="18090" xr:uid="{A63BE161-60D0-4B5B-BE14-E18035BEC981}"/>
    <cellStyle name="40% - Accent4 4 3 6" xfId="9642" xr:uid="{BB40B3A1-F902-49CA-8EB4-8276EA6981A2}"/>
    <cellStyle name="40% - Accent4 4 4" xfId="1516" xr:uid="{00000000-0005-0000-0000-000023060000}"/>
    <cellStyle name="40% - Accent4 4 4 2" xfId="3746" xr:uid="{00000000-0005-0000-0000-000024060000}"/>
    <cellStyle name="40% - Accent4 4 4 2 2" xfId="7968" xr:uid="{00000000-0005-0000-0000-000025060000}"/>
    <cellStyle name="40% - Accent4 4 4 2 2 2" xfId="33307" xr:uid="{F3735276-8B65-41B6-8F78-3FEEF39AE595}"/>
    <cellStyle name="40% - Accent4 4 4 2 2 3" xfId="24866" xr:uid="{9D689EB7-A8C6-44DC-95C0-754F3FC2D6E9}"/>
    <cellStyle name="40% - Accent4 4 4 2 2 4" xfId="16418" xr:uid="{07C5D03B-C11C-4B67-BE97-0D31BA586325}"/>
    <cellStyle name="40% - Accent4 4 4 2 3" xfId="29089" xr:uid="{D8136B24-ADDD-4014-A7E5-6CD12B8F318D}"/>
    <cellStyle name="40% - Accent4 4 4 2 4" xfId="20648" xr:uid="{9FD44D92-DE18-4F7A-A4ED-7B46313DF357}"/>
    <cellStyle name="40% - Accent4 4 4 2 5" xfId="12200" xr:uid="{B14598B3-3E50-4E71-9256-2CA48D5F8B57}"/>
    <cellStyle name="40% - Accent4 4 4 3" xfId="5823" xr:uid="{00000000-0005-0000-0000-000026060000}"/>
    <cellStyle name="40% - Accent4 4 4 3 2" xfId="31162" xr:uid="{64F8C192-8ACF-428F-8CB2-247BBF4E8CD4}"/>
    <cellStyle name="40% - Accent4 4 4 3 3" xfId="22721" xr:uid="{500F6D71-6284-489E-A006-B76DFEE5EF19}"/>
    <cellStyle name="40% - Accent4 4 4 3 4" xfId="14273" xr:uid="{24EA7BC0-5740-4FDF-987F-0E10EC51F09A}"/>
    <cellStyle name="40% - Accent4 4 4 4" xfId="26944" xr:uid="{88CF1F0C-7A69-4E33-9655-218DDC5AB1FA}"/>
    <cellStyle name="40% - Accent4 4 4 5" xfId="18503" xr:uid="{5BD612F6-E934-4184-8E91-9605FF34ADA1}"/>
    <cellStyle name="40% - Accent4 4 4 6" xfId="10055" xr:uid="{79E335E6-E231-4C00-99AD-930C7DC98450}"/>
    <cellStyle name="40% - Accent4 4 5" xfId="1930" xr:uid="{00000000-0005-0000-0000-000027060000}"/>
    <cellStyle name="40% - Accent4 4 5 2" xfId="4159" xr:uid="{00000000-0005-0000-0000-000028060000}"/>
    <cellStyle name="40% - Accent4 4 5 2 2" xfId="8381" xr:uid="{00000000-0005-0000-0000-000029060000}"/>
    <cellStyle name="40% - Accent4 4 5 2 2 2" xfId="33720" xr:uid="{DE42A7A2-4C5E-4B01-8161-A332634A9963}"/>
    <cellStyle name="40% - Accent4 4 5 2 2 3" xfId="25279" xr:uid="{7E0F84DA-8543-41D6-8136-9C934546FCAB}"/>
    <cellStyle name="40% - Accent4 4 5 2 2 4" xfId="16831" xr:uid="{9F33737E-7A23-43A2-B1EF-BFD4D67A6449}"/>
    <cellStyle name="40% - Accent4 4 5 2 3" xfId="29502" xr:uid="{6B9BD193-F82D-4F1D-878E-8B94C1ABB458}"/>
    <cellStyle name="40% - Accent4 4 5 2 4" xfId="21061" xr:uid="{26890CD8-51B0-462C-A483-48C84677ACE8}"/>
    <cellStyle name="40% - Accent4 4 5 2 5" xfId="12613" xr:uid="{758B69EC-739D-4F23-A0E5-D481DF4F0686}"/>
    <cellStyle name="40% - Accent4 4 5 3" xfId="6236" xr:uid="{00000000-0005-0000-0000-00002A060000}"/>
    <cellStyle name="40% - Accent4 4 5 3 2" xfId="31575" xr:uid="{98A3DF1C-BEBA-4507-B503-94091F482B46}"/>
    <cellStyle name="40% - Accent4 4 5 3 3" xfId="23134" xr:uid="{6A852396-1388-4086-B177-ED5883BC50A9}"/>
    <cellStyle name="40% - Accent4 4 5 3 4" xfId="14686" xr:uid="{AC9BE9E4-0D21-48CD-8237-22814BD3734E}"/>
    <cellStyle name="40% - Accent4 4 5 4" xfId="27357" xr:uid="{A8D04EEA-73D0-4483-AAB6-48C6C554C95A}"/>
    <cellStyle name="40% - Accent4 4 5 5" xfId="18916" xr:uid="{DBDD734B-E432-4A89-BA1B-9F6BD1F69EEC}"/>
    <cellStyle name="40% - Accent4 4 5 6" xfId="10468" xr:uid="{9C629107-0191-4017-A354-2954F90637FE}"/>
    <cellStyle name="40% - Accent4 4 6" xfId="2343" xr:uid="{00000000-0005-0000-0000-00002B060000}"/>
    <cellStyle name="40% - Accent4 4 6 2" xfId="6649" xr:uid="{00000000-0005-0000-0000-00002C060000}"/>
    <cellStyle name="40% - Accent4 4 6 2 2" xfId="31988" xr:uid="{7C29DAD1-F45D-455C-8DE6-A33DEB452F5A}"/>
    <cellStyle name="40% - Accent4 4 6 2 3" xfId="23547" xr:uid="{667B399A-6648-4AFB-A3E7-32009964A294}"/>
    <cellStyle name="40% - Accent4 4 6 2 4" xfId="15099" xr:uid="{DD95FF21-DFB8-4B44-97F3-D6B7EA1FA572}"/>
    <cellStyle name="40% - Accent4 4 6 3" xfId="27770" xr:uid="{07ED4C90-507A-4C5C-997C-CA18B789C920}"/>
    <cellStyle name="40% - Accent4 4 6 4" xfId="19329" xr:uid="{7A598C55-AA91-43AD-8E44-4B7DA588CF03}"/>
    <cellStyle name="40% - Accent4 4 6 5" xfId="10881" xr:uid="{2ADAEEF9-471A-4846-AB16-E6DED4BB48CB}"/>
    <cellStyle name="40% - Accent4 4 7" xfId="4583" xr:uid="{00000000-0005-0000-0000-00002D060000}"/>
    <cellStyle name="40% - Accent4 4 7 2" xfId="29922" xr:uid="{2F82DC70-5263-4B40-8345-41113369C0E6}"/>
    <cellStyle name="40% - Accent4 4 7 3" xfId="21481" xr:uid="{BE4E0441-4125-4FBF-A05C-A88B51ACF245}"/>
    <cellStyle name="40% - Accent4 4 7 4" xfId="13033" xr:uid="{1E2A873C-FB1E-4A71-8462-C1C60F78657C}"/>
    <cellStyle name="40% - Accent4 4 8" xfId="25704" xr:uid="{42D82DC0-8F31-450A-B865-14DFF0A4D6F7}"/>
    <cellStyle name="40% - Accent4 4 9" xfId="17263" xr:uid="{9B0C6A11-C157-440D-A33C-1C59AAB591A4}"/>
    <cellStyle name="40% - Accent4 5" xfId="642" xr:uid="{00000000-0005-0000-0000-00002E060000}"/>
    <cellStyle name="40% - Accent4 5 2" xfId="2913" xr:uid="{00000000-0005-0000-0000-00002F060000}"/>
    <cellStyle name="40% - Accent4 5 2 2" xfId="7135" xr:uid="{00000000-0005-0000-0000-000030060000}"/>
    <cellStyle name="40% - Accent4 5 2 2 2" xfId="32474" xr:uid="{6B0354DA-2AE0-4749-BA18-0A79BA556AB8}"/>
    <cellStyle name="40% - Accent4 5 2 2 3" xfId="24033" xr:uid="{BA5F735D-CF9A-4748-AA6F-5AC11E66DB9A}"/>
    <cellStyle name="40% - Accent4 5 2 2 4" xfId="15585" xr:uid="{505BFBFB-7FFD-4C94-85AE-3B81496E9E6D}"/>
    <cellStyle name="40% - Accent4 5 2 3" xfId="28256" xr:uid="{726EBDEF-4D4B-4195-8F6D-FF5EE4C46BA7}"/>
    <cellStyle name="40% - Accent4 5 2 4" xfId="19815" xr:uid="{CA38D4B1-1AFE-414C-BB50-2AC7CBBB5224}"/>
    <cellStyle name="40% - Accent4 5 2 5" xfId="11367" xr:uid="{4E98D891-93CC-4254-AF6C-C5C89C271015}"/>
    <cellStyle name="40% - Accent4 5 3" xfId="4990" xr:uid="{00000000-0005-0000-0000-000031060000}"/>
    <cellStyle name="40% - Accent4 5 3 2" xfId="30329" xr:uid="{1FD65511-D8A8-4D3A-9939-E4C841CCE774}"/>
    <cellStyle name="40% - Accent4 5 3 3" xfId="21888" xr:uid="{0F93B69A-1BFE-4ED0-97E2-D37B5BED8A19}"/>
    <cellStyle name="40% - Accent4 5 3 4" xfId="13440" xr:uid="{7EDFA689-8265-4C12-80F8-EAF5AE50D83A}"/>
    <cellStyle name="40% - Accent4 5 4" xfId="26111" xr:uid="{48E931AF-EF6C-48F6-A3C9-C1F557E5C23A}"/>
    <cellStyle name="40% - Accent4 5 5" xfId="17670" xr:uid="{1D48EB8B-06A4-4FC5-A571-D3074DA8032E}"/>
    <cellStyle name="40% - Accent4 5 6" xfId="9222" xr:uid="{34AC4CFA-4B8C-44ED-891F-4C0F78EB1061}"/>
    <cellStyle name="40% - Accent4 6" xfId="1095" xr:uid="{00000000-0005-0000-0000-000032060000}"/>
    <cellStyle name="40% - Accent4 6 2" xfId="3326" xr:uid="{00000000-0005-0000-0000-000033060000}"/>
    <cellStyle name="40% - Accent4 6 2 2" xfId="7548" xr:uid="{00000000-0005-0000-0000-000034060000}"/>
    <cellStyle name="40% - Accent4 6 2 2 2" xfId="32887" xr:uid="{160F5C81-A1AC-431B-A144-F1024F894B0C}"/>
    <cellStyle name="40% - Accent4 6 2 2 3" xfId="24446" xr:uid="{C4FCD4B4-3017-4096-B2FB-D5AC67C03AFE}"/>
    <cellStyle name="40% - Accent4 6 2 2 4" xfId="15998" xr:uid="{790B1EE1-5103-4438-9DC5-027749932276}"/>
    <cellStyle name="40% - Accent4 6 2 3" xfId="28669" xr:uid="{0C5416A7-0375-4225-BBA5-237D16CE4747}"/>
    <cellStyle name="40% - Accent4 6 2 4" xfId="20228" xr:uid="{3F6B7CFE-ECFB-4C2A-86F0-EDD669E0DA4D}"/>
    <cellStyle name="40% - Accent4 6 2 5" xfId="11780" xr:uid="{EA823B39-EB30-467F-8573-D734FF07C881}"/>
    <cellStyle name="40% - Accent4 6 3" xfId="5403" xr:uid="{00000000-0005-0000-0000-000035060000}"/>
    <cellStyle name="40% - Accent4 6 3 2" xfId="30742" xr:uid="{53A85828-067C-49AD-8355-895ADB9B755E}"/>
    <cellStyle name="40% - Accent4 6 3 3" xfId="22301" xr:uid="{022A4A63-D5FC-43BB-AFF1-C647A027A84D}"/>
    <cellStyle name="40% - Accent4 6 3 4" xfId="13853" xr:uid="{407FA6DD-34F0-4B73-8C70-D3B42B98D9BF}"/>
    <cellStyle name="40% - Accent4 6 4" xfId="26524" xr:uid="{18066EE8-42B9-47B7-B474-28F2B6144D22}"/>
    <cellStyle name="40% - Accent4 6 5" xfId="18083" xr:uid="{B4A8A6F9-2D5E-47A1-BF3B-9877BF05647E}"/>
    <cellStyle name="40% - Accent4 6 6" xfId="9635" xr:uid="{E946E411-57A4-4923-9214-44D8275EF60C}"/>
    <cellStyle name="40% - Accent4 7" xfId="1509" xr:uid="{00000000-0005-0000-0000-000036060000}"/>
    <cellStyle name="40% - Accent4 7 2" xfId="3739" xr:uid="{00000000-0005-0000-0000-000037060000}"/>
    <cellStyle name="40% - Accent4 7 2 2" xfId="7961" xr:uid="{00000000-0005-0000-0000-000038060000}"/>
    <cellStyle name="40% - Accent4 7 2 2 2" xfId="33300" xr:uid="{AFBE032B-FE9D-4D51-8C17-BC7F99B3BA6A}"/>
    <cellStyle name="40% - Accent4 7 2 2 3" xfId="24859" xr:uid="{ED4388EC-8402-4255-BFBB-293EB5AF26D0}"/>
    <cellStyle name="40% - Accent4 7 2 2 4" xfId="16411" xr:uid="{06027C89-C772-4577-BE12-A1ADBF84D25A}"/>
    <cellStyle name="40% - Accent4 7 2 3" xfId="29082" xr:uid="{5290B26C-740B-414E-8B54-C4B6137200D6}"/>
    <cellStyle name="40% - Accent4 7 2 4" xfId="20641" xr:uid="{582B642A-1704-467E-A065-696F33C45BDF}"/>
    <cellStyle name="40% - Accent4 7 2 5" xfId="12193" xr:uid="{820A6888-7B18-4E39-9065-1B5486AD66A9}"/>
    <cellStyle name="40% - Accent4 7 3" xfId="5816" xr:uid="{00000000-0005-0000-0000-000039060000}"/>
    <cellStyle name="40% - Accent4 7 3 2" xfId="31155" xr:uid="{E96D7B3C-ADAD-4973-842E-7E65939EC4EE}"/>
    <cellStyle name="40% - Accent4 7 3 3" xfId="22714" xr:uid="{4A4075BF-176E-4927-B234-C26E56289C65}"/>
    <cellStyle name="40% - Accent4 7 3 4" xfId="14266" xr:uid="{7EA4FE89-2CB7-4B9B-874A-CBF14FFC8E11}"/>
    <cellStyle name="40% - Accent4 7 4" xfId="26937" xr:uid="{EA8748EB-39F5-4446-B240-3E9466CD3249}"/>
    <cellStyle name="40% - Accent4 7 5" xfId="18496" xr:uid="{93304137-988B-4C50-84C8-3DBB6343DDA6}"/>
    <cellStyle name="40% - Accent4 7 6" xfId="10048" xr:uid="{D26A2BFA-5C7F-4083-B3A5-CF8CDEE796D7}"/>
    <cellStyle name="40% - Accent4 8" xfId="1923" xr:uid="{00000000-0005-0000-0000-00003A060000}"/>
    <cellStyle name="40% - Accent4 8 2" xfId="4152" xr:uid="{00000000-0005-0000-0000-00003B060000}"/>
    <cellStyle name="40% - Accent4 8 2 2" xfId="8374" xr:uid="{00000000-0005-0000-0000-00003C060000}"/>
    <cellStyle name="40% - Accent4 8 2 2 2" xfId="33713" xr:uid="{2A9CAA77-DE40-4409-84DF-A34CFE56DAD2}"/>
    <cellStyle name="40% - Accent4 8 2 2 3" xfId="25272" xr:uid="{187F5CEA-896E-4C59-88A7-51FAE3CB0DF2}"/>
    <cellStyle name="40% - Accent4 8 2 2 4" xfId="16824" xr:uid="{FB5B0DE7-2671-40D1-A14E-F1F0398D0FCC}"/>
    <cellStyle name="40% - Accent4 8 2 3" xfId="29495" xr:uid="{C1A25717-15E7-47E9-B42F-AAA046690624}"/>
    <cellStyle name="40% - Accent4 8 2 4" xfId="21054" xr:uid="{0B685663-48D3-45EB-ADEB-ACC1E938A0F8}"/>
    <cellStyle name="40% - Accent4 8 2 5" xfId="12606" xr:uid="{6A78BE5F-2D90-48D6-ACE2-E28F7534D15F}"/>
    <cellStyle name="40% - Accent4 8 3" xfId="6229" xr:uid="{00000000-0005-0000-0000-00003D060000}"/>
    <cellStyle name="40% - Accent4 8 3 2" xfId="31568" xr:uid="{23D7CF21-DFE5-457A-BE61-B60ACD80205D}"/>
    <cellStyle name="40% - Accent4 8 3 3" xfId="23127" xr:uid="{DA5B044C-504C-496F-8ABC-4DF3D4D1FB89}"/>
    <cellStyle name="40% - Accent4 8 3 4" xfId="14679" xr:uid="{63FA7664-3E57-4271-8D60-38E5B04BAF06}"/>
    <cellStyle name="40% - Accent4 8 4" xfId="27350" xr:uid="{E6CEB233-4218-4C90-A7E0-B5BD8E0613B4}"/>
    <cellStyle name="40% - Accent4 8 5" xfId="18909" xr:uid="{D57E42E9-13B4-4912-B6FC-009CC673705D}"/>
    <cellStyle name="40% - Accent4 8 6" xfId="10461" xr:uid="{34079207-2AE4-4593-9825-3ACFFE341C31}"/>
    <cellStyle name="40% - Accent4 9" xfId="2336" xr:uid="{00000000-0005-0000-0000-00003E060000}"/>
    <cellStyle name="40% - Accent4 9 2" xfId="6642" xr:uid="{00000000-0005-0000-0000-00003F060000}"/>
    <cellStyle name="40% - Accent4 9 2 2" xfId="31981" xr:uid="{6AEE2876-3C34-4527-83DD-EA351D9E34BD}"/>
    <cellStyle name="40% - Accent4 9 2 3" xfId="23540" xr:uid="{4A61E4E7-79F5-4BAD-8076-FAE7B28FFA99}"/>
    <cellStyle name="40% - Accent4 9 2 4" xfId="15092" xr:uid="{072CC009-B40F-4450-925B-9E234A8F5608}"/>
    <cellStyle name="40% - Accent4 9 3" xfId="27763" xr:uid="{443431A5-D6FF-4C81-9892-F5114955C29A}"/>
    <cellStyle name="40% - Accent4 9 4" xfId="19322" xr:uid="{6778F4B7-BFC3-4A24-820C-B12EB1D31D38}"/>
    <cellStyle name="40% - Accent4 9 5" xfId="10874" xr:uid="{ED208881-AFDC-431D-924F-D9B1CE97BCE4}"/>
    <cellStyle name="40% - Accent5" xfId="81" builtinId="47" customBuiltin="1"/>
    <cellStyle name="40% - Accent5 10" xfId="4584" xr:uid="{00000000-0005-0000-0000-000041060000}"/>
    <cellStyle name="40% - Accent5 10 2" xfId="29923" xr:uid="{3CA38D7D-7646-4AD1-93C0-1F93AE4D36B1}"/>
    <cellStyle name="40% - Accent5 10 3" xfId="21482" xr:uid="{4CB142A1-1072-49C7-AAE3-371B0864796E}"/>
    <cellStyle name="40% - Accent5 10 4" xfId="13034" xr:uid="{CBB7A88A-E4AA-464E-B4D4-76AC0479FC07}"/>
    <cellStyle name="40% - Accent5 11" xfId="25705" xr:uid="{2FFCFAB6-466C-4806-A982-E8000E587D22}"/>
    <cellStyle name="40% - Accent5 12" xfId="17264" xr:uid="{5B2E50F5-603C-47C4-8A28-453B3B66D8AB}"/>
    <cellStyle name="40% - Accent5 13" xfId="8816" xr:uid="{922962D8-05FD-4B7C-A525-BDE429261B89}"/>
    <cellStyle name="40% - Accent5 2" xfId="82" xr:uid="{00000000-0005-0000-0000-000042060000}"/>
    <cellStyle name="40% - Accent5 2 10" xfId="25706" xr:uid="{F11AB9AC-2253-4985-88C3-D43A2AF1C968}"/>
    <cellStyle name="40% - Accent5 2 11" xfId="17265" xr:uid="{6581F657-2CD5-48BA-9AE4-C1820A9C1287}"/>
    <cellStyle name="40% - Accent5 2 12" xfId="8817" xr:uid="{E943550C-E457-498B-9B45-03FDFA163D3E}"/>
    <cellStyle name="40% - Accent5 2 2" xfId="83" xr:uid="{00000000-0005-0000-0000-000043060000}"/>
    <cellStyle name="40% - Accent5 2 2 10" xfId="17266" xr:uid="{59F657B9-E906-4ECB-AF8C-E590F2353265}"/>
    <cellStyle name="40% - Accent5 2 2 11" xfId="8818" xr:uid="{28F2CDFB-8331-40FB-B3CF-F3CD4E8DCCA8}"/>
    <cellStyle name="40% - Accent5 2 2 2" xfId="84" xr:uid="{00000000-0005-0000-0000-000044060000}"/>
    <cellStyle name="40% - Accent5 2 2 2 10" xfId="8819" xr:uid="{91AE8CE2-3EAB-428D-8DE2-1E65EDDDE9A1}"/>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32485" xr:uid="{4FD6FFE1-94F2-4F9C-B91A-52D5A1C1FE14}"/>
    <cellStyle name="40% - Accent5 2 2 2 2 2 2 3" xfId="24044" xr:uid="{BD3D1B00-57B5-4EFC-8563-CDEF6ED6551F}"/>
    <cellStyle name="40% - Accent5 2 2 2 2 2 2 4" xfId="15596" xr:uid="{80A88E21-34AA-479D-8931-09B510FE2E54}"/>
    <cellStyle name="40% - Accent5 2 2 2 2 2 3" xfId="28267" xr:uid="{56553F04-9D30-4792-9AB1-0BA42498E438}"/>
    <cellStyle name="40% - Accent5 2 2 2 2 2 4" xfId="19826" xr:uid="{9BB807E8-ABF3-4156-AE7E-16DD2AC8620C}"/>
    <cellStyle name="40% - Accent5 2 2 2 2 2 5" xfId="11378" xr:uid="{0F02634C-87BB-42D8-9E21-AFACD3929929}"/>
    <cellStyle name="40% - Accent5 2 2 2 2 3" xfId="5001" xr:uid="{00000000-0005-0000-0000-000048060000}"/>
    <cellStyle name="40% - Accent5 2 2 2 2 3 2" xfId="30340" xr:uid="{12293767-170D-4A8C-9EA9-B407252EE8D1}"/>
    <cellStyle name="40% - Accent5 2 2 2 2 3 3" xfId="21899" xr:uid="{8E41BEDA-52F5-4945-85B2-25FCF66BE94D}"/>
    <cellStyle name="40% - Accent5 2 2 2 2 3 4" xfId="13451" xr:uid="{2A42400E-1573-44C0-A1F7-7B704B14CABA}"/>
    <cellStyle name="40% - Accent5 2 2 2 2 4" xfId="26122" xr:uid="{BFE6972F-A3BB-49AB-9BA6-DB9AF8F4D5E0}"/>
    <cellStyle name="40% - Accent5 2 2 2 2 5" xfId="17681" xr:uid="{3915850E-59CF-46FC-9EEB-B8459C66F566}"/>
    <cellStyle name="40% - Accent5 2 2 2 2 6" xfId="9233" xr:uid="{26F5CB04-1E80-4425-900F-442F9FD59919}"/>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32898" xr:uid="{7A102B3A-FAAC-4654-AF5A-97D94241BF01}"/>
    <cellStyle name="40% - Accent5 2 2 2 3 2 2 3" xfId="24457" xr:uid="{72438F0D-5D1A-4E3D-B6CD-710720FE860B}"/>
    <cellStyle name="40% - Accent5 2 2 2 3 2 2 4" xfId="16009" xr:uid="{AEE9C2E6-3554-4D0F-B1C6-13DE635BE12C}"/>
    <cellStyle name="40% - Accent5 2 2 2 3 2 3" xfId="28680" xr:uid="{FE23779C-595D-4C5F-AB17-82C1B50F634F}"/>
    <cellStyle name="40% - Accent5 2 2 2 3 2 4" xfId="20239" xr:uid="{F431D763-4F4E-4FE4-8A63-F678D214506B}"/>
    <cellStyle name="40% - Accent5 2 2 2 3 2 5" xfId="11791" xr:uid="{F32C3A7C-981F-4246-AF56-C4757A1CD04E}"/>
    <cellStyle name="40% - Accent5 2 2 2 3 3" xfId="5414" xr:uid="{00000000-0005-0000-0000-00004C060000}"/>
    <cellStyle name="40% - Accent5 2 2 2 3 3 2" xfId="30753" xr:uid="{0C223FD3-D336-417B-820A-0AF19BC5CD36}"/>
    <cellStyle name="40% - Accent5 2 2 2 3 3 3" xfId="22312" xr:uid="{ADEFE7FE-B5F7-4F97-8751-AA47A6E739E4}"/>
    <cellStyle name="40% - Accent5 2 2 2 3 3 4" xfId="13864" xr:uid="{BD625986-811D-4FE5-A1E6-265AA46620BF}"/>
    <cellStyle name="40% - Accent5 2 2 2 3 4" xfId="26535" xr:uid="{E038366A-6FE5-43FF-B77A-3FF15AFDA84C}"/>
    <cellStyle name="40% - Accent5 2 2 2 3 5" xfId="18094" xr:uid="{B397F7BA-686E-4F80-8B32-D7DD7B9604D4}"/>
    <cellStyle name="40% - Accent5 2 2 2 3 6" xfId="9646" xr:uid="{94201E1B-0A67-45EC-9637-1FAB48319C77}"/>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33311" xr:uid="{12B3EDDB-284A-4155-AAC6-2DD8E18E07E3}"/>
    <cellStyle name="40% - Accent5 2 2 2 4 2 2 3" xfId="24870" xr:uid="{D56750FB-5740-4938-A115-4C58E45461B3}"/>
    <cellStyle name="40% - Accent5 2 2 2 4 2 2 4" xfId="16422" xr:uid="{9F8AF1DC-42AE-4F90-9E17-988C6FFA6A55}"/>
    <cellStyle name="40% - Accent5 2 2 2 4 2 3" xfId="29093" xr:uid="{BAAB3AE8-BACC-4CDA-9FD8-1EDCFAC935F8}"/>
    <cellStyle name="40% - Accent5 2 2 2 4 2 4" xfId="20652" xr:uid="{20E2D8E2-1A06-4D22-904D-2D6EF4836E59}"/>
    <cellStyle name="40% - Accent5 2 2 2 4 2 5" xfId="12204" xr:uid="{263DFCB8-0E6A-4063-ABF0-B7B13D5AEB0F}"/>
    <cellStyle name="40% - Accent5 2 2 2 4 3" xfId="5827" xr:uid="{00000000-0005-0000-0000-000050060000}"/>
    <cellStyle name="40% - Accent5 2 2 2 4 3 2" xfId="31166" xr:uid="{70D2DAA5-2B80-44FB-B2B5-CEA86C13D479}"/>
    <cellStyle name="40% - Accent5 2 2 2 4 3 3" xfId="22725" xr:uid="{E8DC444D-6F08-44F2-BEAB-919914B3F19C}"/>
    <cellStyle name="40% - Accent5 2 2 2 4 3 4" xfId="14277" xr:uid="{468A075A-3996-4685-A5C4-AD2C109AB137}"/>
    <cellStyle name="40% - Accent5 2 2 2 4 4" xfId="26948" xr:uid="{6F653B83-8A83-4712-B37F-C0C2ED78CD77}"/>
    <cellStyle name="40% - Accent5 2 2 2 4 5" xfId="18507" xr:uid="{31471891-2356-42C5-A01D-A9763C0637E6}"/>
    <cellStyle name="40% - Accent5 2 2 2 4 6" xfId="10059" xr:uid="{E60ACF7D-E226-4DEA-B3A5-F4D0409A0027}"/>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33724" xr:uid="{7C407C1A-C5B8-48BF-A471-28CF7356E320}"/>
    <cellStyle name="40% - Accent5 2 2 2 5 2 2 3" xfId="25283" xr:uid="{985F5240-7A12-4785-81F0-B40324BB9BAB}"/>
    <cellStyle name="40% - Accent5 2 2 2 5 2 2 4" xfId="16835" xr:uid="{68AD30E3-049B-497B-AA87-DA9B78C19123}"/>
    <cellStyle name="40% - Accent5 2 2 2 5 2 3" xfId="29506" xr:uid="{FF79C242-B0A7-4101-8681-E508A1C7988B}"/>
    <cellStyle name="40% - Accent5 2 2 2 5 2 4" xfId="21065" xr:uid="{A29863E1-B53B-4758-A594-607183CC0629}"/>
    <cellStyle name="40% - Accent5 2 2 2 5 2 5" xfId="12617" xr:uid="{C4377CC8-59CB-4758-A4BF-CB4F97ED1F4F}"/>
    <cellStyle name="40% - Accent5 2 2 2 5 3" xfId="6240" xr:uid="{00000000-0005-0000-0000-000054060000}"/>
    <cellStyle name="40% - Accent5 2 2 2 5 3 2" xfId="31579" xr:uid="{C5413FCD-64BA-494C-B2E8-4E2D4B212317}"/>
    <cellStyle name="40% - Accent5 2 2 2 5 3 3" xfId="23138" xr:uid="{F5FAC84F-0DF9-4CEF-A440-701FC42D35D1}"/>
    <cellStyle name="40% - Accent5 2 2 2 5 3 4" xfId="14690" xr:uid="{6DC6877E-2446-4B3D-8D69-F5E989048C51}"/>
    <cellStyle name="40% - Accent5 2 2 2 5 4" xfId="27361" xr:uid="{BEB88EF5-234A-4FAC-BA5A-6EBE9041DCF2}"/>
    <cellStyle name="40% - Accent5 2 2 2 5 5" xfId="18920" xr:uid="{0CE1948C-6D22-4852-9011-38EB24986BC1}"/>
    <cellStyle name="40% - Accent5 2 2 2 5 6" xfId="10472" xr:uid="{F1FED909-FEEE-4EED-ACCF-B48F700FC1A0}"/>
    <cellStyle name="40% - Accent5 2 2 2 6" xfId="2347" xr:uid="{00000000-0005-0000-0000-000055060000}"/>
    <cellStyle name="40% - Accent5 2 2 2 6 2" xfId="6653" xr:uid="{00000000-0005-0000-0000-000056060000}"/>
    <cellStyle name="40% - Accent5 2 2 2 6 2 2" xfId="31992" xr:uid="{AB039AC1-6C9D-4100-B5A3-94E81A48D8F7}"/>
    <cellStyle name="40% - Accent5 2 2 2 6 2 3" xfId="23551" xr:uid="{9DB132D0-E771-4A08-BF8A-F75481B0E849}"/>
    <cellStyle name="40% - Accent5 2 2 2 6 2 4" xfId="15103" xr:uid="{15AE3F0E-1B42-4102-960F-10E593D68261}"/>
    <cellStyle name="40% - Accent5 2 2 2 6 3" xfId="27774" xr:uid="{EDCFA7C2-0D9F-43C5-937D-FDD00914E2F3}"/>
    <cellStyle name="40% - Accent5 2 2 2 6 4" xfId="19333" xr:uid="{8A6AF97E-A757-4487-B559-4101AFDBD36D}"/>
    <cellStyle name="40% - Accent5 2 2 2 6 5" xfId="10885" xr:uid="{06FB0132-91B6-4452-9CF8-6A3FDE96B06B}"/>
    <cellStyle name="40% - Accent5 2 2 2 7" xfId="4587" xr:uid="{00000000-0005-0000-0000-000057060000}"/>
    <cellStyle name="40% - Accent5 2 2 2 7 2" xfId="29926" xr:uid="{7D15E0A2-7E77-41FC-A09F-EE8D267DF50D}"/>
    <cellStyle name="40% - Accent5 2 2 2 7 3" xfId="21485" xr:uid="{B4FF7C23-3DE4-4F60-A1E9-4248600E0151}"/>
    <cellStyle name="40% - Accent5 2 2 2 7 4" xfId="13037" xr:uid="{EDE92B64-3CA0-4B7A-A451-A738CEBDB311}"/>
    <cellStyle name="40% - Accent5 2 2 2 8" xfId="25708" xr:uid="{649411E3-A060-4D46-986B-013E442F02FE}"/>
    <cellStyle name="40% - Accent5 2 2 2 9" xfId="17267" xr:uid="{41A83718-FF2E-4F62-BB52-053A20394272}"/>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32484" xr:uid="{A82A0CBE-4CF5-40CA-B573-8EF9F75EABD8}"/>
    <cellStyle name="40% - Accent5 2 2 3 2 2 3" xfId="24043" xr:uid="{58570743-2CC5-492F-9976-A90B316017A8}"/>
    <cellStyle name="40% - Accent5 2 2 3 2 2 4" xfId="15595" xr:uid="{7661667B-045C-47A6-A827-F7F9257A3244}"/>
    <cellStyle name="40% - Accent5 2 2 3 2 3" xfId="28266" xr:uid="{6CFBEC19-E604-4DF4-8489-CE9CAA0DA371}"/>
    <cellStyle name="40% - Accent5 2 2 3 2 4" xfId="19825" xr:uid="{C46B3D7A-774C-479C-94A9-9B672F884352}"/>
    <cellStyle name="40% - Accent5 2 2 3 2 5" xfId="11377" xr:uid="{E2C0665E-DA93-4682-A9C9-7DCBA6D1A3AB}"/>
    <cellStyle name="40% - Accent5 2 2 3 3" xfId="5000" xr:uid="{00000000-0005-0000-0000-00005B060000}"/>
    <cellStyle name="40% - Accent5 2 2 3 3 2" xfId="30339" xr:uid="{F2CB6F6C-1D8D-4D04-8D78-64FD7D3D40A2}"/>
    <cellStyle name="40% - Accent5 2 2 3 3 3" xfId="21898" xr:uid="{1F7D304A-478F-49A4-AB84-55D5B95826EB}"/>
    <cellStyle name="40% - Accent5 2 2 3 3 4" xfId="13450" xr:uid="{D236DE14-C3C0-4602-BB55-8A8C0D269056}"/>
    <cellStyle name="40% - Accent5 2 2 3 4" xfId="26121" xr:uid="{FA8B2881-CAE7-4140-89A2-895982093C9B}"/>
    <cellStyle name="40% - Accent5 2 2 3 5" xfId="17680" xr:uid="{439517E4-103D-4D1A-B408-E8E395082176}"/>
    <cellStyle name="40% - Accent5 2 2 3 6" xfId="9232" xr:uid="{7066E17C-59F2-47FA-BF81-8BFA7634ADA8}"/>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32897" xr:uid="{F6B85C1C-D861-415A-949D-0091663B395D}"/>
    <cellStyle name="40% - Accent5 2 2 4 2 2 3" xfId="24456" xr:uid="{60F9F91A-FAD7-4468-9AF6-D71E42573FF7}"/>
    <cellStyle name="40% - Accent5 2 2 4 2 2 4" xfId="16008" xr:uid="{8284BC96-CFAA-4B8F-B2E6-B69D36FF18C8}"/>
    <cellStyle name="40% - Accent5 2 2 4 2 3" xfId="28679" xr:uid="{96437A48-CFC0-4795-8529-41AF3546262A}"/>
    <cellStyle name="40% - Accent5 2 2 4 2 4" xfId="20238" xr:uid="{45D5AE59-78E8-437D-80D2-00DE3DC754B2}"/>
    <cellStyle name="40% - Accent5 2 2 4 2 5" xfId="11790" xr:uid="{72F975CA-690A-46F1-AA02-6A1BBC85A24E}"/>
    <cellStyle name="40% - Accent5 2 2 4 3" xfId="5413" xr:uid="{00000000-0005-0000-0000-00005F060000}"/>
    <cellStyle name="40% - Accent5 2 2 4 3 2" xfId="30752" xr:uid="{93802047-B48A-45CA-AEF0-CB3A41E1357C}"/>
    <cellStyle name="40% - Accent5 2 2 4 3 3" xfId="22311" xr:uid="{18AB5265-2A3D-4AAF-9890-5540098D2B01}"/>
    <cellStyle name="40% - Accent5 2 2 4 3 4" xfId="13863" xr:uid="{B0B3D63A-010C-4324-9F5D-B2D920FDB8B4}"/>
    <cellStyle name="40% - Accent5 2 2 4 4" xfId="26534" xr:uid="{6A1C2E69-AECC-4F12-B2A1-80EF09FA6B69}"/>
    <cellStyle name="40% - Accent5 2 2 4 5" xfId="18093" xr:uid="{BDC63852-20E5-40E6-BBBF-AE0B5A469B14}"/>
    <cellStyle name="40% - Accent5 2 2 4 6" xfId="9645" xr:uid="{D70ED8C3-6DF3-4D25-A86B-94A25B1F2A1E}"/>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33310" xr:uid="{B3DA17E0-9A3D-4C47-9036-995855D630F6}"/>
    <cellStyle name="40% - Accent5 2 2 5 2 2 3" xfId="24869" xr:uid="{3F4F60E0-9ED2-4F03-8B29-0A47489161D4}"/>
    <cellStyle name="40% - Accent5 2 2 5 2 2 4" xfId="16421" xr:uid="{E56B1894-3EB6-4FE0-9719-A7F23354E1FD}"/>
    <cellStyle name="40% - Accent5 2 2 5 2 3" xfId="29092" xr:uid="{26892E72-9366-44E0-A0C0-C917260D0F30}"/>
    <cellStyle name="40% - Accent5 2 2 5 2 4" xfId="20651" xr:uid="{519A226A-8B53-434A-A376-49B811736636}"/>
    <cellStyle name="40% - Accent5 2 2 5 2 5" xfId="12203" xr:uid="{D29620AB-B9D3-47AA-A4E7-7A9567ED1F5B}"/>
    <cellStyle name="40% - Accent5 2 2 5 3" xfId="5826" xr:uid="{00000000-0005-0000-0000-000063060000}"/>
    <cellStyle name="40% - Accent5 2 2 5 3 2" xfId="31165" xr:uid="{74B7B9FA-FE58-4EAA-B7F6-0F38DE63FB18}"/>
    <cellStyle name="40% - Accent5 2 2 5 3 3" xfId="22724" xr:uid="{EC2CF553-655C-480A-8A98-BD89442CED4F}"/>
    <cellStyle name="40% - Accent5 2 2 5 3 4" xfId="14276" xr:uid="{2CFD2D90-3D9E-4901-B639-963B3BB4ABD4}"/>
    <cellStyle name="40% - Accent5 2 2 5 4" xfId="26947" xr:uid="{58AFBC36-D16D-429C-888D-83495F47601C}"/>
    <cellStyle name="40% - Accent5 2 2 5 5" xfId="18506" xr:uid="{1EB6E533-B373-4E30-B76D-885C1AD86B36}"/>
    <cellStyle name="40% - Accent5 2 2 5 6" xfId="10058" xr:uid="{3A61B110-E0D6-4EF0-9F41-69C1CD2BDCE3}"/>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33723" xr:uid="{B1FB29D9-A375-44F6-8527-42B9158B3211}"/>
    <cellStyle name="40% - Accent5 2 2 6 2 2 3" xfId="25282" xr:uid="{82B674F2-333E-495F-8A00-21F4E43E12AD}"/>
    <cellStyle name="40% - Accent5 2 2 6 2 2 4" xfId="16834" xr:uid="{611B7AF3-A999-4886-9D75-7D0056793228}"/>
    <cellStyle name="40% - Accent5 2 2 6 2 3" xfId="29505" xr:uid="{E7350C80-9CCD-4A89-9726-D2BCEF9921F3}"/>
    <cellStyle name="40% - Accent5 2 2 6 2 4" xfId="21064" xr:uid="{4551F091-0644-457A-9AC9-D3D9BFB47E65}"/>
    <cellStyle name="40% - Accent5 2 2 6 2 5" xfId="12616" xr:uid="{98FCCB44-8517-4F3B-922B-34080F544C22}"/>
    <cellStyle name="40% - Accent5 2 2 6 3" xfId="6239" xr:uid="{00000000-0005-0000-0000-000067060000}"/>
    <cellStyle name="40% - Accent5 2 2 6 3 2" xfId="31578" xr:uid="{DA59F5FD-60D4-4669-AD3B-DC32473FF236}"/>
    <cellStyle name="40% - Accent5 2 2 6 3 3" xfId="23137" xr:uid="{D1CB4BE8-1620-4E08-8D3A-2CAB13484B34}"/>
    <cellStyle name="40% - Accent5 2 2 6 3 4" xfId="14689" xr:uid="{41D49F1B-1981-410C-B193-59E8D7ABA5C8}"/>
    <cellStyle name="40% - Accent5 2 2 6 4" xfId="27360" xr:uid="{EBAD4794-4730-475A-AF7C-79640B2D4F45}"/>
    <cellStyle name="40% - Accent5 2 2 6 5" xfId="18919" xr:uid="{CA73583A-DCBD-4184-80E0-DFF741032FEF}"/>
    <cellStyle name="40% - Accent5 2 2 6 6" xfId="10471" xr:uid="{D7652D86-5603-4BA5-9BBE-F96B5F78F176}"/>
    <cellStyle name="40% - Accent5 2 2 7" xfId="2346" xr:uid="{00000000-0005-0000-0000-000068060000}"/>
    <cellStyle name="40% - Accent5 2 2 7 2" xfId="6652" xr:uid="{00000000-0005-0000-0000-000069060000}"/>
    <cellStyle name="40% - Accent5 2 2 7 2 2" xfId="31991" xr:uid="{3BB55816-5709-4D8F-BFDC-E410EA60C285}"/>
    <cellStyle name="40% - Accent5 2 2 7 2 3" xfId="23550" xr:uid="{8F43C990-5159-4AB0-A680-4CE9DD62498C}"/>
    <cellStyle name="40% - Accent5 2 2 7 2 4" xfId="15102" xr:uid="{17C44BDF-2E70-4E29-A642-8B35BBDDF558}"/>
    <cellStyle name="40% - Accent5 2 2 7 3" xfId="27773" xr:uid="{1767BD7B-17F8-4AB6-9888-81345D9F95DB}"/>
    <cellStyle name="40% - Accent5 2 2 7 4" xfId="19332" xr:uid="{AF51D410-8667-4FA6-B2D4-A0D123362268}"/>
    <cellStyle name="40% - Accent5 2 2 7 5" xfId="10884" xr:uid="{A20C2BCD-319B-4D1A-AA39-9C452B1FE47D}"/>
    <cellStyle name="40% - Accent5 2 2 8" xfId="4586" xr:uid="{00000000-0005-0000-0000-00006A060000}"/>
    <cellStyle name="40% - Accent5 2 2 8 2" xfId="29925" xr:uid="{0AB61FF1-C517-45FE-9698-41D070EC9A1B}"/>
    <cellStyle name="40% - Accent5 2 2 8 3" xfId="21484" xr:uid="{75B121DA-15C3-41A3-9543-CBA2596A25ED}"/>
    <cellStyle name="40% - Accent5 2 2 8 4" xfId="13036" xr:uid="{175895F4-C833-4101-B0B1-B742F48A9BB7}"/>
    <cellStyle name="40% - Accent5 2 2 9" xfId="25707" xr:uid="{CCAC164B-6F41-4A8A-B988-AC7A75721FCC}"/>
    <cellStyle name="40% - Accent5 2 3" xfId="85" xr:uid="{00000000-0005-0000-0000-00006B060000}"/>
    <cellStyle name="40% - Accent5 2 3 10" xfId="8820" xr:uid="{2A9E1C54-3031-4B21-9531-EDD3271F87ED}"/>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32486" xr:uid="{1E72981C-4216-4839-9BCF-42B82664B9E0}"/>
    <cellStyle name="40% - Accent5 2 3 2 2 2 3" xfId="24045" xr:uid="{0DCBA68F-7381-4FE7-970E-4FCF5DF7D539}"/>
    <cellStyle name="40% - Accent5 2 3 2 2 2 4" xfId="15597" xr:uid="{9AF5A890-8553-497E-A3FD-49A76F4A5AB5}"/>
    <cellStyle name="40% - Accent5 2 3 2 2 3" xfId="28268" xr:uid="{B2B3C98D-EE4A-4299-8BFC-5630C6664407}"/>
    <cellStyle name="40% - Accent5 2 3 2 2 4" xfId="19827" xr:uid="{9E770623-78A3-4D0E-BFB6-BCAE426FD315}"/>
    <cellStyle name="40% - Accent5 2 3 2 2 5" xfId="11379" xr:uid="{12CB8B02-942C-416B-8DB0-FA94C31377CA}"/>
    <cellStyle name="40% - Accent5 2 3 2 3" xfId="5002" xr:uid="{00000000-0005-0000-0000-00006F060000}"/>
    <cellStyle name="40% - Accent5 2 3 2 3 2" xfId="30341" xr:uid="{4EA25F58-7DBF-40BC-9B9F-5754D36FD735}"/>
    <cellStyle name="40% - Accent5 2 3 2 3 3" xfId="21900" xr:uid="{6A9987F3-3871-43B8-9BB0-2FB2DC7B7A25}"/>
    <cellStyle name="40% - Accent5 2 3 2 3 4" xfId="13452" xr:uid="{67639A63-9608-40D5-8600-9510C54EA820}"/>
    <cellStyle name="40% - Accent5 2 3 2 4" xfId="26123" xr:uid="{79952D1F-AF64-429C-BE16-B03A89F912B2}"/>
    <cellStyle name="40% - Accent5 2 3 2 5" xfId="17682" xr:uid="{9BC97A41-FAFC-4816-B7FD-8D924996608A}"/>
    <cellStyle name="40% - Accent5 2 3 2 6" xfId="9234" xr:uid="{F5E41335-E3FF-4716-9721-D334B635DF0D}"/>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32899" xr:uid="{2D1F4730-EA15-43D1-9B72-A45105A122FC}"/>
    <cellStyle name="40% - Accent5 2 3 3 2 2 3" xfId="24458" xr:uid="{8522F15F-FA40-4A95-8DEE-92EEFE23A0A7}"/>
    <cellStyle name="40% - Accent5 2 3 3 2 2 4" xfId="16010" xr:uid="{5F3803BF-11AC-477D-B259-F2F05B7CFF71}"/>
    <cellStyle name="40% - Accent5 2 3 3 2 3" xfId="28681" xr:uid="{AA29090B-6731-4C6C-813A-1098181EF951}"/>
    <cellStyle name="40% - Accent5 2 3 3 2 4" xfId="20240" xr:uid="{F8359236-F96A-4BC8-ABE7-247A2066E3CB}"/>
    <cellStyle name="40% - Accent5 2 3 3 2 5" xfId="11792" xr:uid="{89BA1225-9F25-4AD2-9E3E-248323052923}"/>
    <cellStyle name="40% - Accent5 2 3 3 3" xfId="5415" xr:uid="{00000000-0005-0000-0000-000073060000}"/>
    <cellStyle name="40% - Accent5 2 3 3 3 2" xfId="30754" xr:uid="{82433372-45CF-48BA-A1A5-478299918312}"/>
    <cellStyle name="40% - Accent5 2 3 3 3 3" xfId="22313" xr:uid="{B7FA918D-E380-4890-AF66-432FB49C6939}"/>
    <cellStyle name="40% - Accent5 2 3 3 3 4" xfId="13865" xr:uid="{5C1BC4CC-C7A4-4077-A7B9-A48FCF6A5E3E}"/>
    <cellStyle name="40% - Accent5 2 3 3 4" xfId="26536" xr:uid="{57A064E3-86C9-4D46-BD5C-1C6418471AA4}"/>
    <cellStyle name="40% - Accent5 2 3 3 5" xfId="18095" xr:uid="{385F7BD0-03EA-42CA-ACD7-0065190BB2FE}"/>
    <cellStyle name="40% - Accent5 2 3 3 6" xfId="9647" xr:uid="{9C29424F-99D0-4362-B281-61B3E2098BF2}"/>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33312" xr:uid="{F70224B8-B07B-446A-8D11-D87BC850EFD2}"/>
    <cellStyle name="40% - Accent5 2 3 4 2 2 3" xfId="24871" xr:uid="{9F12F6BA-1C42-4DB5-8609-C54F3A6BC29F}"/>
    <cellStyle name="40% - Accent5 2 3 4 2 2 4" xfId="16423" xr:uid="{86E73E1F-7501-4A41-ACD0-CDA6331BA5C7}"/>
    <cellStyle name="40% - Accent5 2 3 4 2 3" xfId="29094" xr:uid="{D249BBAA-F886-4CC7-AD23-20EB4F8F3DA2}"/>
    <cellStyle name="40% - Accent5 2 3 4 2 4" xfId="20653" xr:uid="{6899F19B-85C6-422E-932F-06710E3D3290}"/>
    <cellStyle name="40% - Accent5 2 3 4 2 5" xfId="12205" xr:uid="{44A6D566-05E8-4FA4-8C2A-0DE353FDC82A}"/>
    <cellStyle name="40% - Accent5 2 3 4 3" xfId="5828" xr:uid="{00000000-0005-0000-0000-000077060000}"/>
    <cellStyle name="40% - Accent5 2 3 4 3 2" xfId="31167" xr:uid="{DEEB1344-AF56-4011-8F61-4B2384DFFD4B}"/>
    <cellStyle name="40% - Accent5 2 3 4 3 3" xfId="22726" xr:uid="{1DABDD42-F10A-4923-A387-1CB75D43CE53}"/>
    <cellStyle name="40% - Accent5 2 3 4 3 4" xfId="14278" xr:uid="{8C9D4EBC-5FD8-4E88-B8A2-496B25B26B2B}"/>
    <cellStyle name="40% - Accent5 2 3 4 4" xfId="26949" xr:uid="{39339DC3-D8F2-4215-95D3-6CF1630D4FE8}"/>
    <cellStyle name="40% - Accent5 2 3 4 5" xfId="18508" xr:uid="{86729269-0A1F-4625-9611-9729E244747A}"/>
    <cellStyle name="40% - Accent5 2 3 4 6" xfId="10060" xr:uid="{14D4373D-070C-4F8F-83BF-360C3898CE4B}"/>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33725" xr:uid="{3F57CF46-6176-4760-95A9-3E4E86EF15AD}"/>
    <cellStyle name="40% - Accent5 2 3 5 2 2 3" xfId="25284" xr:uid="{98F9D041-F077-42F3-97CC-E05E89279A9F}"/>
    <cellStyle name="40% - Accent5 2 3 5 2 2 4" xfId="16836" xr:uid="{BF4CDEC9-0571-4729-BF24-4B88D35642C9}"/>
    <cellStyle name="40% - Accent5 2 3 5 2 3" xfId="29507" xr:uid="{89D2B817-497E-4EAB-8D8A-4090E9AF6EF3}"/>
    <cellStyle name="40% - Accent5 2 3 5 2 4" xfId="21066" xr:uid="{4343D272-CD12-4425-A021-D515C6BAB8A3}"/>
    <cellStyle name="40% - Accent5 2 3 5 2 5" xfId="12618" xr:uid="{6772E512-94FA-4CDB-8DEC-8CA83CC13012}"/>
    <cellStyle name="40% - Accent5 2 3 5 3" xfId="6241" xr:uid="{00000000-0005-0000-0000-00007B060000}"/>
    <cellStyle name="40% - Accent5 2 3 5 3 2" xfId="31580" xr:uid="{C0D6B358-3B92-4684-A40D-F218613D3764}"/>
    <cellStyle name="40% - Accent5 2 3 5 3 3" xfId="23139" xr:uid="{CBAC30BF-CCAF-4274-AD4A-D3D8BDAEC0D2}"/>
    <cellStyle name="40% - Accent5 2 3 5 3 4" xfId="14691" xr:uid="{1FDE3241-1A9F-42CD-BD81-92B157819F2D}"/>
    <cellStyle name="40% - Accent5 2 3 5 4" xfId="27362" xr:uid="{3B5E9BB5-A8D3-461F-9685-7083F01B124E}"/>
    <cellStyle name="40% - Accent5 2 3 5 5" xfId="18921" xr:uid="{F7DF0676-B606-471C-B67E-A9400AC673FE}"/>
    <cellStyle name="40% - Accent5 2 3 5 6" xfId="10473" xr:uid="{34CB8A57-7664-4356-8EB2-6745B49E71D1}"/>
    <cellStyle name="40% - Accent5 2 3 6" xfId="2348" xr:uid="{00000000-0005-0000-0000-00007C060000}"/>
    <cellStyle name="40% - Accent5 2 3 6 2" xfId="6654" xr:uid="{00000000-0005-0000-0000-00007D060000}"/>
    <cellStyle name="40% - Accent5 2 3 6 2 2" xfId="31993" xr:uid="{B8B4B4CB-24A9-41AF-9330-A43D9D038CEF}"/>
    <cellStyle name="40% - Accent5 2 3 6 2 3" xfId="23552" xr:uid="{2EFCE124-BC88-44A7-9297-78BB4DA54C4D}"/>
    <cellStyle name="40% - Accent5 2 3 6 2 4" xfId="15104" xr:uid="{199EF056-E258-4AED-8A70-DF2C2D5707EC}"/>
    <cellStyle name="40% - Accent5 2 3 6 3" xfId="27775" xr:uid="{FD5E0039-A46E-447B-A207-19503C0826A6}"/>
    <cellStyle name="40% - Accent5 2 3 6 4" xfId="19334" xr:uid="{AD4AFCCB-5D06-4F49-AD25-7B982D61680B}"/>
    <cellStyle name="40% - Accent5 2 3 6 5" xfId="10886" xr:uid="{4559D4DC-0540-499A-BED5-801A9B9C1FB4}"/>
    <cellStyle name="40% - Accent5 2 3 7" xfId="4588" xr:uid="{00000000-0005-0000-0000-00007E060000}"/>
    <cellStyle name="40% - Accent5 2 3 7 2" xfId="29927" xr:uid="{13D29BB5-5BF9-46F8-9523-E3A9AD921D01}"/>
    <cellStyle name="40% - Accent5 2 3 7 3" xfId="21486" xr:uid="{05930691-9644-4CA2-9699-6A411E7C1284}"/>
    <cellStyle name="40% - Accent5 2 3 7 4" xfId="13038" xr:uid="{AE3605CC-5BBE-48A6-955A-790347ED621F}"/>
    <cellStyle name="40% - Accent5 2 3 8" xfId="25709" xr:uid="{98B3217C-DDBF-4AFA-BE65-BBB23DDB62DB}"/>
    <cellStyle name="40% - Accent5 2 3 9" xfId="17268" xr:uid="{53327BB8-EAA1-4232-8CDD-33B351EEA963}"/>
    <cellStyle name="40% - Accent5 2 4" xfId="651" xr:uid="{00000000-0005-0000-0000-00007F060000}"/>
    <cellStyle name="40% - Accent5 2 4 2" xfId="2922" xr:uid="{00000000-0005-0000-0000-000080060000}"/>
    <cellStyle name="40% - Accent5 2 4 2 2" xfId="7144" xr:uid="{00000000-0005-0000-0000-000081060000}"/>
    <cellStyle name="40% - Accent5 2 4 2 2 2" xfId="32483" xr:uid="{C5FF11C0-64FC-4DD8-86F2-74DB120314EA}"/>
    <cellStyle name="40% - Accent5 2 4 2 2 3" xfId="24042" xr:uid="{ECD11387-BF67-4CFC-ACB1-D915DF0F1F18}"/>
    <cellStyle name="40% - Accent5 2 4 2 2 4" xfId="15594" xr:uid="{D0F863BE-0810-48B5-BB27-F7838F6CC91A}"/>
    <cellStyle name="40% - Accent5 2 4 2 3" xfId="28265" xr:uid="{B5D90F11-D96D-4535-B41F-2AD50E66A37A}"/>
    <cellStyle name="40% - Accent5 2 4 2 4" xfId="19824" xr:uid="{9C151E43-096C-44F4-91C9-6A838019C585}"/>
    <cellStyle name="40% - Accent5 2 4 2 5" xfId="11376" xr:uid="{4613C24E-B127-4FA7-93F9-1D4F00374361}"/>
    <cellStyle name="40% - Accent5 2 4 3" xfId="4999" xr:uid="{00000000-0005-0000-0000-000082060000}"/>
    <cellStyle name="40% - Accent5 2 4 3 2" xfId="30338" xr:uid="{E11E9DA6-9412-4643-9D3A-58D33C5D8561}"/>
    <cellStyle name="40% - Accent5 2 4 3 3" xfId="21897" xr:uid="{E6BDDAB3-2EDB-48CB-A550-7453BCC70610}"/>
    <cellStyle name="40% - Accent5 2 4 3 4" xfId="13449" xr:uid="{552B0089-AD87-47FE-9974-BE25398A5587}"/>
    <cellStyle name="40% - Accent5 2 4 4" xfId="26120" xr:uid="{98011B4F-3C45-4FE1-ACF2-20BCB9A30CF8}"/>
    <cellStyle name="40% - Accent5 2 4 5" xfId="17679" xr:uid="{E3CF34C2-30A6-4E08-BC07-94FDBA62CB85}"/>
    <cellStyle name="40% - Accent5 2 4 6" xfId="9231" xr:uid="{370DCF3E-09FF-477E-8342-88E397DE672E}"/>
    <cellStyle name="40% - Accent5 2 5" xfId="1104" xr:uid="{00000000-0005-0000-0000-000083060000}"/>
    <cellStyle name="40% - Accent5 2 5 2" xfId="3335" xr:uid="{00000000-0005-0000-0000-000084060000}"/>
    <cellStyle name="40% - Accent5 2 5 2 2" xfId="7557" xr:uid="{00000000-0005-0000-0000-000085060000}"/>
    <cellStyle name="40% - Accent5 2 5 2 2 2" xfId="32896" xr:uid="{4FD71BFE-7794-4630-A8F8-B4526E00BF41}"/>
    <cellStyle name="40% - Accent5 2 5 2 2 3" xfId="24455" xr:uid="{FE153AE9-D72B-428C-96D9-3B4ECE606B15}"/>
    <cellStyle name="40% - Accent5 2 5 2 2 4" xfId="16007" xr:uid="{99BE9BEA-8584-458D-AA18-D82C8D1B230A}"/>
    <cellStyle name="40% - Accent5 2 5 2 3" xfId="28678" xr:uid="{ED9A4CBC-AAE0-42FF-8F24-0CD15F0EE955}"/>
    <cellStyle name="40% - Accent5 2 5 2 4" xfId="20237" xr:uid="{7B4ECEE3-87BA-420B-B58F-656378F25054}"/>
    <cellStyle name="40% - Accent5 2 5 2 5" xfId="11789" xr:uid="{194BACFF-7264-4F8E-885D-771178969467}"/>
    <cellStyle name="40% - Accent5 2 5 3" xfId="5412" xr:uid="{00000000-0005-0000-0000-000086060000}"/>
    <cellStyle name="40% - Accent5 2 5 3 2" xfId="30751" xr:uid="{2E879C62-D994-4FED-9AEB-3EFEB3F6E3DE}"/>
    <cellStyle name="40% - Accent5 2 5 3 3" xfId="22310" xr:uid="{8178144D-40AA-4759-98CA-D71646EC57F3}"/>
    <cellStyle name="40% - Accent5 2 5 3 4" xfId="13862" xr:uid="{5E3F3ED7-132B-4D77-8E75-DB590ED48D61}"/>
    <cellStyle name="40% - Accent5 2 5 4" xfId="26533" xr:uid="{B6A887E6-ED96-45D5-98BE-51169D82EAAB}"/>
    <cellStyle name="40% - Accent5 2 5 5" xfId="18092" xr:uid="{0AF740FD-E30D-4AFE-A8C8-D8804EED954A}"/>
    <cellStyle name="40% - Accent5 2 5 6" xfId="9644" xr:uid="{66683A94-8DF5-492F-BB96-EBD85D19901A}"/>
    <cellStyle name="40% - Accent5 2 6" xfId="1518" xr:uid="{00000000-0005-0000-0000-000087060000}"/>
    <cellStyle name="40% - Accent5 2 6 2" xfId="3748" xr:uid="{00000000-0005-0000-0000-000088060000}"/>
    <cellStyle name="40% - Accent5 2 6 2 2" xfId="7970" xr:uid="{00000000-0005-0000-0000-000089060000}"/>
    <cellStyle name="40% - Accent5 2 6 2 2 2" xfId="33309" xr:uid="{827919B0-154E-4DEE-B4C6-1EB35B7630AF}"/>
    <cellStyle name="40% - Accent5 2 6 2 2 3" xfId="24868" xr:uid="{1324BEA4-8D46-4C3B-A743-7D4175BC324D}"/>
    <cellStyle name="40% - Accent5 2 6 2 2 4" xfId="16420" xr:uid="{07540B13-2AA9-4C8B-B910-403AFA2C739E}"/>
    <cellStyle name="40% - Accent5 2 6 2 3" xfId="29091" xr:uid="{181F395F-FC68-4FFA-AD49-DAD204D94B54}"/>
    <cellStyle name="40% - Accent5 2 6 2 4" xfId="20650" xr:uid="{A702F2E3-5C18-45ED-ADC3-9F96A3C497F0}"/>
    <cellStyle name="40% - Accent5 2 6 2 5" xfId="12202" xr:uid="{7AB64E37-D3E6-427A-9FF2-6798CDBA8485}"/>
    <cellStyle name="40% - Accent5 2 6 3" xfId="5825" xr:uid="{00000000-0005-0000-0000-00008A060000}"/>
    <cellStyle name="40% - Accent5 2 6 3 2" xfId="31164" xr:uid="{03292AA2-C1AC-478F-9E6D-0EEB97B58F7B}"/>
    <cellStyle name="40% - Accent5 2 6 3 3" xfId="22723" xr:uid="{462488FF-DD3B-4F7F-AAF8-774CD82488B9}"/>
    <cellStyle name="40% - Accent5 2 6 3 4" xfId="14275" xr:uid="{4BFDE7CF-1309-477E-9CB4-25FE63CC4C94}"/>
    <cellStyle name="40% - Accent5 2 6 4" xfId="26946" xr:uid="{924AD2E6-568E-4B56-94E5-73BD60D9503C}"/>
    <cellStyle name="40% - Accent5 2 6 5" xfId="18505" xr:uid="{7CB5EAD1-D0AB-432F-9008-2B28F685BD5A}"/>
    <cellStyle name="40% - Accent5 2 6 6" xfId="10057" xr:uid="{049DFC9A-B6F3-464B-930F-7451CE1D8CB1}"/>
    <cellStyle name="40% - Accent5 2 7" xfId="1932" xr:uid="{00000000-0005-0000-0000-00008B060000}"/>
    <cellStyle name="40% - Accent5 2 7 2" xfId="4161" xr:uid="{00000000-0005-0000-0000-00008C060000}"/>
    <cellStyle name="40% - Accent5 2 7 2 2" xfId="8383" xr:uid="{00000000-0005-0000-0000-00008D060000}"/>
    <cellStyle name="40% - Accent5 2 7 2 2 2" xfId="33722" xr:uid="{9E4C1835-FA6D-478A-B53C-487BA5AF2635}"/>
    <cellStyle name="40% - Accent5 2 7 2 2 3" xfId="25281" xr:uid="{5A822A8F-1F18-43F7-A221-56224264E79F}"/>
    <cellStyle name="40% - Accent5 2 7 2 2 4" xfId="16833" xr:uid="{95204EC4-79A2-4362-AEBE-081ECE2422FC}"/>
    <cellStyle name="40% - Accent5 2 7 2 3" xfId="29504" xr:uid="{11080C0B-9D28-43B2-8560-FE33EC183106}"/>
    <cellStyle name="40% - Accent5 2 7 2 4" xfId="21063" xr:uid="{570FAD4C-E310-4228-8F69-F6D91EAFB2AF}"/>
    <cellStyle name="40% - Accent5 2 7 2 5" xfId="12615" xr:uid="{A78CA015-1C88-4A89-857F-51CEEC78F973}"/>
    <cellStyle name="40% - Accent5 2 7 3" xfId="6238" xr:uid="{00000000-0005-0000-0000-00008E060000}"/>
    <cellStyle name="40% - Accent5 2 7 3 2" xfId="31577" xr:uid="{364FEC03-B918-4E3A-B277-9E0928BBEC5D}"/>
    <cellStyle name="40% - Accent5 2 7 3 3" xfId="23136" xr:uid="{9B144FC3-1D64-4932-98BF-470869E41A28}"/>
    <cellStyle name="40% - Accent5 2 7 3 4" xfId="14688" xr:uid="{E6441493-F0F0-4FAA-BA3A-D02384432C0F}"/>
    <cellStyle name="40% - Accent5 2 7 4" xfId="27359" xr:uid="{B04E1965-C245-45AF-8509-DD53641A08F9}"/>
    <cellStyle name="40% - Accent5 2 7 5" xfId="18918" xr:uid="{CEA8164F-0842-4130-85CD-AD2DFCBC0C8A}"/>
    <cellStyle name="40% - Accent5 2 7 6" xfId="10470" xr:uid="{C415B2A8-EB57-4838-B8AA-178D1EE5F9F3}"/>
    <cellStyle name="40% - Accent5 2 8" xfId="2345" xr:uid="{00000000-0005-0000-0000-00008F060000}"/>
    <cellStyle name="40% - Accent5 2 8 2" xfId="6651" xr:uid="{00000000-0005-0000-0000-000090060000}"/>
    <cellStyle name="40% - Accent5 2 8 2 2" xfId="31990" xr:uid="{72A01699-70AD-4570-9752-E88CAF531ECC}"/>
    <cellStyle name="40% - Accent5 2 8 2 3" xfId="23549" xr:uid="{D3C9BDF1-9CCC-4804-8C0B-7ADC527E99AE}"/>
    <cellStyle name="40% - Accent5 2 8 2 4" xfId="15101" xr:uid="{214E53FA-7025-4E63-A301-82208B3DEBE1}"/>
    <cellStyle name="40% - Accent5 2 8 3" xfId="27772" xr:uid="{4478F6CC-3B5B-4B4C-80D3-8EFFA14385FD}"/>
    <cellStyle name="40% - Accent5 2 8 4" xfId="19331" xr:uid="{F4EBCE9E-B0ED-4407-ACF9-B7A8B5CAE354}"/>
    <cellStyle name="40% - Accent5 2 8 5" xfId="10883" xr:uid="{61780F54-C945-41CF-9A23-E4D4763CE304}"/>
    <cellStyle name="40% - Accent5 2 9" xfId="4585" xr:uid="{00000000-0005-0000-0000-000091060000}"/>
    <cellStyle name="40% - Accent5 2 9 2" xfId="29924" xr:uid="{DC10B389-50CE-4831-8401-A075B434675A}"/>
    <cellStyle name="40% - Accent5 2 9 3" xfId="21483" xr:uid="{C97D3E2F-7A27-409A-8858-5846B94F5BED}"/>
    <cellStyle name="40% - Accent5 2 9 4" xfId="13035" xr:uid="{3C28F162-8A65-49A2-952A-1E029E937A4B}"/>
    <cellStyle name="40% - Accent5 3" xfId="86" xr:uid="{00000000-0005-0000-0000-000092060000}"/>
    <cellStyle name="40% - Accent5 3 10" xfId="17269" xr:uid="{BEBFF56C-C0DB-4476-A5BD-3F0C0D1FB994}"/>
    <cellStyle name="40% - Accent5 3 11" xfId="8821" xr:uid="{721FCF51-1686-4CDB-9909-84AAD72307A8}"/>
    <cellStyle name="40% - Accent5 3 2" xfId="87" xr:uid="{00000000-0005-0000-0000-000093060000}"/>
    <cellStyle name="40% - Accent5 3 2 10" xfId="8822" xr:uid="{BFDA058F-C425-422D-8B81-BB5215F208E9}"/>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32488" xr:uid="{44A4CDB0-CA24-4398-93D3-C02E355A0E98}"/>
    <cellStyle name="40% - Accent5 3 2 2 2 2 3" xfId="24047" xr:uid="{F9618701-3654-4798-99FD-150A5EE5CF38}"/>
    <cellStyle name="40% - Accent5 3 2 2 2 2 4" xfId="15599" xr:uid="{72F7FD9F-1DE9-43DC-8699-032E1C1F203C}"/>
    <cellStyle name="40% - Accent5 3 2 2 2 3" xfId="28270" xr:uid="{2839EA9F-8E9E-46D8-9DBC-F9F914F06188}"/>
    <cellStyle name="40% - Accent5 3 2 2 2 4" xfId="19829" xr:uid="{B41E7C43-815A-44BB-8E8B-D08863C235E5}"/>
    <cellStyle name="40% - Accent5 3 2 2 2 5" xfId="11381" xr:uid="{7FA53915-80C1-4CE2-B728-FE0C7A328B64}"/>
    <cellStyle name="40% - Accent5 3 2 2 3" xfId="5004" xr:uid="{00000000-0005-0000-0000-000097060000}"/>
    <cellStyle name="40% - Accent5 3 2 2 3 2" xfId="30343" xr:uid="{7AFD8EB8-043B-440D-A7AE-DA76DCF86A20}"/>
    <cellStyle name="40% - Accent5 3 2 2 3 3" xfId="21902" xr:uid="{50CECA75-D21D-45F5-9E65-91A74F58FAF8}"/>
    <cellStyle name="40% - Accent5 3 2 2 3 4" xfId="13454" xr:uid="{CD4FEAAB-F657-4AE8-8383-DEDA59D2D474}"/>
    <cellStyle name="40% - Accent5 3 2 2 4" xfId="26125" xr:uid="{CFF4C02A-D6DF-4296-8C3F-97508EB0A8ED}"/>
    <cellStyle name="40% - Accent5 3 2 2 5" xfId="17684" xr:uid="{7C0F09D8-79F3-40EF-9188-FEB08CDFEF30}"/>
    <cellStyle name="40% - Accent5 3 2 2 6" xfId="9236" xr:uid="{465C4C5B-343D-4BA2-A4A2-C3040DB07BAB}"/>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32901" xr:uid="{6ECDAF2C-C711-4893-B892-415013808D2D}"/>
    <cellStyle name="40% - Accent5 3 2 3 2 2 3" xfId="24460" xr:uid="{55D52755-79E4-4D23-8A1A-0A42FA78D447}"/>
    <cellStyle name="40% - Accent5 3 2 3 2 2 4" xfId="16012" xr:uid="{5188C8BE-E0E9-4D29-AF0F-75D1D286FB39}"/>
    <cellStyle name="40% - Accent5 3 2 3 2 3" xfId="28683" xr:uid="{BCB73771-BEB2-4EC1-AED3-B23BBF04B3EE}"/>
    <cellStyle name="40% - Accent5 3 2 3 2 4" xfId="20242" xr:uid="{12BE5FBE-6001-4DC2-9A38-AF6532E71327}"/>
    <cellStyle name="40% - Accent5 3 2 3 2 5" xfId="11794" xr:uid="{D8FD6191-D6E4-462A-A6C0-B4FE66A8238C}"/>
    <cellStyle name="40% - Accent5 3 2 3 3" xfId="5417" xr:uid="{00000000-0005-0000-0000-00009B060000}"/>
    <cellStyle name="40% - Accent5 3 2 3 3 2" xfId="30756" xr:uid="{C1683496-5FD9-423B-9839-6C28F28484C8}"/>
    <cellStyle name="40% - Accent5 3 2 3 3 3" xfId="22315" xr:uid="{6FDEDA5F-0F80-4144-98FD-CD657CFB94CF}"/>
    <cellStyle name="40% - Accent5 3 2 3 3 4" xfId="13867" xr:uid="{CF978CC3-1ED9-4C89-AD16-41DAF76C7365}"/>
    <cellStyle name="40% - Accent5 3 2 3 4" xfId="26538" xr:uid="{34597878-9E43-4CCA-A1FD-F9E5A184154C}"/>
    <cellStyle name="40% - Accent5 3 2 3 5" xfId="18097" xr:uid="{47636452-B4AF-4357-BDEB-3D463A51FBA3}"/>
    <cellStyle name="40% - Accent5 3 2 3 6" xfId="9649" xr:uid="{ED9739FC-B1A7-429C-B06A-79617BDBCAB5}"/>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33314" xr:uid="{C6B3B0F6-C2E2-485D-B1DA-84776CBDE369}"/>
    <cellStyle name="40% - Accent5 3 2 4 2 2 3" xfId="24873" xr:uid="{B44132B9-1ABA-4E33-984B-1D63770AF66A}"/>
    <cellStyle name="40% - Accent5 3 2 4 2 2 4" xfId="16425" xr:uid="{F16E97D8-E6D9-4E53-9857-714777A47413}"/>
    <cellStyle name="40% - Accent5 3 2 4 2 3" xfId="29096" xr:uid="{A46C0000-4E28-4D6D-906E-73AC096610C4}"/>
    <cellStyle name="40% - Accent5 3 2 4 2 4" xfId="20655" xr:uid="{5D884149-AC3C-4AE1-917B-B0D47924F21B}"/>
    <cellStyle name="40% - Accent5 3 2 4 2 5" xfId="12207" xr:uid="{5E39B96C-10FA-4780-B090-23C75FA3D4E9}"/>
    <cellStyle name="40% - Accent5 3 2 4 3" xfId="5830" xr:uid="{00000000-0005-0000-0000-00009F060000}"/>
    <cellStyle name="40% - Accent5 3 2 4 3 2" xfId="31169" xr:uid="{FBE40082-114E-47F0-9059-A750F3286477}"/>
    <cellStyle name="40% - Accent5 3 2 4 3 3" xfId="22728" xr:uid="{1347249E-99E6-4999-AB41-0E36A456259A}"/>
    <cellStyle name="40% - Accent5 3 2 4 3 4" xfId="14280" xr:uid="{BE8B3DE5-F693-4943-A756-13A22BF81B76}"/>
    <cellStyle name="40% - Accent5 3 2 4 4" xfId="26951" xr:uid="{1B8C102F-9C8C-426D-81FD-1BE0621C26BF}"/>
    <cellStyle name="40% - Accent5 3 2 4 5" xfId="18510" xr:uid="{E5874439-59BF-4FE0-848C-36C6D3CF2F68}"/>
    <cellStyle name="40% - Accent5 3 2 4 6" xfId="10062" xr:uid="{A3A4B816-A96E-47F2-AC1F-46C19FF6D3B0}"/>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33727" xr:uid="{BAA64F97-EBCD-482C-A1F8-DFEF2D36F46A}"/>
    <cellStyle name="40% - Accent5 3 2 5 2 2 3" xfId="25286" xr:uid="{5FEE76A4-005D-49AA-9F8F-4CF65F8D5DBF}"/>
    <cellStyle name="40% - Accent5 3 2 5 2 2 4" xfId="16838" xr:uid="{E55D6059-A296-4A6D-BB1E-F4A028FEB29E}"/>
    <cellStyle name="40% - Accent5 3 2 5 2 3" xfId="29509" xr:uid="{86D8220D-DB16-4E30-B5AB-2A0CB270120B}"/>
    <cellStyle name="40% - Accent5 3 2 5 2 4" xfId="21068" xr:uid="{C13E8EE9-0AB6-4D78-8DC3-C344021C568D}"/>
    <cellStyle name="40% - Accent5 3 2 5 2 5" xfId="12620" xr:uid="{89BB03CC-1985-491F-9F1F-17AE5AAADDE2}"/>
    <cellStyle name="40% - Accent5 3 2 5 3" xfId="6243" xr:uid="{00000000-0005-0000-0000-0000A3060000}"/>
    <cellStyle name="40% - Accent5 3 2 5 3 2" xfId="31582" xr:uid="{3654A85F-70AA-4359-9D55-1B7EA1A5E484}"/>
    <cellStyle name="40% - Accent5 3 2 5 3 3" xfId="23141" xr:uid="{3F03DB35-B01C-4A13-966E-A127DBBE614D}"/>
    <cellStyle name="40% - Accent5 3 2 5 3 4" xfId="14693" xr:uid="{3C380C98-3385-4C84-9919-E0EE530E37D5}"/>
    <cellStyle name="40% - Accent5 3 2 5 4" xfId="27364" xr:uid="{13CE98F3-D8CC-450F-AB66-D5319EE9FED4}"/>
    <cellStyle name="40% - Accent5 3 2 5 5" xfId="18923" xr:uid="{EB12D814-7ED0-4985-8A65-33B3CFA312A6}"/>
    <cellStyle name="40% - Accent5 3 2 5 6" xfId="10475" xr:uid="{2F5FB287-4B29-4603-9D47-733D9813A4E6}"/>
    <cellStyle name="40% - Accent5 3 2 6" xfId="2350" xr:uid="{00000000-0005-0000-0000-0000A4060000}"/>
    <cellStyle name="40% - Accent5 3 2 6 2" xfId="6656" xr:uid="{00000000-0005-0000-0000-0000A5060000}"/>
    <cellStyle name="40% - Accent5 3 2 6 2 2" xfId="31995" xr:uid="{C8202780-559B-4112-B102-B3DAF135A6EB}"/>
    <cellStyle name="40% - Accent5 3 2 6 2 3" xfId="23554" xr:uid="{C40A8B02-D847-4270-9AE8-389C3D205B4C}"/>
    <cellStyle name="40% - Accent5 3 2 6 2 4" xfId="15106" xr:uid="{0EFB0B26-7DD7-4CE8-BA34-7F03B61A867F}"/>
    <cellStyle name="40% - Accent5 3 2 6 3" xfId="27777" xr:uid="{01F81D56-C80F-48A7-AD16-92B59190634A}"/>
    <cellStyle name="40% - Accent5 3 2 6 4" xfId="19336" xr:uid="{E1B7A8E0-3CC1-4E45-BB6C-84FCA1ECF215}"/>
    <cellStyle name="40% - Accent5 3 2 6 5" xfId="10888" xr:uid="{D5718DD3-AA0B-4725-A0AD-ACFD2E7C35A8}"/>
    <cellStyle name="40% - Accent5 3 2 7" xfId="4590" xr:uid="{00000000-0005-0000-0000-0000A6060000}"/>
    <cellStyle name="40% - Accent5 3 2 7 2" xfId="29929" xr:uid="{FDA10046-6034-416D-BB09-F3D260FD9ACF}"/>
    <cellStyle name="40% - Accent5 3 2 7 3" xfId="21488" xr:uid="{4E33ECCB-BF8D-466D-B95E-DAC6B440B98E}"/>
    <cellStyle name="40% - Accent5 3 2 7 4" xfId="13040" xr:uid="{0F597AB6-6A59-4192-8341-7D13331E3544}"/>
    <cellStyle name="40% - Accent5 3 2 8" xfId="25711" xr:uid="{97E729B2-F3A7-4F16-88E9-FD4F117ACE66}"/>
    <cellStyle name="40% - Accent5 3 2 9" xfId="17270" xr:uid="{4BDB5273-6FE9-4243-9338-E648332EA339}"/>
    <cellStyle name="40% - Accent5 3 3" xfId="655" xr:uid="{00000000-0005-0000-0000-0000A7060000}"/>
    <cellStyle name="40% - Accent5 3 3 2" xfId="2926" xr:uid="{00000000-0005-0000-0000-0000A8060000}"/>
    <cellStyle name="40% - Accent5 3 3 2 2" xfId="7148" xr:uid="{00000000-0005-0000-0000-0000A9060000}"/>
    <cellStyle name="40% - Accent5 3 3 2 2 2" xfId="32487" xr:uid="{4480625C-3ACF-4523-B879-0B143F22ACDC}"/>
    <cellStyle name="40% - Accent5 3 3 2 2 3" xfId="24046" xr:uid="{BCE507C5-027E-4CA3-AC4A-EA8DEE2AF7AE}"/>
    <cellStyle name="40% - Accent5 3 3 2 2 4" xfId="15598" xr:uid="{4C9699E6-11CC-42AD-B014-90A56260100E}"/>
    <cellStyle name="40% - Accent5 3 3 2 3" xfId="28269" xr:uid="{D5C44C39-8EAD-4101-8812-01B33F5A79A0}"/>
    <cellStyle name="40% - Accent5 3 3 2 4" xfId="19828" xr:uid="{1046EEE5-7723-4010-A371-5BBB2CA6C377}"/>
    <cellStyle name="40% - Accent5 3 3 2 5" xfId="11380" xr:uid="{65E76D3E-E9D4-4C63-8897-84458DFFECA7}"/>
    <cellStyle name="40% - Accent5 3 3 3" xfId="5003" xr:uid="{00000000-0005-0000-0000-0000AA060000}"/>
    <cellStyle name="40% - Accent5 3 3 3 2" xfId="30342" xr:uid="{C1200279-AAD3-47AB-A9C9-E1F55E0E4C83}"/>
    <cellStyle name="40% - Accent5 3 3 3 3" xfId="21901" xr:uid="{F863052C-BFF7-46A5-A7EC-01AEC208EFC7}"/>
    <cellStyle name="40% - Accent5 3 3 3 4" xfId="13453" xr:uid="{F85D65A5-46FE-49FA-8131-194C83BF022A}"/>
    <cellStyle name="40% - Accent5 3 3 4" xfId="26124" xr:uid="{EF001786-517A-4E31-A8DF-BCC2F8908AE2}"/>
    <cellStyle name="40% - Accent5 3 3 5" xfId="17683" xr:uid="{5412BA59-E760-48DD-B3AB-77B7689A77CB}"/>
    <cellStyle name="40% - Accent5 3 3 6" xfId="9235" xr:uid="{6F62536A-B756-486A-BF3C-030464BAF3B1}"/>
    <cellStyle name="40% - Accent5 3 4" xfId="1108" xr:uid="{00000000-0005-0000-0000-0000AB060000}"/>
    <cellStyle name="40% - Accent5 3 4 2" xfId="3339" xr:uid="{00000000-0005-0000-0000-0000AC060000}"/>
    <cellStyle name="40% - Accent5 3 4 2 2" xfId="7561" xr:uid="{00000000-0005-0000-0000-0000AD060000}"/>
    <cellStyle name="40% - Accent5 3 4 2 2 2" xfId="32900" xr:uid="{249C1DAE-6927-4406-81D0-7111DCE62930}"/>
    <cellStyle name="40% - Accent5 3 4 2 2 3" xfId="24459" xr:uid="{2179E817-5103-4F0A-8519-877DC03C0FEC}"/>
    <cellStyle name="40% - Accent5 3 4 2 2 4" xfId="16011" xr:uid="{7FCDA3C5-04AC-4C68-A172-520BCBECE1FB}"/>
    <cellStyle name="40% - Accent5 3 4 2 3" xfId="28682" xr:uid="{36E1B0CD-4468-4153-B364-7F94C0412687}"/>
    <cellStyle name="40% - Accent5 3 4 2 4" xfId="20241" xr:uid="{20F203F8-B778-46ED-9DCB-601DBCF2F2A0}"/>
    <cellStyle name="40% - Accent5 3 4 2 5" xfId="11793" xr:uid="{F61EA9F3-E340-4C92-B0A7-AD9C147CDB07}"/>
    <cellStyle name="40% - Accent5 3 4 3" xfId="5416" xr:uid="{00000000-0005-0000-0000-0000AE060000}"/>
    <cellStyle name="40% - Accent5 3 4 3 2" xfId="30755" xr:uid="{9FB8D293-788B-425D-8638-3DD0E837C352}"/>
    <cellStyle name="40% - Accent5 3 4 3 3" xfId="22314" xr:uid="{D7CEE39D-781C-4B76-B7E1-10F45F6D9AE8}"/>
    <cellStyle name="40% - Accent5 3 4 3 4" xfId="13866" xr:uid="{479730F0-0A69-4096-940C-1175A159007D}"/>
    <cellStyle name="40% - Accent5 3 4 4" xfId="26537" xr:uid="{8FF93E9E-220B-4277-8049-49DBCD2E0809}"/>
    <cellStyle name="40% - Accent5 3 4 5" xfId="18096" xr:uid="{ADBCFC88-BFFA-41F1-9A47-3E1DEF1212C2}"/>
    <cellStyle name="40% - Accent5 3 4 6" xfId="9648" xr:uid="{9804A738-123A-4918-B4D4-02E9971A7E30}"/>
    <cellStyle name="40% - Accent5 3 5" xfId="1522" xr:uid="{00000000-0005-0000-0000-0000AF060000}"/>
    <cellStyle name="40% - Accent5 3 5 2" xfId="3752" xr:uid="{00000000-0005-0000-0000-0000B0060000}"/>
    <cellStyle name="40% - Accent5 3 5 2 2" xfId="7974" xr:uid="{00000000-0005-0000-0000-0000B1060000}"/>
    <cellStyle name="40% - Accent5 3 5 2 2 2" xfId="33313" xr:uid="{8769C050-9CD9-45FA-B59E-8A65C2A61A83}"/>
    <cellStyle name="40% - Accent5 3 5 2 2 3" xfId="24872" xr:uid="{FAD4F5BC-F7D3-4417-BA50-9B96EC132701}"/>
    <cellStyle name="40% - Accent5 3 5 2 2 4" xfId="16424" xr:uid="{D829C4F6-40AC-4CB7-80C4-501BE4C59D37}"/>
    <cellStyle name="40% - Accent5 3 5 2 3" xfId="29095" xr:uid="{A4C54015-9B1C-4BA7-B36D-0B0647758ACB}"/>
    <cellStyle name="40% - Accent5 3 5 2 4" xfId="20654" xr:uid="{E30E4C5B-8B3E-409D-88EC-CDEA8E676FF4}"/>
    <cellStyle name="40% - Accent5 3 5 2 5" xfId="12206" xr:uid="{7340D2FF-3797-476B-9A30-4CF6A1435EE3}"/>
    <cellStyle name="40% - Accent5 3 5 3" xfId="5829" xr:uid="{00000000-0005-0000-0000-0000B2060000}"/>
    <cellStyle name="40% - Accent5 3 5 3 2" xfId="31168" xr:uid="{00B7B54E-574E-40E0-B4EE-3BD8A6AD5C6B}"/>
    <cellStyle name="40% - Accent5 3 5 3 3" xfId="22727" xr:uid="{35DD559A-A165-4A7A-88FE-37A1E70EF3D9}"/>
    <cellStyle name="40% - Accent5 3 5 3 4" xfId="14279" xr:uid="{8203A1F0-0BB5-45B7-8D21-72993EBAADF7}"/>
    <cellStyle name="40% - Accent5 3 5 4" xfId="26950" xr:uid="{860C9C25-FABF-487B-A601-0C66C29B7EA5}"/>
    <cellStyle name="40% - Accent5 3 5 5" xfId="18509" xr:uid="{A197732D-AAAF-41F6-A51F-476CEB65F619}"/>
    <cellStyle name="40% - Accent5 3 5 6" xfId="10061" xr:uid="{ABBAF561-496F-4AC5-B4AD-0A5ED9B39D76}"/>
    <cellStyle name="40% - Accent5 3 6" xfId="1936" xr:uid="{00000000-0005-0000-0000-0000B3060000}"/>
    <cellStyle name="40% - Accent5 3 6 2" xfId="4165" xr:uid="{00000000-0005-0000-0000-0000B4060000}"/>
    <cellStyle name="40% - Accent5 3 6 2 2" xfId="8387" xr:uid="{00000000-0005-0000-0000-0000B5060000}"/>
    <cellStyle name="40% - Accent5 3 6 2 2 2" xfId="33726" xr:uid="{88B3FAE2-5797-4023-BC35-EAE7BE7BEF8B}"/>
    <cellStyle name="40% - Accent5 3 6 2 2 3" xfId="25285" xr:uid="{8E754D0F-3222-45D8-AE1B-9DE612D10A2A}"/>
    <cellStyle name="40% - Accent5 3 6 2 2 4" xfId="16837" xr:uid="{9E47F1B1-878E-4BD4-83C8-7A27A306B9DE}"/>
    <cellStyle name="40% - Accent5 3 6 2 3" xfId="29508" xr:uid="{2ADBC719-5BD8-4A05-AABF-9252396DB5AF}"/>
    <cellStyle name="40% - Accent5 3 6 2 4" xfId="21067" xr:uid="{EE00BA95-CADF-4ACB-A6E5-FD3760BC2291}"/>
    <cellStyle name="40% - Accent5 3 6 2 5" xfId="12619" xr:uid="{AE0A6FF5-E4E7-4657-8B3E-7989F7792B08}"/>
    <cellStyle name="40% - Accent5 3 6 3" xfId="6242" xr:uid="{00000000-0005-0000-0000-0000B6060000}"/>
    <cellStyle name="40% - Accent5 3 6 3 2" xfId="31581" xr:uid="{33FEDDA6-796A-498C-81D6-678B6D99A068}"/>
    <cellStyle name="40% - Accent5 3 6 3 3" xfId="23140" xr:uid="{8E844918-D0DD-4EBD-9D69-E2838577F25E}"/>
    <cellStyle name="40% - Accent5 3 6 3 4" xfId="14692" xr:uid="{578615F1-E4BF-4157-BAC9-E58766FEAF99}"/>
    <cellStyle name="40% - Accent5 3 6 4" xfId="27363" xr:uid="{A63E0DA0-48CC-4668-8A21-E2BED6F2ECA7}"/>
    <cellStyle name="40% - Accent5 3 6 5" xfId="18922" xr:uid="{106D2150-9BC3-4B09-8D11-95C8A812F0B1}"/>
    <cellStyle name="40% - Accent5 3 6 6" xfId="10474" xr:uid="{25DE85F3-E67E-4C2E-BF2A-AF3998CD3AD1}"/>
    <cellStyle name="40% - Accent5 3 7" xfId="2349" xr:uid="{00000000-0005-0000-0000-0000B7060000}"/>
    <cellStyle name="40% - Accent5 3 7 2" xfId="6655" xr:uid="{00000000-0005-0000-0000-0000B8060000}"/>
    <cellStyle name="40% - Accent5 3 7 2 2" xfId="31994" xr:uid="{EE565904-AF14-4CA8-9DBE-C0E9F175B836}"/>
    <cellStyle name="40% - Accent5 3 7 2 3" xfId="23553" xr:uid="{7A83CA31-280A-42A6-A543-228C228D023D}"/>
    <cellStyle name="40% - Accent5 3 7 2 4" xfId="15105" xr:uid="{C25A5EFF-B168-494F-943B-9BFD8D660AA0}"/>
    <cellStyle name="40% - Accent5 3 7 3" xfId="27776" xr:uid="{9742EC06-7D16-47E6-A14E-601BDD942167}"/>
    <cellStyle name="40% - Accent5 3 7 4" xfId="19335" xr:uid="{888142A4-C2A9-45AA-8F1B-951A68203B54}"/>
    <cellStyle name="40% - Accent5 3 7 5" xfId="10887" xr:uid="{B3FA7CA4-E8D5-4B68-976A-DAA6762B0608}"/>
    <cellStyle name="40% - Accent5 3 8" xfId="4589" xr:uid="{00000000-0005-0000-0000-0000B9060000}"/>
    <cellStyle name="40% - Accent5 3 8 2" xfId="29928" xr:uid="{4B1CF01D-A689-464F-BA6F-FC3601EDFB35}"/>
    <cellStyle name="40% - Accent5 3 8 3" xfId="21487" xr:uid="{25112ECC-48E0-4EC4-9D7C-3392CE6E877B}"/>
    <cellStyle name="40% - Accent5 3 8 4" xfId="13039" xr:uid="{2B684B72-8F1D-4DB0-B32A-49C52398E4AC}"/>
    <cellStyle name="40% - Accent5 3 9" xfId="25710" xr:uid="{415962FF-EB24-4C2D-B297-E586BA99ED8E}"/>
    <cellStyle name="40% - Accent5 4" xfId="88" xr:uid="{00000000-0005-0000-0000-0000BA060000}"/>
    <cellStyle name="40% - Accent5 4 10" xfId="8823" xr:uid="{7B7B1509-446D-4898-AF5D-1FE1A6255F48}"/>
    <cellStyle name="40% - Accent5 4 2" xfId="657" xr:uid="{00000000-0005-0000-0000-0000BB060000}"/>
    <cellStyle name="40% - Accent5 4 2 2" xfId="2928" xr:uid="{00000000-0005-0000-0000-0000BC060000}"/>
    <cellStyle name="40% - Accent5 4 2 2 2" xfId="7150" xr:uid="{00000000-0005-0000-0000-0000BD060000}"/>
    <cellStyle name="40% - Accent5 4 2 2 2 2" xfId="32489" xr:uid="{5B3077FB-9E03-45EB-8EAD-59ECADCAAA41}"/>
    <cellStyle name="40% - Accent5 4 2 2 2 3" xfId="24048" xr:uid="{DEEFB4EC-AB8A-489E-9EF2-9CB0031E4A76}"/>
    <cellStyle name="40% - Accent5 4 2 2 2 4" xfId="15600" xr:uid="{A2EB1FEF-E9DD-40D2-B81F-A836CE147175}"/>
    <cellStyle name="40% - Accent5 4 2 2 3" xfId="28271" xr:uid="{9CE975BF-04B7-449E-A517-9C34E6ED4CD3}"/>
    <cellStyle name="40% - Accent5 4 2 2 4" xfId="19830" xr:uid="{718B5D14-9D9A-4838-B469-8AF5566C5D41}"/>
    <cellStyle name="40% - Accent5 4 2 2 5" xfId="11382" xr:uid="{DDD8A4FA-C30F-42E9-B8D3-02F252DE2B4B}"/>
    <cellStyle name="40% - Accent5 4 2 3" xfId="5005" xr:uid="{00000000-0005-0000-0000-0000BE060000}"/>
    <cellStyle name="40% - Accent5 4 2 3 2" xfId="30344" xr:uid="{28B90931-69BA-430E-A10A-6AA9FC7B89ED}"/>
    <cellStyle name="40% - Accent5 4 2 3 3" xfId="21903" xr:uid="{004316D3-3486-4591-9DD6-D39B3B78A329}"/>
    <cellStyle name="40% - Accent5 4 2 3 4" xfId="13455" xr:uid="{C106C926-A566-47B8-9C5E-C8FA48988507}"/>
    <cellStyle name="40% - Accent5 4 2 4" xfId="26126" xr:uid="{9518E880-3A30-499C-ACE0-63F29349D961}"/>
    <cellStyle name="40% - Accent5 4 2 5" xfId="17685" xr:uid="{3C821B2F-37A2-4565-A2E5-7BF784E5022F}"/>
    <cellStyle name="40% - Accent5 4 2 6" xfId="9237" xr:uid="{EC1BA81F-5B97-4804-B826-104718FED60E}"/>
    <cellStyle name="40% - Accent5 4 3" xfId="1110" xr:uid="{00000000-0005-0000-0000-0000BF060000}"/>
    <cellStyle name="40% - Accent5 4 3 2" xfId="3341" xr:uid="{00000000-0005-0000-0000-0000C0060000}"/>
    <cellStyle name="40% - Accent5 4 3 2 2" xfId="7563" xr:uid="{00000000-0005-0000-0000-0000C1060000}"/>
    <cellStyle name="40% - Accent5 4 3 2 2 2" xfId="32902" xr:uid="{7F32CEF3-A256-43A6-9E35-28EF08B3E76F}"/>
    <cellStyle name="40% - Accent5 4 3 2 2 3" xfId="24461" xr:uid="{3EB2E4E2-1B9D-4031-B82A-E4FC836337DA}"/>
    <cellStyle name="40% - Accent5 4 3 2 2 4" xfId="16013" xr:uid="{A394595B-C7D3-4A0D-92EE-687BDCC08640}"/>
    <cellStyle name="40% - Accent5 4 3 2 3" xfId="28684" xr:uid="{30EE2774-146A-4B97-BEFE-F527BCF41F48}"/>
    <cellStyle name="40% - Accent5 4 3 2 4" xfId="20243" xr:uid="{ABF21ECF-2818-4E61-8A16-B5EBD190DC62}"/>
    <cellStyle name="40% - Accent5 4 3 2 5" xfId="11795" xr:uid="{8AEC87C8-32CB-47B7-9459-95BEB98D5D11}"/>
    <cellStyle name="40% - Accent5 4 3 3" xfId="5418" xr:uid="{00000000-0005-0000-0000-0000C2060000}"/>
    <cellStyle name="40% - Accent5 4 3 3 2" xfId="30757" xr:uid="{2FB8129A-DF40-4A11-A77C-CA6F69759499}"/>
    <cellStyle name="40% - Accent5 4 3 3 3" xfId="22316" xr:uid="{1DCA6426-D51E-4F71-BDBB-718FCF670541}"/>
    <cellStyle name="40% - Accent5 4 3 3 4" xfId="13868" xr:uid="{222DB51B-8CC5-489C-8E89-A27BA9CEC49C}"/>
    <cellStyle name="40% - Accent5 4 3 4" xfId="26539" xr:uid="{D3BF028C-D3AE-4724-9B2E-81F3C2CAF20E}"/>
    <cellStyle name="40% - Accent5 4 3 5" xfId="18098" xr:uid="{FD49052E-B9BB-4566-A080-334BA09A862C}"/>
    <cellStyle name="40% - Accent5 4 3 6" xfId="9650" xr:uid="{C6C94771-DBBB-44E5-9D3F-F896ABE45B71}"/>
    <cellStyle name="40% - Accent5 4 4" xfId="1524" xr:uid="{00000000-0005-0000-0000-0000C3060000}"/>
    <cellStyle name="40% - Accent5 4 4 2" xfId="3754" xr:uid="{00000000-0005-0000-0000-0000C4060000}"/>
    <cellStyle name="40% - Accent5 4 4 2 2" xfId="7976" xr:uid="{00000000-0005-0000-0000-0000C5060000}"/>
    <cellStyle name="40% - Accent5 4 4 2 2 2" xfId="33315" xr:uid="{C7306216-CEF8-4A87-8107-4D7CEACCA8F5}"/>
    <cellStyle name="40% - Accent5 4 4 2 2 3" xfId="24874" xr:uid="{29A23667-3680-43BD-878D-EF1C30E52182}"/>
    <cellStyle name="40% - Accent5 4 4 2 2 4" xfId="16426" xr:uid="{37411FFE-8659-44C7-AAA4-3357514A36B7}"/>
    <cellStyle name="40% - Accent5 4 4 2 3" xfId="29097" xr:uid="{87A26828-9EE2-4AB3-9BCD-8D69BC146346}"/>
    <cellStyle name="40% - Accent5 4 4 2 4" xfId="20656" xr:uid="{D6AE7423-AE61-4B69-8481-0F5D07324919}"/>
    <cellStyle name="40% - Accent5 4 4 2 5" xfId="12208" xr:uid="{CB2DF740-A3DA-4CED-B7C5-84C530241DB7}"/>
    <cellStyle name="40% - Accent5 4 4 3" xfId="5831" xr:uid="{00000000-0005-0000-0000-0000C6060000}"/>
    <cellStyle name="40% - Accent5 4 4 3 2" xfId="31170" xr:uid="{A2B8CA68-FBE0-4BE8-B295-C404344A1FF9}"/>
    <cellStyle name="40% - Accent5 4 4 3 3" xfId="22729" xr:uid="{CCD908AE-C9DC-447D-ABA0-046EB2303D0A}"/>
    <cellStyle name="40% - Accent5 4 4 3 4" xfId="14281" xr:uid="{9A418CA6-CA1D-46BF-8210-66A5B8E6F069}"/>
    <cellStyle name="40% - Accent5 4 4 4" xfId="26952" xr:uid="{8C69F667-2279-4A92-9624-CB29092ABEBD}"/>
    <cellStyle name="40% - Accent5 4 4 5" xfId="18511" xr:uid="{2A748DF8-8D7E-4E7A-A532-20C2BD42F5EC}"/>
    <cellStyle name="40% - Accent5 4 4 6" xfId="10063" xr:uid="{13DF8891-09E0-437A-9A2E-39E56554A1B8}"/>
    <cellStyle name="40% - Accent5 4 5" xfId="1938" xr:uid="{00000000-0005-0000-0000-0000C7060000}"/>
    <cellStyle name="40% - Accent5 4 5 2" xfId="4167" xr:uid="{00000000-0005-0000-0000-0000C8060000}"/>
    <cellStyle name="40% - Accent5 4 5 2 2" xfId="8389" xr:uid="{00000000-0005-0000-0000-0000C9060000}"/>
    <cellStyle name="40% - Accent5 4 5 2 2 2" xfId="33728" xr:uid="{5E06BDA6-5630-4DFA-AFC8-3B0349EBF03F}"/>
    <cellStyle name="40% - Accent5 4 5 2 2 3" xfId="25287" xr:uid="{3460DC77-7182-4326-A4B1-2C0513ED3CC4}"/>
    <cellStyle name="40% - Accent5 4 5 2 2 4" xfId="16839" xr:uid="{64F75954-79A7-4080-8661-5B6E901DA996}"/>
    <cellStyle name="40% - Accent5 4 5 2 3" xfId="29510" xr:uid="{D07DF314-4626-4A6E-9FC5-C9B1F2973C17}"/>
    <cellStyle name="40% - Accent5 4 5 2 4" xfId="21069" xr:uid="{BF37A80B-2A61-4803-971A-1CECB3BEC4B1}"/>
    <cellStyle name="40% - Accent5 4 5 2 5" xfId="12621" xr:uid="{DE013FE2-C0C0-4DF8-AA4A-9737266E6204}"/>
    <cellStyle name="40% - Accent5 4 5 3" xfId="6244" xr:uid="{00000000-0005-0000-0000-0000CA060000}"/>
    <cellStyle name="40% - Accent5 4 5 3 2" xfId="31583" xr:uid="{03126D42-8C35-41A8-8FAA-9616EC343BFB}"/>
    <cellStyle name="40% - Accent5 4 5 3 3" xfId="23142" xr:uid="{E6D64AC2-706F-4B47-9AD3-A1D8E8756067}"/>
    <cellStyle name="40% - Accent5 4 5 3 4" xfId="14694" xr:uid="{D2B4B7AD-5D05-46A1-B463-239A1FC77699}"/>
    <cellStyle name="40% - Accent5 4 5 4" xfId="27365" xr:uid="{06697116-957F-4CE5-9967-6008541CF0D6}"/>
    <cellStyle name="40% - Accent5 4 5 5" xfId="18924" xr:uid="{EC0D7482-CABE-4D5D-82DB-8B923BA0A6C5}"/>
    <cellStyle name="40% - Accent5 4 5 6" xfId="10476" xr:uid="{3D0F9673-53E2-4444-B2B0-91373D49CD67}"/>
    <cellStyle name="40% - Accent5 4 6" xfId="2351" xr:uid="{00000000-0005-0000-0000-0000CB060000}"/>
    <cellStyle name="40% - Accent5 4 6 2" xfId="6657" xr:uid="{00000000-0005-0000-0000-0000CC060000}"/>
    <cellStyle name="40% - Accent5 4 6 2 2" xfId="31996" xr:uid="{ACA677E3-F554-4EC3-A257-075DB28002CC}"/>
    <cellStyle name="40% - Accent5 4 6 2 3" xfId="23555" xr:uid="{D8AB3C2E-3BF8-416B-8D34-624520CF10E2}"/>
    <cellStyle name="40% - Accent5 4 6 2 4" xfId="15107" xr:uid="{BC629C19-341E-4AC2-824C-0DD7DEC28BB9}"/>
    <cellStyle name="40% - Accent5 4 6 3" xfId="27778" xr:uid="{C1125920-C8AD-4856-A69F-16FF2BB15413}"/>
    <cellStyle name="40% - Accent5 4 6 4" xfId="19337" xr:uid="{0717A386-6C3D-44B6-806D-4B5D69F691FC}"/>
    <cellStyle name="40% - Accent5 4 6 5" xfId="10889" xr:uid="{328DD007-2852-4FA7-85FF-A9E5AAB43238}"/>
    <cellStyle name="40% - Accent5 4 7" xfId="4591" xr:uid="{00000000-0005-0000-0000-0000CD060000}"/>
    <cellStyle name="40% - Accent5 4 7 2" xfId="29930" xr:uid="{2853EBD0-A9C4-4412-806A-1F8E0E66A3BE}"/>
    <cellStyle name="40% - Accent5 4 7 3" xfId="21489" xr:uid="{19BC93D8-C60C-43A8-BD9F-73808F858AFF}"/>
    <cellStyle name="40% - Accent5 4 7 4" xfId="13041" xr:uid="{B20CFAFC-5D0B-414C-A2AE-70B965960657}"/>
    <cellStyle name="40% - Accent5 4 8" xfId="25712" xr:uid="{64B61586-F4CB-48AE-B74A-11703FF1355E}"/>
    <cellStyle name="40% - Accent5 4 9" xfId="17271" xr:uid="{16148C81-DA7A-415E-98CD-B5192C8FDC7A}"/>
    <cellStyle name="40% - Accent5 5" xfId="650" xr:uid="{00000000-0005-0000-0000-0000CE060000}"/>
    <cellStyle name="40% - Accent5 5 2" xfId="2921" xr:uid="{00000000-0005-0000-0000-0000CF060000}"/>
    <cellStyle name="40% - Accent5 5 2 2" xfId="7143" xr:uid="{00000000-0005-0000-0000-0000D0060000}"/>
    <cellStyle name="40% - Accent5 5 2 2 2" xfId="32482" xr:uid="{41204018-C6AA-47D6-8806-2CD2E1EF0137}"/>
    <cellStyle name="40% - Accent5 5 2 2 3" xfId="24041" xr:uid="{71F3A85A-61FC-4650-A417-58DE9A98F95D}"/>
    <cellStyle name="40% - Accent5 5 2 2 4" xfId="15593" xr:uid="{ADF1D8C2-A9ED-4AF3-8D4F-2D203F0FB6DE}"/>
    <cellStyle name="40% - Accent5 5 2 3" xfId="28264" xr:uid="{F6430CA5-49B3-4CB1-B499-B4549D99AAF9}"/>
    <cellStyle name="40% - Accent5 5 2 4" xfId="19823" xr:uid="{E5DCCF62-EFBA-4FDA-8A46-80E4BD678406}"/>
    <cellStyle name="40% - Accent5 5 2 5" xfId="11375" xr:uid="{EE6451F2-249B-46F0-9A5D-944E9F1ED228}"/>
    <cellStyle name="40% - Accent5 5 3" xfId="4998" xr:uid="{00000000-0005-0000-0000-0000D1060000}"/>
    <cellStyle name="40% - Accent5 5 3 2" xfId="30337" xr:uid="{24C0B151-D87D-4791-B9B8-E195865DCBD3}"/>
    <cellStyle name="40% - Accent5 5 3 3" xfId="21896" xr:uid="{A4038907-B798-4708-91CD-CA320504A49C}"/>
    <cellStyle name="40% - Accent5 5 3 4" xfId="13448" xr:uid="{AD232910-1A9E-4431-9C0F-57504AD0073A}"/>
    <cellStyle name="40% - Accent5 5 4" xfId="26119" xr:uid="{4338F484-3B88-419F-BAF7-9945E1C6BFC0}"/>
    <cellStyle name="40% - Accent5 5 5" xfId="17678" xr:uid="{4B238C6C-4DBE-4A03-B07F-453488D25323}"/>
    <cellStyle name="40% - Accent5 5 6" xfId="9230" xr:uid="{A3D82A50-F498-49C3-A096-D7ACE11F128A}"/>
    <cellStyle name="40% - Accent5 6" xfId="1103" xr:uid="{00000000-0005-0000-0000-0000D2060000}"/>
    <cellStyle name="40% - Accent5 6 2" xfId="3334" xr:uid="{00000000-0005-0000-0000-0000D3060000}"/>
    <cellStyle name="40% - Accent5 6 2 2" xfId="7556" xr:uid="{00000000-0005-0000-0000-0000D4060000}"/>
    <cellStyle name="40% - Accent5 6 2 2 2" xfId="32895" xr:uid="{41FD4BEE-8042-4BAB-BA29-5ABF9667A736}"/>
    <cellStyle name="40% - Accent5 6 2 2 3" xfId="24454" xr:uid="{A7F61F99-B4D3-40B5-A809-7DFC37DF31EA}"/>
    <cellStyle name="40% - Accent5 6 2 2 4" xfId="16006" xr:uid="{10C4308C-C063-49D9-8A01-4B81F4791DC8}"/>
    <cellStyle name="40% - Accent5 6 2 3" xfId="28677" xr:uid="{4BB18821-1272-4736-8823-57EA840DFBEF}"/>
    <cellStyle name="40% - Accent5 6 2 4" xfId="20236" xr:uid="{8E45124D-F42E-45A8-870C-6DA300D653FB}"/>
    <cellStyle name="40% - Accent5 6 2 5" xfId="11788" xr:uid="{5A73C0A2-36A8-4DD3-AED2-9409B21BE8CA}"/>
    <cellStyle name="40% - Accent5 6 3" xfId="5411" xr:uid="{00000000-0005-0000-0000-0000D5060000}"/>
    <cellStyle name="40% - Accent5 6 3 2" xfId="30750" xr:uid="{BC4E30BD-299A-4B77-B748-46FD1C88063E}"/>
    <cellStyle name="40% - Accent5 6 3 3" xfId="22309" xr:uid="{067CC0C4-4526-47AE-A57F-409093CBF0E2}"/>
    <cellStyle name="40% - Accent5 6 3 4" xfId="13861" xr:uid="{2D572BCA-1597-4904-8402-3CC40BFB4E66}"/>
    <cellStyle name="40% - Accent5 6 4" xfId="26532" xr:uid="{46E28D7B-FED5-4C27-8EA1-61EE9FF5F4E8}"/>
    <cellStyle name="40% - Accent5 6 5" xfId="18091" xr:uid="{468F0BDC-28AE-47F2-80FB-CA2DA49BCCBA}"/>
    <cellStyle name="40% - Accent5 6 6" xfId="9643" xr:uid="{432EC9FF-245C-4A5E-AB40-9B41846A1E2B}"/>
    <cellStyle name="40% - Accent5 7" xfId="1517" xr:uid="{00000000-0005-0000-0000-0000D6060000}"/>
    <cellStyle name="40% - Accent5 7 2" xfId="3747" xr:uid="{00000000-0005-0000-0000-0000D7060000}"/>
    <cellStyle name="40% - Accent5 7 2 2" xfId="7969" xr:uid="{00000000-0005-0000-0000-0000D8060000}"/>
    <cellStyle name="40% - Accent5 7 2 2 2" xfId="33308" xr:uid="{0E13F050-758A-48B7-8C0B-14B1CA9E09E4}"/>
    <cellStyle name="40% - Accent5 7 2 2 3" xfId="24867" xr:uid="{45BDD25D-CF9F-4A8E-9D0A-B9FE107A825A}"/>
    <cellStyle name="40% - Accent5 7 2 2 4" xfId="16419" xr:uid="{9ED1A711-8824-4F87-82D1-B0043D58CDE2}"/>
    <cellStyle name="40% - Accent5 7 2 3" xfId="29090" xr:uid="{B3505C7C-3F1B-4052-A0EE-419EBA48C8AE}"/>
    <cellStyle name="40% - Accent5 7 2 4" xfId="20649" xr:uid="{8A0C028C-ECAB-4CF2-9803-7DA8A59B4E92}"/>
    <cellStyle name="40% - Accent5 7 2 5" xfId="12201" xr:uid="{D6A0C415-D900-426E-9940-E8F57DB1879C}"/>
    <cellStyle name="40% - Accent5 7 3" xfId="5824" xr:uid="{00000000-0005-0000-0000-0000D9060000}"/>
    <cellStyle name="40% - Accent5 7 3 2" xfId="31163" xr:uid="{568BD341-E244-4669-9692-328BB7F57688}"/>
    <cellStyle name="40% - Accent5 7 3 3" xfId="22722" xr:uid="{C7DE109C-5F7D-4314-BA32-28719FE6468B}"/>
    <cellStyle name="40% - Accent5 7 3 4" xfId="14274" xr:uid="{FDC87674-082E-4414-9151-F605112C26F1}"/>
    <cellStyle name="40% - Accent5 7 4" xfId="26945" xr:uid="{A836FC13-BD0A-4D9E-8931-6A6E74EFF0AF}"/>
    <cellStyle name="40% - Accent5 7 5" xfId="18504" xr:uid="{42F863F5-93C6-4A9F-A466-0190D72377B5}"/>
    <cellStyle name="40% - Accent5 7 6" xfId="10056" xr:uid="{33E2C5FB-A369-4E7D-9B77-D56C74FF24B5}"/>
    <cellStyle name="40% - Accent5 8" xfId="1931" xr:uid="{00000000-0005-0000-0000-0000DA060000}"/>
    <cellStyle name="40% - Accent5 8 2" xfId="4160" xr:uid="{00000000-0005-0000-0000-0000DB060000}"/>
    <cellStyle name="40% - Accent5 8 2 2" xfId="8382" xr:uid="{00000000-0005-0000-0000-0000DC060000}"/>
    <cellStyle name="40% - Accent5 8 2 2 2" xfId="33721" xr:uid="{9FA17E02-4B24-476C-9B3A-0F7C17CEC9C4}"/>
    <cellStyle name="40% - Accent5 8 2 2 3" xfId="25280" xr:uid="{A93E899C-52DB-439C-A869-C9E5F9C5F87B}"/>
    <cellStyle name="40% - Accent5 8 2 2 4" xfId="16832" xr:uid="{97A0BE72-E68D-4720-B988-BAA7421426CD}"/>
    <cellStyle name="40% - Accent5 8 2 3" xfId="29503" xr:uid="{4905730D-0EB6-4C33-82CF-ADCD88AC74E1}"/>
    <cellStyle name="40% - Accent5 8 2 4" xfId="21062" xr:uid="{BA555265-09AF-4B16-901F-4899A8748C2E}"/>
    <cellStyle name="40% - Accent5 8 2 5" xfId="12614" xr:uid="{A87D29D4-D45C-4624-88C9-84F0EE709FFB}"/>
    <cellStyle name="40% - Accent5 8 3" xfId="6237" xr:uid="{00000000-0005-0000-0000-0000DD060000}"/>
    <cellStyle name="40% - Accent5 8 3 2" xfId="31576" xr:uid="{48FFBCCE-AC73-4922-A200-9BA7A9C81D7F}"/>
    <cellStyle name="40% - Accent5 8 3 3" xfId="23135" xr:uid="{24987AEC-4CEE-47D1-9300-4336426CF37A}"/>
    <cellStyle name="40% - Accent5 8 3 4" xfId="14687" xr:uid="{389EF69E-BCC5-4C67-923F-477F8F3F54B0}"/>
    <cellStyle name="40% - Accent5 8 4" xfId="27358" xr:uid="{4FEC10FE-FF38-4BCC-A44F-DD35A34CFD2E}"/>
    <cellStyle name="40% - Accent5 8 5" xfId="18917" xr:uid="{11D20565-FCC8-483E-88E1-76D2109CF025}"/>
    <cellStyle name="40% - Accent5 8 6" xfId="10469" xr:uid="{B92E3D8E-40F8-4CCD-AF3E-F22370B916B1}"/>
    <cellStyle name="40% - Accent5 9" xfId="2344" xr:uid="{00000000-0005-0000-0000-0000DE060000}"/>
    <cellStyle name="40% - Accent5 9 2" xfId="6650" xr:uid="{00000000-0005-0000-0000-0000DF060000}"/>
    <cellStyle name="40% - Accent5 9 2 2" xfId="31989" xr:uid="{2C1CF222-71D9-4FC5-BBE7-F16E2AD3F9CD}"/>
    <cellStyle name="40% - Accent5 9 2 3" xfId="23548" xr:uid="{6552B091-B680-400A-B589-AFF3E20CFEF1}"/>
    <cellStyle name="40% - Accent5 9 2 4" xfId="15100" xr:uid="{14F9C1B9-A85B-4651-AE8F-CD0269587626}"/>
    <cellStyle name="40% - Accent5 9 3" xfId="27771" xr:uid="{6DCA0DA7-3550-41D7-A7F4-0536B64694CF}"/>
    <cellStyle name="40% - Accent5 9 4" xfId="19330" xr:uid="{B621EE05-4DA5-4D11-AFBA-05D05A7C7224}"/>
    <cellStyle name="40% - Accent5 9 5" xfId="10882" xr:uid="{B80681A2-76C3-41C3-9293-72018959FA95}"/>
    <cellStyle name="40% - Accent6" xfId="89" builtinId="51" customBuiltin="1"/>
    <cellStyle name="40% - Accent6 10" xfId="4592" xr:uid="{00000000-0005-0000-0000-0000E1060000}"/>
    <cellStyle name="40% - Accent6 10 2" xfId="29931" xr:uid="{A5107FC5-5B00-4E50-A13F-1756336DCC42}"/>
    <cellStyle name="40% - Accent6 10 3" xfId="21490" xr:uid="{A375EE70-3D8A-45A2-B710-9D545B51EF1E}"/>
    <cellStyle name="40% - Accent6 10 4" xfId="13042" xr:uid="{B86A3139-9BFD-4EE0-B1B4-AE2B7D737B73}"/>
    <cellStyle name="40% - Accent6 11" xfId="25713" xr:uid="{FF5F6E2F-C3B6-4805-83F0-0E7788014FBE}"/>
    <cellStyle name="40% - Accent6 12" xfId="17272" xr:uid="{D4DF9B5A-666A-4CB2-81B6-0D20F45C9CF7}"/>
    <cellStyle name="40% - Accent6 13" xfId="8824" xr:uid="{5EC69E67-F87A-4256-9070-30C14D4C4A35}"/>
    <cellStyle name="40% - Accent6 2" xfId="90" xr:uid="{00000000-0005-0000-0000-0000E2060000}"/>
    <cellStyle name="40% - Accent6 2 10" xfId="25714" xr:uid="{AD5D2A1A-0732-48C3-A4B1-C3F261823E6E}"/>
    <cellStyle name="40% - Accent6 2 11" xfId="17273" xr:uid="{CE7F765A-548A-494D-8C33-D17D3F5AC7D4}"/>
    <cellStyle name="40% - Accent6 2 12" xfId="8825" xr:uid="{0061F36E-0796-4852-A9AD-BDB9F889EC24}"/>
    <cellStyle name="40% - Accent6 2 2" xfId="91" xr:uid="{00000000-0005-0000-0000-0000E3060000}"/>
    <cellStyle name="40% - Accent6 2 2 10" xfId="17274" xr:uid="{9A8637B6-5284-4A5A-9343-4DF0F253E439}"/>
    <cellStyle name="40% - Accent6 2 2 11" xfId="8826" xr:uid="{9F809235-6C6C-49F3-8DD4-7B4A4AC2B847}"/>
    <cellStyle name="40% - Accent6 2 2 2" xfId="92" xr:uid="{00000000-0005-0000-0000-0000E4060000}"/>
    <cellStyle name="40% - Accent6 2 2 2 10" xfId="8827" xr:uid="{D0645E09-0E35-4C96-85BC-1E9A8AACA1ED}"/>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32493" xr:uid="{E0556874-C9EC-4833-9E71-05FE7E206C91}"/>
    <cellStyle name="40% - Accent6 2 2 2 2 2 2 3" xfId="24052" xr:uid="{51ADCBAB-B8AE-43CC-85A4-BAEA0166D655}"/>
    <cellStyle name="40% - Accent6 2 2 2 2 2 2 4" xfId="15604" xr:uid="{81220ABE-3C10-4B27-9636-3DB4AB0631A1}"/>
    <cellStyle name="40% - Accent6 2 2 2 2 2 3" xfId="28275" xr:uid="{63C2AB8F-4577-4BE2-8666-F4A33DA1D16B}"/>
    <cellStyle name="40% - Accent6 2 2 2 2 2 4" xfId="19834" xr:uid="{8E7AE65F-44F5-4209-8A4B-DD5CFCFFF05F}"/>
    <cellStyle name="40% - Accent6 2 2 2 2 2 5" xfId="11386" xr:uid="{2C3F65CC-C8C4-4946-A558-EA9177E0AF21}"/>
    <cellStyle name="40% - Accent6 2 2 2 2 3" xfId="5009" xr:uid="{00000000-0005-0000-0000-0000E8060000}"/>
    <cellStyle name="40% - Accent6 2 2 2 2 3 2" xfId="30348" xr:uid="{1D56183A-1CE6-4378-8E5B-4EC0CC424B96}"/>
    <cellStyle name="40% - Accent6 2 2 2 2 3 3" xfId="21907" xr:uid="{58E364E9-DCDB-4A3D-B6D3-0097DFF2BBAF}"/>
    <cellStyle name="40% - Accent6 2 2 2 2 3 4" xfId="13459" xr:uid="{B94DC851-EDD1-43AB-B78D-0FB35E5EE07A}"/>
    <cellStyle name="40% - Accent6 2 2 2 2 4" xfId="26130" xr:uid="{78796E80-4F4C-4BC8-A4A5-AA63ECF19C38}"/>
    <cellStyle name="40% - Accent6 2 2 2 2 5" xfId="17689" xr:uid="{56C002AC-21B3-474D-8E98-87764661141E}"/>
    <cellStyle name="40% - Accent6 2 2 2 2 6" xfId="9241" xr:uid="{3C31700D-258B-44F5-8B95-5058DCF98B02}"/>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32906" xr:uid="{E6A0F694-4414-41F0-A620-F45C5311B896}"/>
    <cellStyle name="40% - Accent6 2 2 2 3 2 2 3" xfId="24465" xr:uid="{965CA45A-50A5-4655-8E7B-D88CAB81575B}"/>
    <cellStyle name="40% - Accent6 2 2 2 3 2 2 4" xfId="16017" xr:uid="{4B806C9B-4597-481C-B606-988F46F2DBF3}"/>
    <cellStyle name="40% - Accent6 2 2 2 3 2 3" xfId="28688" xr:uid="{AC946FA6-59AD-49BD-B1C7-174CF11C00B1}"/>
    <cellStyle name="40% - Accent6 2 2 2 3 2 4" xfId="20247" xr:uid="{51EA072B-9CD0-4221-9D1E-DE7ECBB92699}"/>
    <cellStyle name="40% - Accent6 2 2 2 3 2 5" xfId="11799" xr:uid="{2FC957F0-F71D-4B45-98FF-2B3BD0FDFE6C}"/>
    <cellStyle name="40% - Accent6 2 2 2 3 3" xfId="5422" xr:uid="{00000000-0005-0000-0000-0000EC060000}"/>
    <cellStyle name="40% - Accent6 2 2 2 3 3 2" xfId="30761" xr:uid="{8BE1A4DC-8888-4D58-8F9E-5AD88CEA392B}"/>
    <cellStyle name="40% - Accent6 2 2 2 3 3 3" xfId="22320" xr:uid="{B6807C9C-0BC0-45C9-BCB0-2656873FE25E}"/>
    <cellStyle name="40% - Accent6 2 2 2 3 3 4" xfId="13872" xr:uid="{D3BCDE01-7E51-433F-A02D-EB6796E3B827}"/>
    <cellStyle name="40% - Accent6 2 2 2 3 4" xfId="26543" xr:uid="{DA0B3A93-A1C3-4AF3-91DD-D872D29EF179}"/>
    <cellStyle name="40% - Accent6 2 2 2 3 5" xfId="18102" xr:uid="{B5A09B14-EEA4-4F19-B9C6-241B7485CEDC}"/>
    <cellStyle name="40% - Accent6 2 2 2 3 6" xfId="9654" xr:uid="{59F16887-BAEB-45FB-A68C-BFE122216E26}"/>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33319" xr:uid="{AF855361-C446-4248-BEE6-14774A275A8C}"/>
    <cellStyle name="40% - Accent6 2 2 2 4 2 2 3" xfId="24878" xr:uid="{C57DE886-0270-474D-BE07-55E764FE8CCA}"/>
    <cellStyle name="40% - Accent6 2 2 2 4 2 2 4" xfId="16430" xr:uid="{16EDBC10-A891-4A80-8B06-8AEA1B723779}"/>
    <cellStyle name="40% - Accent6 2 2 2 4 2 3" xfId="29101" xr:uid="{A679A096-595D-4951-8D6E-B26E206147A7}"/>
    <cellStyle name="40% - Accent6 2 2 2 4 2 4" xfId="20660" xr:uid="{0B3D3B5E-1ABD-4166-BCDD-83CBB9CA0668}"/>
    <cellStyle name="40% - Accent6 2 2 2 4 2 5" xfId="12212" xr:uid="{19C0D1FC-7491-406D-9356-67CECE7B3924}"/>
    <cellStyle name="40% - Accent6 2 2 2 4 3" xfId="5835" xr:uid="{00000000-0005-0000-0000-0000F0060000}"/>
    <cellStyle name="40% - Accent6 2 2 2 4 3 2" xfId="31174" xr:uid="{268F218F-E469-4CFD-88A3-1BFE7D08E850}"/>
    <cellStyle name="40% - Accent6 2 2 2 4 3 3" xfId="22733" xr:uid="{8D0BD448-5476-43F3-9857-91077AC8FF56}"/>
    <cellStyle name="40% - Accent6 2 2 2 4 3 4" xfId="14285" xr:uid="{D8546B97-41DF-4643-A2CC-4A64DC0344D0}"/>
    <cellStyle name="40% - Accent6 2 2 2 4 4" xfId="26956" xr:uid="{CA7204DF-311F-48A1-B9C6-5F79B06E6DB1}"/>
    <cellStyle name="40% - Accent6 2 2 2 4 5" xfId="18515" xr:uid="{C92D8AB4-4771-43D5-8F90-C30EC7C776D7}"/>
    <cellStyle name="40% - Accent6 2 2 2 4 6" xfId="10067" xr:uid="{FAE7DBDC-0358-4940-B99E-0F22C3E6F681}"/>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33732" xr:uid="{78052C8A-5DC9-4CE9-94E4-DA56535D99BC}"/>
    <cellStyle name="40% - Accent6 2 2 2 5 2 2 3" xfId="25291" xr:uid="{E6CBF871-C9DF-44FE-BD75-182D7EB76D73}"/>
    <cellStyle name="40% - Accent6 2 2 2 5 2 2 4" xfId="16843" xr:uid="{FC4C65B5-E9BA-4958-A241-A1A597E8D6FF}"/>
    <cellStyle name="40% - Accent6 2 2 2 5 2 3" xfId="29514" xr:uid="{9EE0A8DC-7222-458B-970A-FC6E8F93305F}"/>
    <cellStyle name="40% - Accent6 2 2 2 5 2 4" xfId="21073" xr:uid="{3F52DCDB-03D2-4E77-8DC2-F495CF73DD93}"/>
    <cellStyle name="40% - Accent6 2 2 2 5 2 5" xfId="12625" xr:uid="{8A3A9C0B-C77B-40C4-8EFC-EFCDD6D6A293}"/>
    <cellStyle name="40% - Accent6 2 2 2 5 3" xfId="6248" xr:uid="{00000000-0005-0000-0000-0000F4060000}"/>
    <cellStyle name="40% - Accent6 2 2 2 5 3 2" xfId="31587" xr:uid="{F562090E-BD5D-4388-AA91-561BA362A8B1}"/>
    <cellStyle name="40% - Accent6 2 2 2 5 3 3" xfId="23146" xr:uid="{C0837BAE-A943-4A2C-B978-9496B4FB3B2E}"/>
    <cellStyle name="40% - Accent6 2 2 2 5 3 4" xfId="14698" xr:uid="{C5322895-779F-4EEC-BD0C-CC55B141D8A3}"/>
    <cellStyle name="40% - Accent6 2 2 2 5 4" xfId="27369" xr:uid="{7111746D-9C39-4981-BE8E-8658C16ADFE9}"/>
    <cellStyle name="40% - Accent6 2 2 2 5 5" xfId="18928" xr:uid="{2D0A0339-C75D-4227-875B-E5CA82B0442A}"/>
    <cellStyle name="40% - Accent6 2 2 2 5 6" xfId="10480" xr:uid="{018D3515-9568-4B1B-AC1A-6A9A00F4E06A}"/>
    <cellStyle name="40% - Accent6 2 2 2 6" xfId="2355" xr:uid="{00000000-0005-0000-0000-0000F5060000}"/>
    <cellStyle name="40% - Accent6 2 2 2 6 2" xfId="6661" xr:uid="{00000000-0005-0000-0000-0000F6060000}"/>
    <cellStyle name="40% - Accent6 2 2 2 6 2 2" xfId="32000" xr:uid="{0C511960-B35F-4AAA-A77A-E5267DBF8AE6}"/>
    <cellStyle name="40% - Accent6 2 2 2 6 2 3" xfId="23559" xr:uid="{E0D92284-A470-4BB1-91AE-9CE1791E0552}"/>
    <cellStyle name="40% - Accent6 2 2 2 6 2 4" xfId="15111" xr:uid="{DAC37B9A-9FA9-4F91-932E-5AAB6C3A25C7}"/>
    <cellStyle name="40% - Accent6 2 2 2 6 3" xfId="27782" xr:uid="{EFA57302-EBAD-4117-AE70-FC840FF0E80F}"/>
    <cellStyle name="40% - Accent6 2 2 2 6 4" xfId="19341" xr:uid="{83E99F79-DD88-42EF-9726-691C046090CB}"/>
    <cellStyle name="40% - Accent6 2 2 2 6 5" xfId="10893" xr:uid="{C43E3C73-0116-428E-8F26-ABA9DADA9F2A}"/>
    <cellStyle name="40% - Accent6 2 2 2 7" xfId="4595" xr:uid="{00000000-0005-0000-0000-0000F7060000}"/>
    <cellStyle name="40% - Accent6 2 2 2 7 2" xfId="29934" xr:uid="{C1138D95-B133-4FF2-9542-9F7D76BFC82F}"/>
    <cellStyle name="40% - Accent6 2 2 2 7 3" xfId="21493" xr:uid="{3DDBB15F-4538-4FF8-856C-F31CA6AFC683}"/>
    <cellStyle name="40% - Accent6 2 2 2 7 4" xfId="13045" xr:uid="{16E43CAA-30C4-42BF-B649-D8E624021EA8}"/>
    <cellStyle name="40% - Accent6 2 2 2 8" xfId="25716" xr:uid="{21D51409-1D23-4747-876B-879606E8684A}"/>
    <cellStyle name="40% - Accent6 2 2 2 9" xfId="17275" xr:uid="{DE293F0B-D959-4BB4-9EB7-D2ACC2900821}"/>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32492" xr:uid="{7581F380-99E2-45BF-B360-06920BEF4C66}"/>
    <cellStyle name="40% - Accent6 2 2 3 2 2 3" xfId="24051" xr:uid="{FD52AC6D-471C-4920-958D-7BCECA717A9C}"/>
    <cellStyle name="40% - Accent6 2 2 3 2 2 4" xfId="15603" xr:uid="{886790A6-35DD-47AB-B6DE-EE799EFC5916}"/>
    <cellStyle name="40% - Accent6 2 2 3 2 3" xfId="28274" xr:uid="{4647268E-E24D-432C-A02B-126065967102}"/>
    <cellStyle name="40% - Accent6 2 2 3 2 4" xfId="19833" xr:uid="{3D44E234-6FEF-4A2A-B3F3-411B022A238F}"/>
    <cellStyle name="40% - Accent6 2 2 3 2 5" xfId="11385" xr:uid="{B1CB6FBC-9432-43D1-84CA-B5E8C6E7B4E1}"/>
    <cellStyle name="40% - Accent6 2 2 3 3" xfId="5008" xr:uid="{00000000-0005-0000-0000-0000FB060000}"/>
    <cellStyle name="40% - Accent6 2 2 3 3 2" xfId="30347" xr:uid="{B2086559-A741-4BC6-984D-489C7FCC35CE}"/>
    <cellStyle name="40% - Accent6 2 2 3 3 3" xfId="21906" xr:uid="{25D78247-3BDB-4013-B3B1-C6D46F298D5D}"/>
    <cellStyle name="40% - Accent6 2 2 3 3 4" xfId="13458" xr:uid="{B60D8380-2A66-44EA-96C3-791DBDDCA41E}"/>
    <cellStyle name="40% - Accent6 2 2 3 4" xfId="26129" xr:uid="{58DC1CEC-B20E-4870-BEC4-9F9E69053050}"/>
    <cellStyle name="40% - Accent6 2 2 3 5" xfId="17688" xr:uid="{F06FA6BE-B18B-45F8-81EA-44ADD8E9F39A}"/>
    <cellStyle name="40% - Accent6 2 2 3 6" xfId="9240" xr:uid="{75E2D845-0536-4D63-9771-7C3673D8C1F7}"/>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32905" xr:uid="{4B774BCE-5546-4F46-890E-107480A85F57}"/>
    <cellStyle name="40% - Accent6 2 2 4 2 2 3" xfId="24464" xr:uid="{B29B9286-D699-43A7-9817-11579323DEE6}"/>
    <cellStyle name="40% - Accent6 2 2 4 2 2 4" xfId="16016" xr:uid="{11E858CE-29AB-4179-BC3D-5D6C5AAAED6C}"/>
    <cellStyle name="40% - Accent6 2 2 4 2 3" xfId="28687" xr:uid="{E853C210-B71B-431C-A73E-767FD0707486}"/>
    <cellStyle name="40% - Accent6 2 2 4 2 4" xfId="20246" xr:uid="{ED48FB5E-FFF2-4574-8848-E4870BCEB49F}"/>
    <cellStyle name="40% - Accent6 2 2 4 2 5" xfId="11798" xr:uid="{5A5B366D-4F11-4B79-9F28-ED099C34DA4D}"/>
    <cellStyle name="40% - Accent6 2 2 4 3" xfId="5421" xr:uid="{00000000-0005-0000-0000-0000FF060000}"/>
    <cellStyle name="40% - Accent6 2 2 4 3 2" xfId="30760" xr:uid="{89B72058-0843-496B-A92B-92BEC185D911}"/>
    <cellStyle name="40% - Accent6 2 2 4 3 3" xfId="22319" xr:uid="{AEB12F40-C7FD-4471-84D5-A1AF1E28D766}"/>
    <cellStyle name="40% - Accent6 2 2 4 3 4" xfId="13871" xr:uid="{F5FF106B-F0D7-4F0E-9791-5B95A7E70730}"/>
    <cellStyle name="40% - Accent6 2 2 4 4" xfId="26542" xr:uid="{8215E238-92CF-4FA3-99D8-7439CC33A6DB}"/>
    <cellStyle name="40% - Accent6 2 2 4 5" xfId="18101" xr:uid="{04786DAC-446F-46AB-AEDF-49C686074396}"/>
    <cellStyle name="40% - Accent6 2 2 4 6" xfId="9653" xr:uid="{37ECE692-B268-426F-AE2B-A21BE46DD661}"/>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33318" xr:uid="{D5FCC03A-8E7A-45B3-A1D6-CC3C13E6328D}"/>
    <cellStyle name="40% - Accent6 2 2 5 2 2 3" xfId="24877" xr:uid="{5E7F9DBC-1CEF-4DF7-9428-F1C95A2AC165}"/>
    <cellStyle name="40% - Accent6 2 2 5 2 2 4" xfId="16429" xr:uid="{8456971B-DCA5-4FC4-B7D0-FE8446AA5F88}"/>
    <cellStyle name="40% - Accent6 2 2 5 2 3" xfId="29100" xr:uid="{FEC2349A-4FA1-4DD0-86AF-1C6F7CB2A186}"/>
    <cellStyle name="40% - Accent6 2 2 5 2 4" xfId="20659" xr:uid="{F522645D-B016-4C55-B7E5-35FA4A91FC94}"/>
    <cellStyle name="40% - Accent6 2 2 5 2 5" xfId="12211" xr:uid="{B55F892D-9239-46A2-A15E-3E64C830A38A}"/>
    <cellStyle name="40% - Accent6 2 2 5 3" xfId="5834" xr:uid="{00000000-0005-0000-0000-000003070000}"/>
    <cellStyle name="40% - Accent6 2 2 5 3 2" xfId="31173" xr:uid="{1A63B65C-26D3-42FC-986C-661AF6CD31FD}"/>
    <cellStyle name="40% - Accent6 2 2 5 3 3" xfId="22732" xr:uid="{056E8959-9686-4275-88FA-18ED27ADCE92}"/>
    <cellStyle name="40% - Accent6 2 2 5 3 4" xfId="14284" xr:uid="{331C01B9-B829-4C85-B397-FB1215E7DEF4}"/>
    <cellStyle name="40% - Accent6 2 2 5 4" xfId="26955" xr:uid="{904047D2-9F1C-48F3-AB19-20EE2E718C30}"/>
    <cellStyle name="40% - Accent6 2 2 5 5" xfId="18514" xr:uid="{992D5BE3-8C69-4CB2-B878-83057794D66F}"/>
    <cellStyle name="40% - Accent6 2 2 5 6" xfId="10066" xr:uid="{30C37A2F-A131-472C-A711-FCE62C3FD1BB}"/>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33731" xr:uid="{043EFED6-067A-48A6-B979-AF09A0D19380}"/>
    <cellStyle name="40% - Accent6 2 2 6 2 2 3" xfId="25290" xr:uid="{39EFC0A5-DDC7-4F46-ABC0-C398B232FD0F}"/>
    <cellStyle name="40% - Accent6 2 2 6 2 2 4" xfId="16842" xr:uid="{91897A5B-1DC3-4D77-9BD6-D0DE427B1FE2}"/>
    <cellStyle name="40% - Accent6 2 2 6 2 3" xfId="29513" xr:uid="{5FD0379C-D7BB-4223-A8C1-D9DE603174BB}"/>
    <cellStyle name="40% - Accent6 2 2 6 2 4" xfId="21072" xr:uid="{34584C4A-744F-488B-BE0B-B2241A057998}"/>
    <cellStyle name="40% - Accent6 2 2 6 2 5" xfId="12624" xr:uid="{743A7BE0-9808-415B-ACF5-C851252F684D}"/>
    <cellStyle name="40% - Accent6 2 2 6 3" xfId="6247" xr:uid="{00000000-0005-0000-0000-000007070000}"/>
    <cellStyle name="40% - Accent6 2 2 6 3 2" xfId="31586" xr:uid="{A76F01EC-1BA0-4568-A52A-DCDDC8EF80B9}"/>
    <cellStyle name="40% - Accent6 2 2 6 3 3" xfId="23145" xr:uid="{B58CCF80-D9A9-4E7B-9AF5-EB05F8D91E03}"/>
    <cellStyle name="40% - Accent6 2 2 6 3 4" xfId="14697" xr:uid="{E8D3BBA6-6B22-4B53-936F-E64F92066D7D}"/>
    <cellStyle name="40% - Accent6 2 2 6 4" xfId="27368" xr:uid="{55CE8C17-FBBA-443F-A78B-63777F7C93C2}"/>
    <cellStyle name="40% - Accent6 2 2 6 5" xfId="18927" xr:uid="{EFB650F9-AEB1-444A-A6DB-BC75C7F31152}"/>
    <cellStyle name="40% - Accent6 2 2 6 6" xfId="10479" xr:uid="{5F3FF252-8B18-4836-AA82-646D5AF3DC3A}"/>
    <cellStyle name="40% - Accent6 2 2 7" xfId="2354" xr:uid="{00000000-0005-0000-0000-000008070000}"/>
    <cellStyle name="40% - Accent6 2 2 7 2" xfId="6660" xr:uid="{00000000-0005-0000-0000-000009070000}"/>
    <cellStyle name="40% - Accent6 2 2 7 2 2" xfId="31999" xr:uid="{83559E40-E511-44B9-B6F4-6FC07134ED8C}"/>
    <cellStyle name="40% - Accent6 2 2 7 2 3" xfId="23558" xr:uid="{C66A7AD3-B021-429F-99F4-D425B6E3B610}"/>
    <cellStyle name="40% - Accent6 2 2 7 2 4" xfId="15110" xr:uid="{B5B379EE-1E5F-4919-98F1-2DB3CEF80D6B}"/>
    <cellStyle name="40% - Accent6 2 2 7 3" xfId="27781" xr:uid="{B6D2EA00-A757-4DFE-83A7-6E2B2AE5942D}"/>
    <cellStyle name="40% - Accent6 2 2 7 4" xfId="19340" xr:uid="{FAF8E7E7-0702-420A-BCA5-2EC8133EC742}"/>
    <cellStyle name="40% - Accent6 2 2 7 5" xfId="10892" xr:uid="{80F2A22A-6B00-41A7-84FE-3C2962DC8D73}"/>
    <cellStyle name="40% - Accent6 2 2 8" xfId="4594" xr:uid="{00000000-0005-0000-0000-00000A070000}"/>
    <cellStyle name="40% - Accent6 2 2 8 2" xfId="29933" xr:uid="{7A3D0C16-A889-43D7-A719-45A65894DA6D}"/>
    <cellStyle name="40% - Accent6 2 2 8 3" xfId="21492" xr:uid="{B28EB7BF-C369-4F77-A4EC-65E28EFCCDA7}"/>
    <cellStyle name="40% - Accent6 2 2 8 4" xfId="13044" xr:uid="{AE5BBB79-1BA8-4A76-9701-6DD7FA2875BA}"/>
    <cellStyle name="40% - Accent6 2 2 9" xfId="25715" xr:uid="{BAA68A34-2477-42A5-B4D8-D0B9EC2B93D2}"/>
    <cellStyle name="40% - Accent6 2 3" xfId="93" xr:uid="{00000000-0005-0000-0000-00000B070000}"/>
    <cellStyle name="40% - Accent6 2 3 10" xfId="8828" xr:uid="{36BD846B-F63A-4EC5-AFF5-713B776C4DCF}"/>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32494" xr:uid="{FBB14422-6D28-4295-8D90-472E106E4C0D}"/>
    <cellStyle name="40% - Accent6 2 3 2 2 2 3" xfId="24053" xr:uid="{CFE557C9-0CE1-4B37-A458-46997D578CDD}"/>
    <cellStyle name="40% - Accent6 2 3 2 2 2 4" xfId="15605" xr:uid="{1F392EF8-EC67-4E85-9929-75C915027485}"/>
    <cellStyle name="40% - Accent6 2 3 2 2 3" xfId="28276" xr:uid="{525DEE46-E503-40A2-B139-38EED1A5AD97}"/>
    <cellStyle name="40% - Accent6 2 3 2 2 4" xfId="19835" xr:uid="{B46CCE72-488A-4021-981B-048AAB5F9812}"/>
    <cellStyle name="40% - Accent6 2 3 2 2 5" xfId="11387" xr:uid="{F83648D9-C46B-4D9D-9813-ED152315C01B}"/>
    <cellStyle name="40% - Accent6 2 3 2 3" xfId="5010" xr:uid="{00000000-0005-0000-0000-00000F070000}"/>
    <cellStyle name="40% - Accent6 2 3 2 3 2" xfId="30349" xr:uid="{776B8B89-1594-48F2-A12B-DA1FF9C9F45F}"/>
    <cellStyle name="40% - Accent6 2 3 2 3 3" xfId="21908" xr:uid="{0D9C6A6C-5EB8-4779-A777-AA651CB0D69A}"/>
    <cellStyle name="40% - Accent6 2 3 2 3 4" xfId="13460" xr:uid="{AE3BDF8C-2F21-4CFD-B472-88CF5A7EF09C}"/>
    <cellStyle name="40% - Accent6 2 3 2 4" xfId="26131" xr:uid="{D2AA0FE1-4D23-46BD-B17C-AF517F71C9F4}"/>
    <cellStyle name="40% - Accent6 2 3 2 5" xfId="17690" xr:uid="{A0F3418F-C0C7-4F5D-98E4-7EB524F8BA0D}"/>
    <cellStyle name="40% - Accent6 2 3 2 6" xfId="9242" xr:uid="{82311F51-D287-45D0-8CFC-6A1234E60E06}"/>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32907" xr:uid="{50DDB1B2-0E76-4513-A17B-D3E547B2B80B}"/>
    <cellStyle name="40% - Accent6 2 3 3 2 2 3" xfId="24466" xr:uid="{8AAF91D7-EB32-4FDD-A37A-31B11794A13D}"/>
    <cellStyle name="40% - Accent6 2 3 3 2 2 4" xfId="16018" xr:uid="{11EE7BC5-08EB-438F-B467-B70CF3B305CC}"/>
    <cellStyle name="40% - Accent6 2 3 3 2 3" xfId="28689" xr:uid="{592E4C55-4BE4-4462-B7E9-E58F5A8073D3}"/>
    <cellStyle name="40% - Accent6 2 3 3 2 4" xfId="20248" xr:uid="{BB47A1D1-8B77-4089-BCB3-EFF39E3B76AF}"/>
    <cellStyle name="40% - Accent6 2 3 3 2 5" xfId="11800" xr:uid="{59D0C9AC-5FDD-49FD-948C-F72F1E5D466F}"/>
    <cellStyle name="40% - Accent6 2 3 3 3" xfId="5423" xr:uid="{00000000-0005-0000-0000-000013070000}"/>
    <cellStyle name="40% - Accent6 2 3 3 3 2" xfId="30762" xr:uid="{607D5AAC-AC90-49A2-993D-97D1F3629428}"/>
    <cellStyle name="40% - Accent6 2 3 3 3 3" xfId="22321" xr:uid="{784A39CE-3E25-4623-BDC1-72E5BEEC2875}"/>
    <cellStyle name="40% - Accent6 2 3 3 3 4" xfId="13873" xr:uid="{49F1B218-247B-41D1-8ACA-CCA6C0D79AF8}"/>
    <cellStyle name="40% - Accent6 2 3 3 4" xfId="26544" xr:uid="{C5C758DB-7668-4B95-A0DD-C734C4247EEF}"/>
    <cellStyle name="40% - Accent6 2 3 3 5" xfId="18103" xr:uid="{5EB968CB-1E8D-4595-B65D-13E5715676F0}"/>
    <cellStyle name="40% - Accent6 2 3 3 6" xfId="9655" xr:uid="{7395B6F8-1452-4337-B051-D469755CFAA4}"/>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33320" xr:uid="{7A4BEB87-03D1-42DD-941D-EAED9FEC18DE}"/>
    <cellStyle name="40% - Accent6 2 3 4 2 2 3" xfId="24879" xr:uid="{C5601427-CDFF-4B5A-9095-BDBB3B1D0B1F}"/>
    <cellStyle name="40% - Accent6 2 3 4 2 2 4" xfId="16431" xr:uid="{98A6F22D-7E50-4EB1-860D-2F1808F3D4C3}"/>
    <cellStyle name="40% - Accent6 2 3 4 2 3" xfId="29102" xr:uid="{94E16024-A5AB-4C20-AF4E-ABB58F5F5921}"/>
    <cellStyle name="40% - Accent6 2 3 4 2 4" xfId="20661" xr:uid="{0F2A3331-65F3-4C5F-A2E6-7E624E399164}"/>
    <cellStyle name="40% - Accent6 2 3 4 2 5" xfId="12213" xr:uid="{85C83C3D-C93D-45C1-83F5-8B51492EAC54}"/>
    <cellStyle name="40% - Accent6 2 3 4 3" xfId="5836" xr:uid="{00000000-0005-0000-0000-000017070000}"/>
    <cellStyle name="40% - Accent6 2 3 4 3 2" xfId="31175" xr:uid="{46BB5D38-E02F-48C7-A26D-615BE836F91F}"/>
    <cellStyle name="40% - Accent6 2 3 4 3 3" xfId="22734" xr:uid="{4D77E33C-2DCA-402B-8960-39662A9E0164}"/>
    <cellStyle name="40% - Accent6 2 3 4 3 4" xfId="14286" xr:uid="{48075E77-A9AB-42E1-8B85-ED3EB275B9B6}"/>
    <cellStyle name="40% - Accent6 2 3 4 4" xfId="26957" xr:uid="{DEBAD6F5-0315-46EC-9F07-96E3A75A8885}"/>
    <cellStyle name="40% - Accent6 2 3 4 5" xfId="18516" xr:uid="{41353D31-784F-40BE-898C-CDE545A69FD0}"/>
    <cellStyle name="40% - Accent6 2 3 4 6" xfId="10068" xr:uid="{3ED2DEA0-F728-497E-B146-A9A38D5D9F11}"/>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33733" xr:uid="{62F29B68-CE3D-4C76-ADCE-7F15E7130FF2}"/>
    <cellStyle name="40% - Accent6 2 3 5 2 2 3" xfId="25292" xr:uid="{9D48D6D4-2D81-4C2D-8D82-B0A93B8F9A4A}"/>
    <cellStyle name="40% - Accent6 2 3 5 2 2 4" xfId="16844" xr:uid="{DCF0F673-E084-4512-B99D-80F25A7587BF}"/>
    <cellStyle name="40% - Accent6 2 3 5 2 3" xfId="29515" xr:uid="{90E61BCC-8154-4B7E-B1F6-B5D1157A41A3}"/>
    <cellStyle name="40% - Accent6 2 3 5 2 4" xfId="21074" xr:uid="{9DF203DF-D316-4CDB-B8C5-8D3F3426036C}"/>
    <cellStyle name="40% - Accent6 2 3 5 2 5" xfId="12626" xr:uid="{7FEAE502-ECC5-4178-B046-6A48D25370E5}"/>
    <cellStyle name="40% - Accent6 2 3 5 3" xfId="6249" xr:uid="{00000000-0005-0000-0000-00001B070000}"/>
    <cellStyle name="40% - Accent6 2 3 5 3 2" xfId="31588" xr:uid="{095AD36A-1F7E-4964-8F19-BE301021586D}"/>
    <cellStyle name="40% - Accent6 2 3 5 3 3" xfId="23147" xr:uid="{5CCEE9AA-F3A8-4161-A660-67303DDEF184}"/>
    <cellStyle name="40% - Accent6 2 3 5 3 4" xfId="14699" xr:uid="{182F0364-B55B-4CE9-B941-4AAD2424F1F3}"/>
    <cellStyle name="40% - Accent6 2 3 5 4" xfId="27370" xr:uid="{32453ADE-08DC-4F08-8FCF-6DB852C0E168}"/>
    <cellStyle name="40% - Accent6 2 3 5 5" xfId="18929" xr:uid="{2664B6CC-92D7-462F-9EED-EB015DDA8AA0}"/>
    <cellStyle name="40% - Accent6 2 3 5 6" xfId="10481" xr:uid="{07FEABC3-3C38-4CE5-BBD8-BA46B20A8E93}"/>
    <cellStyle name="40% - Accent6 2 3 6" xfId="2356" xr:uid="{00000000-0005-0000-0000-00001C070000}"/>
    <cellStyle name="40% - Accent6 2 3 6 2" xfId="6662" xr:uid="{00000000-0005-0000-0000-00001D070000}"/>
    <cellStyle name="40% - Accent6 2 3 6 2 2" xfId="32001" xr:uid="{8D6F4C2A-25F7-4E66-9D42-7B26C7F4FF33}"/>
    <cellStyle name="40% - Accent6 2 3 6 2 3" xfId="23560" xr:uid="{9F8030CA-B154-41C7-8899-65B5167EE3E5}"/>
    <cellStyle name="40% - Accent6 2 3 6 2 4" xfId="15112" xr:uid="{794E444C-FF06-4ACB-A8DD-29022CEF6F4F}"/>
    <cellStyle name="40% - Accent6 2 3 6 3" xfId="27783" xr:uid="{1C382638-D850-4E66-8985-E3654EA6AB9D}"/>
    <cellStyle name="40% - Accent6 2 3 6 4" xfId="19342" xr:uid="{C72F92E0-B9CB-4B19-8BEF-935AEF1DFF15}"/>
    <cellStyle name="40% - Accent6 2 3 6 5" xfId="10894" xr:uid="{08FA5A23-513B-48C4-B326-5A2E4BBD7CCC}"/>
    <cellStyle name="40% - Accent6 2 3 7" xfId="4596" xr:uid="{00000000-0005-0000-0000-00001E070000}"/>
    <cellStyle name="40% - Accent6 2 3 7 2" xfId="29935" xr:uid="{A2A2886A-E607-434A-BF3A-EDC2E05A0D36}"/>
    <cellStyle name="40% - Accent6 2 3 7 3" xfId="21494" xr:uid="{0AFA22E2-63BF-4649-AC10-F19EC68D81CA}"/>
    <cellStyle name="40% - Accent6 2 3 7 4" xfId="13046" xr:uid="{E5A259F5-BE19-4277-8D3C-C1DE401BEE96}"/>
    <cellStyle name="40% - Accent6 2 3 8" xfId="25717" xr:uid="{E79A83EF-DF21-4227-B337-47D99ACD076B}"/>
    <cellStyle name="40% - Accent6 2 3 9" xfId="17276" xr:uid="{B68A7D95-3AEC-43E5-AEA8-69FDA4F9543E}"/>
    <cellStyle name="40% - Accent6 2 4" xfId="659" xr:uid="{00000000-0005-0000-0000-00001F070000}"/>
    <cellStyle name="40% - Accent6 2 4 2" xfId="2930" xr:uid="{00000000-0005-0000-0000-000020070000}"/>
    <cellStyle name="40% - Accent6 2 4 2 2" xfId="7152" xr:uid="{00000000-0005-0000-0000-000021070000}"/>
    <cellStyle name="40% - Accent6 2 4 2 2 2" xfId="32491" xr:uid="{86293266-CA1B-445B-BCC9-F3E942A4D55A}"/>
    <cellStyle name="40% - Accent6 2 4 2 2 3" xfId="24050" xr:uid="{C63964B2-B05C-4424-975D-7DF943221F1D}"/>
    <cellStyle name="40% - Accent6 2 4 2 2 4" xfId="15602" xr:uid="{F6991AE8-8C37-4010-95CA-B25BE26FF653}"/>
    <cellStyle name="40% - Accent6 2 4 2 3" xfId="28273" xr:uid="{4397361C-66C9-4070-A800-EEF3E7D3D229}"/>
    <cellStyle name="40% - Accent6 2 4 2 4" xfId="19832" xr:uid="{339C0FFC-D1FE-408F-B5E7-6341704E940B}"/>
    <cellStyle name="40% - Accent6 2 4 2 5" xfId="11384" xr:uid="{587B7802-3E35-4CEE-87A3-CFFA650DC424}"/>
    <cellStyle name="40% - Accent6 2 4 3" xfId="5007" xr:uid="{00000000-0005-0000-0000-000022070000}"/>
    <cellStyle name="40% - Accent6 2 4 3 2" xfId="30346" xr:uid="{F2CD4E99-98F5-4E45-8AF1-515E0CF8B6E1}"/>
    <cellStyle name="40% - Accent6 2 4 3 3" xfId="21905" xr:uid="{EC47D287-9EE6-40B7-844D-A249DD39C013}"/>
    <cellStyle name="40% - Accent6 2 4 3 4" xfId="13457" xr:uid="{987D7C17-571E-496A-9D95-DD0AC957E118}"/>
    <cellStyle name="40% - Accent6 2 4 4" xfId="26128" xr:uid="{49B48197-5A7C-4249-A9C0-8D07FA347A4D}"/>
    <cellStyle name="40% - Accent6 2 4 5" xfId="17687" xr:uid="{42DFD10B-C740-4F81-86FC-30BA638A0FD2}"/>
    <cellStyle name="40% - Accent6 2 4 6" xfId="9239" xr:uid="{A4038DF2-3120-46DF-BA42-E317393FE624}"/>
    <cellStyle name="40% - Accent6 2 5" xfId="1112" xr:uid="{00000000-0005-0000-0000-000023070000}"/>
    <cellStyle name="40% - Accent6 2 5 2" xfId="3343" xr:uid="{00000000-0005-0000-0000-000024070000}"/>
    <cellStyle name="40% - Accent6 2 5 2 2" xfId="7565" xr:uid="{00000000-0005-0000-0000-000025070000}"/>
    <cellStyle name="40% - Accent6 2 5 2 2 2" xfId="32904" xr:uid="{370916F0-5F88-4D8B-913C-059DF83982CA}"/>
    <cellStyle name="40% - Accent6 2 5 2 2 3" xfId="24463" xr:uid="{13EECBFB-4A4D-4A21-A363-17DAB8FFC332}"/>
    <cellStyle name="40% - Accent6 2 5 2 2 4" xfId="16015" xr:uid="{63A0DE03-6D1E-4ACC-A442-4C52A4E848CE}"/>
    <cellStyle name="40% - Accent6 2 5 2 3" xfId="28686" xr:uid="{120DA245-A2D1-490D-9737-40316229736E}"/>
    <cellStyle name="40% - Accent6 2 5 2 4" xfId="20245" xr:uid="{70044B80-7B70-48D1-9AAA-15279355EDEF}"/>
    <cellStyle name="40% - Accent6 2 5 2 5" xfId="11797" xr:uid="{6814460E-5535-49BE-BFEA-0E4F1103968B}"/>
    <cellStyle name="40% - Accent6 2 5 3" xfId="5420" xr:uid="{00000000-0005-0000-0000-000026070000}"/>
    <cellStyle name="40% - Accent6 2 5 3 2" xfId="30759" xr:uid="{F7578B15-9CC6-4098-8819-109D97BAD205}"/>
    <cellStyle name="40% - Accent6 2 5 3 3" xfId="22318" xr:uid="{34A267B6-565E-4265-BD2D-434B591BF34C}"/>
    <cellStyle name="40% - Accent6 2 5 3 4" xfId="13870" xr:uid="{B7F9D180-E700-49FC-9052-6834305C3130}"/>
    <cellStyle name="40% - Accent6 2 5 4" xfId="26541" xr:uid="{2AB43D15-F7BB-484D-874D-89A5FE86DF20}"/>
    <cellStyle name="40% - Accent6 2 5 5" xfId="18100" xr:uid="{89A2A8F3-6132-4F1B-9D3F-08EE92C2135C}"/>
    <cellStyle name="40% - Accent6 2 5 6" xfId="9652" xr:uid="{701AEEA5-8ACB-4D43-B5E0-472A9314C9B7}"/>
    <cellStyle name="40% - Accent6 2 6" xfId="1526" xr:uid="{00000000-0005-0000-0000-000027070000}"/>
    <cellStyle name="40% - Accent6 2 6 2" xfId="3756" xr:uid="{00000000-0005-0000-0000-000028070000}"/>
    <cellStyle name="40% - Accent6 2 6 2 2" xfId="7978" xr:uid="{00000000-0005-0000-0000-000029070000}"/>
    <cellStyle name="40% - Accent6 2 6 2 2 2" xfId="33317" xr:uid="{921F71CB-146C-410F-A8F9-FBDF7E00D8FE}"/>
    <cellStyle name="40% - Accent6 2 6 2 2 3" xfId="24876" xr:uid="{317A030B-27CE-4237-A033-D86B81816F3C}"/>
    <cellStyle name="40% - Accent6 2 6 2 2 4" xfId="16428" xr:uid="{1879DB78-BC20-4A3B-B7EC-1FB33EC74F57}"/>
    <cellStyle name="40% - Accent6 2 6 2 3" xfId="29099" xr:uid="{64FBF2C1-5C12-4AE0-9065-8B5CCD3462E1}"/>
    <cellStyle name="40% - Accent6 2 6 2 4" xfId="20658" xr:uid="{1944F40C-7CF6-43DA-94AA-F81AC2C67FC2}"/>
    <cellStyle name="40% - Accent6 2 6 2 5" xfId="12210" xr:uid="{F1F486C0-2E1F-4500-ABF8-F686845D0B0F}"/>
    <cellStyle name="40% - Accent6 2 6 3" xfId="5833" xr:uid="{00000000-0005-0000-0000-00002A070000}"/>
    <cellStyle name="40% - Accent6 2 6 3 2" xfId="31172" xr:uid="{1DAFA154-8DE6-4C9A-AB74-283FAA112C3E}"/>
    <cellStyle name="40% - Accent6 2 6 3 3" xfId="22731" xr:uid="{4EA6033A-56F4-4300-A4FE-430E33823E11}"/>
    <cellStyle name="40% - Accent6 2 6 3 4" xfId="14283" xr:uid="{A008F635-89DA-405C-918A-98FA4C46E8EC}"/>
    <cellStyle name="40% - Accent6 2 6 4" xfId="26954" xr:uid="{A03C2F70-7F1B-41F4-95E0-EE3854EA26CC}"/>
    <cellStyle name="40% - Accent6 2 6 5" xfId="18513" xr:uid="{DCD4C23A-DCD1-47ED-AD7B-8C021EFECFBB}"/>
    <cellStyle name="40% - Accent6 2 6 6" xfId="10065" xr:uid="{17A5AF6B-7B57-415F-ABB3-7C3A0190C299}"/>
    <cellStyle name="40% - Accent6 2 7" xfId="1940" xr:uid="{00000000-0005-0000-0000-00002B070000}"/>
    <cellStyle name="40% - Accent6 2 7 2" xfId="4169" xr:uid="{00000000-0005-0000-0000-00002C070000}"/>
    <cellStyle name="40% - Accent6 2 7 2 2" xfId="8391" xr:uid="{00000000-0005-0000-0000-00002D070000}"/>
    <cellStyle name="40% - Accent6 2 7 2 2 2" xfId="33730" xr:uid="{2B2FBFD0-6662-42EA-8979-26AD8DD436A5}"/>
    <cellStyle name="40% - Accent6 2 7 2 2 3" xfId="25289" xr:uid="{15A1C35E-4099-4E22-B11C-AFF066260228}"/>
    <cellStyle name="40% - Accent6 2 7 2 2 4" xfId="16841" xr:uid="{CAD960A1-3691-43E8-B4B9-7513E55B3584}"/>
    <cellStyle name="40% - Accent6 2 7 2 3" xfId="29512" xr:uid="{1DC96661-CE0F-4AC9-B6FA-DDEABAA80884}"/>
    <cellStyle name="40% - Accent6 2 7 2 4" xfId="21071" xr:uid="{4767F047-DBCD-4535-B64B-BC0C42637556}"/>
    <cellStyle name="40% - Accent6 2 7 2 5" xfId="12623" xr:uid="{7F15D664-3F71-49CB-9CA0-BC7E9EBD1E13}"/>
    <cellStyle name="40% - Accent6 2 7 3" xfId="6246" xr:uid="{00000000-0005-0000-0000-00002E070000}"/>
    <cellStyle name="40% - Accent6 2 7 3 2" xfId="31585" xr:uid="{EDA5FC2A-8254-4489-B630-66F4FB1F61E7}"/>
    <cellStyle name="40% - Accent6 2 7 3 3" xfId="23144" xr:uid="{83C56E7A-4C25-4A9C-82B5-51EF686119F0}"/>
    <cellStyle name="40% - Accent6 2 7 3 4" xfId="14696" xr:uid="{E411CBC8-0C07-4BBF-9CA6-BF741C8BA47C}"/>
    <cellStyle name="40% - Accent6 2 7 4" xfId="27367" xr:uid="{64AEDF39-6FEC-4FF2-813A-000775D66379}"/>
    <cellStyle name="40% - Accent6 2 7 5" xfId="18926" xr:uid="{9C1161EE-6F40-4F83-924A-BD5050363118}"/>
    <cellStyle name="40% - Accent6 2 7 6" xfId="10478" xr:uid="{09B2D38D-8161-4393-AA27-66DE2F0A2FFE}"/>
    <cellStyle name="40% - Accent6 2 8" xfId="2353" xr:uid="{00000000-0005-0000-0000-00002F070000}"/>
    <cellStyle name="40% - Accent6 2 8 2" xfId="6659" xr:uid="{00000000-0005-0000-0000-000030070000}"/>
    <cellStyle name="40% - Accent6 2 8 2 2" xfId="31998" xr:uid="{C8B293AD-19D8-4EEF-ACD5-6E4862DF7814}"/>
    <cellStyle name="40% - Accent6 2 8 2 3" xfId="23557" xr:uid="{86BC1189-0B47-4B7E-A82D-DEFD1B186A9E}"/>
    <cellStyle name="40% - Accent6 2 8 2 4" xfId="15109" xr:uid="{BB584A99-DD5F-4815-8CFF-F996A810B7BD}"/>
    <cellStyle name="40% - Accent6 2 8 3" xfId="27780" xr:uid="{1C576059-ABAE-4B19-AEDD-1C38F8A4B470}"/>
    <cellStyle name="40% - Accent6 2 8 4" xfId="19339" xr:uid="{4F046CBB-0AAB-4B0A-975F-37FA8ECF2D1D}"/>
    <cellStyle name="40% - Accent6 2 8 5" xfId="10891" xr:uid="{730E7CF7-C62F-4712-B017-7549383A8641}"/>
    <cellStyle name="40% - Accent6 2 9" xfId="4593" xr:uid="{00000000-0005-0000-0000-000031070000}"/>
    <cellStyle name="40% - Accent6 2 9 2" xfId="29932" xr:uid="{17A58706-D3CA-41F2-BA0A-3137D9051043}"/>
    <cellStyle name="40% - Accent6 2 9 3" xfId="21491" xr:uid="{BDA0F687-3E2C-4C32-A6EB-F1F67AD7D141}"/>
    <cellStyle name="40% - Accent6 2 9 4" xfId="13043" xr:uid="{F0D93B77-0FA4-4299-827C-28A757CE32FB}"/>
    <cellStyle name="40% - Accent6 3" xfId="94" xr:uid="{00000000-0005-0000-0000-000032070000}"/>
    <cellStyle name="40% - Accent6 3 10" xfId="17277" xr:uid="{7D2172EA-43FE-47AF-9551-8BF6C48CDD70}"/>
    <cellStyle name="40% - Accent6 3 11" xfId="8829" xr:uid="{0F39F9AB-FEF6-42CB-903F-822928F4E5AC}"/>
    <cellStyle name="40% - Accent6 3 2" xfId="95" xr:uid="{00000000-0005-0000-0000-000033070000}"/>
    <cellStyle name="40% - Accent6 3 2 10" xfId="8830" xr:uid="{1191C742-FA51-4FC6-9B38-AF5CA5C91AB5}"/>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32496" xr:uid="{90C6253B-E44D-4BE5-9FCE-C99793C6E06B}"/>
    <cellStyle name="40% - Accent6 3 2 2 2 2 3" xfId="24055" xr:uid="{F817C6B8-9864-4597-859A-B45AF1489930}"/>
    <cellStyle name="40% - Accent6 3 2 2 2 2 4" xfId="15607" xr:uid="{BD2757FB-DA90-4B78-A079-3C218E294836}"/>
    <cellStyle name="40% - Accent6 3 2 2 2 3" xfId="28278" xr:uid="{4F4B92C3-5662-4426-A698-0BB9DD8DB759}"/>
    <cellStyle name="40% - Accent6 3 2 2 2 4" xfId="19837" xr:uid="{A54193F7-201D-4E0D-98E9-CC6C1B6843D7}"/>
    <cellStyle name="40% - Accent6 3 2 2 2 5" xfId="11389" xr:uid="{D7F73938-FEF5-4DC6-BBD7-B096DC9BCDAB}"/>
    <cellStyle name="40% - Accent6 3 2 2 3" xfId="5012" xr:uid="{00000000-0005-0000-0000-000037070000}"/>
    <cellStyle name="40% - Accent6 3 2 2 3 2" xfId="30351" xr:uid="{3F7E5130-4114-47FB-8C44-E4AA0DC4669B}"/>
    <cellStyle name="40% - Accent6 3 2 2 3 3" xfId="21910" xr:uid="{B00E0408-DE69-4B36-B42F-EB5BDF29E794}"/>
    <cellStyle name="40% - Accent6 3 2 2 3 4" xfId="13462" xr:uid="{3088F03C-DDF1-49BF-B482-A65012B7C8B3}"/>
    <cellStyle name="40% - Accent6 3 2 2 4" xfId="26133" xr:uid="{06AB5CD8-24A7-4E51-911B-1CF5756F5985}"/>
    <cellStyle name="40% - Accent6 3 2 2 5" xfId="17692" xr:uid="{72CD060F-9583-4F66-89C6-D5CCE65AF5AE}"/>
    <cellStyle name="40% - Accent6 3 2 2 6" xfId="9244" xr:uid="{FB841AD4-1932-4248-AE76-A2239EACA202}"/>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32909" xr:uid="{1D2020F3-F581-428C-89A7-B68767CB323B}"/>
    <cellStyle name="40% - Accent6 3 2 3 2 2 3" xfId="24468" xr:uid="{459170D9-6880-4F8E-917B-66845B30312E}"/>
    <cellStyle name="40% - Accent6 3 2 3 2 2 4" xfId="16020" xr:uid="{B4857867-9D2E-42C0-BB09-BA90197CD104}"/>
    <cellStyle name="40% - Accent6 3 2 3 2 3" xfId="28691" xr:uid="{29E53B78-81C1-4639-829A-25D7E3FA1626}"/>
    <cellStyle name="40% - Accent6 3 2 3 2 4" xfId="20250" xr:uid="{E29A4B7C-DA02-472C-A78C-BCB5BD066332}"/>
    <cellStyle name="40% - Accent6 3 2 3 2 5" xfId="11802" xr:uid="{571E0AF9-FADF-473D-9DF1-6E5D06A874F1}"/>
    <cellStyle name="40% - Accent6 3 2 3 3" xfId="5425" xr:uid="{00000000-0005-0000-0000-00003B070000}"/>
    <cellStyle name="40% - Accent6 3 2 3 3 2" xfId="30764" xr:uid="{595F59CF-0640-4FC3-809B-33CCD28A1091}"/>
    <cellStyle name="40% - Accent6 3 2 3 3 3" xfId="22323" xr:uid="{B5373A23-B721-4721-A16D-C6D921CA66B0}"/>
    <cellStyle name="40% - Accent6 3 2 3 3 4" xfId="13875" xr:uid="{25100428-ACA5-41FD-9F4B-30D515C689E6}"/>
    <cellStyle name="40% - Accent6 3 2 3 4" xfId="26546" xr:uid="{240A82AD-EC29-4ECB-8931-C5398474A50C}"/>
    <cellStyle name="40% - Accent6 3 2 3 5" xfId="18105" xr:uid="{C9BBFB65-FEDC-481E-9247-449662D8C7B1}"/>
    <cellStyle name="40% - Accent6 3 2 3 6" xfId="9657" xr:uid="{E64DDF3A-BDA6-4B6F-B6A8-20583029E424}"/>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33322" xr:uid="{E80E6866-3736-4C6B-91B9-3BC32BF56753}"/>
    <cellStyle name="40% - Accent6 3 2 4 2 2 3" xfId="24881" xr:uid="{63359BE4-B6A8-4A82-A639-FF6CA976C0BC}"/>
    <cellStyle name="40% - Accent6 3 2 4 2 2 4" xfId="16433" xr:uid="{D0F976E3-C27C-4388-A23F-9B8046FF2A9D}"/>
    <cellStyle name="40% - Accent6 3 2 4 2 3" xfId="29104" xr:uid="{728F2BB0-7644-4C58-ACE9-8F4226F62C58}"/>
    <cellStyle name="40% - Accent6 3 2 4 2 4" xfId="20663" xr:uid="{F061AEA6-49A1-47DA-BB16-D31DB8FB89CA}"/>
    <cellStyle name="40% - Accent6 3 2 4 2 5" xfId="12215" xr:uid="{FE9531C8-A31E-4691-8E88-6BA246D23996}"/>
    <cellStyle name="40% - Accent6 3 2 4 3" xfId="5838" xr:uid="{00000000-0005-0000-0000-00003F070000}"/>
    <cellStyle name="40% - Accent6 3 2 4 3 2" xfId="31177" xr:uid="{5F7F4B86-95A1-475E-BA0D-A779C2A798D5}"/>
    <cellStyle name="40% - Accent6 3 2 4 3 3" xfId="22736" xr:uid="{65FEDC55-4407-44EF-ADCD-3E3641EABBE9}"/>
    <cellStyle name="40% - Accent6 3 2 4 3 4" xfId="14288" xr:uid="{7E912F3B-9923-4431-8D17-0F15C7D0466F}"/>
    <cellStyle name="40% - Accent6 3 2 4 4" xfId="26959" xr:uid="{F29889B4-5C96-4D54-83C3-6E00FAB4844A}"/>
    <cellStyle name="40% - Accent6 3 2 4 5" xfId="18518" xr:uid="{D13A7E21-A46C-481C-B642-7503806FF144}"/>
    <cellStyle name="40% - Accent6 3 2 4 6" xfId="10070" xr:uid="{A5B14362-EB01-482B-AF37-1922F184A6A8}"/>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33735" xr:uid="{A723D7BF-3BA5-4FA8-ABB2-03F268EF2711}"/>
    <cellStyle name="40% - Accent6 3 2 5 2 2 3" xfId="25294" xr:uid="{4BDCC046-AF84-4D7D-ACC4-F49ACFD833D2}"/>
    <cellStyle name="40% - Accent6 3 2 5 2 2 4" xfId="16846" xr:uid="{A38FEE73-9819-4010-8010-4FDEC5AA2ED3}"/>
    <cellStyle name="40% - Accent6 3 2 5 2 3" xfId="29517" xr:uid="{A19176CA-EA34-4575-84DE-02E42CC578FC}"/>
    <cellStyle name="40% - Accent6 3 2 5 2 4" xfId="21076" xr:uid="{D0249201-2FEC-49D0-9144-A71F0BCC0EB6}"/>
    <cellStyle name="40% - Accent6 3 2 5 2 5" xfId="12628" xr:uid="{4DF5006E-AA91-412A-A8D5-8609B38600D3}"/>
    <cellStyle name="40% - Accent6 3 2 5 3" xfId="6251" xr:uid="{00000000-0005-0000-0000-000043070000}"/>
    <cellStyle name="40% - Accent6 3 2 5 3 2" xfId="31590" xr:uid="{9C5D4C50-4CE2-4D0E-AC52-1F25C3A3D28B}"/>
    <cellStyle name="40% - Accent6 3 2 5 3 3" xfId="23149" xr:uid="{DDD88872-7C5E-487C-8225-6ABBE94501FE}"/>
    <cellStyle name="40% - Accent6 3 2 5 3 4" xfId="14701" xr:uid="{B7C7D7A3-9D14-48C7-BC35-22FE4660A95A}"/>
    <cellStyle name="40% - Accent6 3 2 5 4" xfId="27372" xr:uid="{B79CAF88-A508-4B2B-AD42-7E3202704A0D}"/>
    <cellStyle name="40% - Accent6 3 2 5 5" xfId="18931" xr:uid="{1FE00080-4E8C-4D28-B62A-331BD269BED8}"/>
    <cellStyle name="40% - Accent6 3 2 5 6" xfId="10483" xr:uid="{0185F1EE-C69C-4D1B-88A3-04C6893233C7}"/>
    <cellStyle name="40% - Accent6 3 2 6" xfId="2358" xr:uid="{00000000-0005-0000-0000-000044070000}"/>
    <cellStyle name="40% - Accent6 3 2 6 2" xfId="6664" xr:uid="{00000000-0005-0000-0000-000045070000}"/>
    <cellStyle name="40% - Accent6 3 2 6 2 2" xfId="32003" xr:uid="{B4A7B976-4EFC-4E40-B60C-C6AB9B084AC0}"/>
    <cellStyle name="40% - Accent6 3 2 6 2 3" xfId="23562" xr:uid="{E59DDB66-A1C4-4493-AA3C-113032F45835}"/>
    <cellStyle name="40% - Accent6 3 2 6 2 4" xfId="15114" xr:uid="{9B4BCD88-74F1-48EA-8D62-6CE0E025F82C}"/>
    <cellStyle name="40% - Accent6 3 2 6 3" xfId="27785" xr:uid="{09606609-CC90-4082-96B9-190A6ADF0A64}"/>
    <cellStyle name="40% - Accent6 3 2 6 4" xfId="19344" xr:uid="{AB2CBF91-15B2-4C20-8CE0-05BFCAC5E513}"/>
    <cellStyle name="40% - Accent6 3 2 6 5" xfId="10896" xr:uid="{89313D38-157C-41CF-BC87-A28C1648CA54}"/>
    <cellStyle name="40% - Accent6 3 2 7" xfId="4598" xr:uid="{00000000-0005-0000-0000-000046070000}"/>
    <cellStyle name="40% - Accent6 3 2 7 2" xfId="29937" xr:uid="{D39A4980-8E2F-4BF5-A428-99E660FDFD68}"/>
    <cellStyle name="40% - Accent6 3 2 7 3" xfId="21496" xr:uid="{862BA002-7581-4173-8E9B-8E898301DF18}"/>
    <cellStyle name="40% - Accent6 3 2 7 4" xfId="13048" xr:uid="{65E6A819-ECE7-4C13-AE71-A66F95B9AE75}"/>
    <cellStyle name="40% - Accent6 3 2 8" xfId="25719" xr:uid="{C2AC273B-C189-42AF-8898-5EE23A4231C4}"/>
    <cellStyle name="40% - Accent6 3 2 9" xfId="17278" xr:uid="{B288D246-A873-43F9-94D5-98B5AFDE09AB}"/>
    <cellStyle name="40% - Accent6 3 3" xfId="663" xr:uid="{00000000-0005-0000-0000-000047070000}"/>
    <cellStyle name="40% - Accent6 3 3 2" xfId="2934" xr:uid="{00000000-0005-0000-0000-000048070000}"/>
    <cellStyle name="40% - Accent6 3 3 2 2" xfId="7156" xr:uid="{00000000-0005-0000-0000-000049070000}"/>
    <cellStyle name="40% - Accent6 3 3 2 2 2" xfId="32495" xr:uid="{CBFE4EFD-ECDB-4CB1-93B0-B84A3305D6F7}"/>
    <cellStyle name="40% - Accent6 3 3 2 2 3" xfId="24054" xr:uid="{045F8D30-1F8C-42AB-B6CD-5C4E1E3EEFC6}"/>
    <cellStyle name="40% - Accent6 3 3 2 2 4" xfId="15606" xr:uid="{947BE390-BEBF-4F89-8662-C302AB0B8209}"/>
    <cellStyle name="40% - Accent6 3 3 2 3" xfId="28277" xr:uid="{C8B76970-6F9F-46F0-B17E-81A7E0DFC0D5}"/>
    <cellStyle name="40% - Accent6 3 3 2 4" xfId="19836" xr:uid="{73A22BD4-C18D-411F-B11D-37FDA11B34B3}"/>
    <cellStyle name="40% - Accent6 3 3 2 5" xfId="11388" xr:uid="{88EFA0E2-34B2-4B3A-9A60-50C04D33E224}"/>
    <cellStyle name="40% - Accent6 3 3 3" xfId="5011" xr:uid="{00000000-0005-0000-0000-00004A070000}"/>
    <cellStyle name="40% - Accent6 3 3 3 2" xfId="30350" xr:uid="{0323C86A-BC0E-40E4-9DA2-12276575B745}"/>
    <cellStyle name="40% - Accent6 3 3 3 3" xfId="21909" xr:uid="{59574F94-EBD6-44C4-858C-E628B2C18334}"/>
    <cellStyle name="40% - Accent6 3 3 3 4" xfId="13461" xr:uid="{7C00833C-F112-46E0-9E40-E64E0A8B873A}"/>
    <cellStyle name="40% - Accent6 3 3 4" xfId="26132" xr:uid="{7EFBAA66-601A-479A-BE7F-3DC763A0B59D}"/>
    <cellStyle name="40% - Accent6 3 3 5" xfId="17691" xr:uid="{E1EF974B-864D-41C4-A456-74D8CBCB7D58}"/>
    <cellStyle name="40% - Accent6 3 3 6" xfId="9243" xr:uid="{5FEBA5A3-8C85-4E2C-A295-5AD0CC725F67}"/>
    <cellStyle name="40% - Accent6 3 4" xfId="1116" xr:uid="{00000000-0005-0000-0000-00004B070000}"/>
    <cellStyle name="40% - Accent6 3 4 2" xfId="3347" xr:uid="{00000000-0005-0000-0000-00004C070000}"/>
    <cellStyle name="40% - Accent6 3 4 2 2" xfId="7569" xr:uid="{00000000-0005-0000-0000-00004D070000}"/>
    <cellStyle name="40% - Accent6 3 4 2 2 2" xfId="32908" xr:uid="{38797CFF-C80B-404A-A5A3-962CD30F2AC8}"/>
    <cellStyle name="40% - Accent6 3 4 2 2 3" xfId="24467" xr:uid="{B2FE03AD-C3A9-4F37-8402-97B008661E22}"/>
    <cellStyle name="40% - Accent6 3 4 2 2 4" xfId="16019" xr:uid="{4C508C9C-90C1-4279-BC97-E6254027EF65}"/>
    <cellStyle name="40% - Accent6 3 4 2 3" xfId="28690" xr:uid="{9F8BA2DE-AD6F-4DA3-9F33-41C0584A765C}"/>
    <cellStyle name="40% - Accent6 3 4 2 4" xfId="20249" xr:uid="{7A4FC649-92A2-48A3-A911-D468AE84CE09}"/>
    <cellStyle name="40% - Accent6 3 4 2 5" xfId="11801" xr:uid="{CE7F31BE-DF91-42E7-8B1B-E47BE9653B79}"/>
    <cellStyle name="40% - Accent6 3 4 3" xfId="5424" xr:uid="{00000000-0005-0000-0000-00004E070000}"/>
    <cellStyle name="40% - Accent6 3 4 3 2" xfId="30763" xr:uid="{8ADAB5A0-CC77-4969-9BA6-DFD7DFBA36FD}"/>
    <cellStyle name="40% - Accent6 3 4 3 3" xfId="22322" xr:uid="{98E73188-20D3-4B01-A40D-78D6DD693253}"/>
    <cellStyle name="40% - Accent6 3 4 3 4" xfId="13874" xr:uid="{2DBC75DE-3DDB-4909-8CD8-60C27D8E695E}"/>
    <cellStyle name="40% - Accent6 3 4 4" xfId="26545" xr:uid="{F827D258-EE90-4F13-B115-019852FAE079}"/>
    <cellStyle name="40% - Accent6 3 4 5" xfId="18104" xr:uid="{394E32BA-9A27-49F5-AA76-D52543B1D64A}"/>
    <cellStyle name="40% - Accent6 3 4 6" xfId="9656" xr:uid="{9D111BA4-DE3D-4DB2-AD5B-42474FCD0F9D}"/>
    <cellStyle name="40% - Accent6 3 5" xfId="1530" xr:uid="{00000000-0005-0000-0000-00004F070000}"/>
    <cellStyle name="40% - Accent6 3 5 2" xfId="3760" xr:uid="{00000000-0005-0000-0000-000050070000}"/>
    <cellStyle name="40% - Accent6 3 5 2 2" xfId="7982" xr:uid="{00000000-0005-0000-0000-000051070000}"/>
    <cellStyle name="40% - Accent6 3 5 2 2 2" xfId="33321" xr:uid="{B43FA8F4-EA7A-444C-BD0F-0914CD20F3F7}"/>
    <cellStyle name="40% - Accent6 3 5 2 2 3" xfId="24880" xr:uid="{ACA70BC3-6D12-496F-AA20-88BBA5C3F36E}"/>
    <cellStyle name="40% - Accent6 3 5 2 2 4" xfId="16432" xr:uid="{99945313-590E-432A-BEF5-154DB7DA0659}"/>
    <cellStyle name="40% - Accent6 3 5 2 3" xfId="29103" xr:uid="{38CAA1FC-6B5C-4474-8F1C-1F828A5D05A7}"/>
    <cellStyle name="40% - Accent6 3 5 2 4" xfId="20662" xr:uid="{4C0EAC13-3B9F-4974-85DD-2C15B7374CD9}"/>
    <cellStyle name="40% - Accent6 3 5 2 5" xfId="12214" xr:uid="{4C2FDD57-E5E1-49DA-A00D-F69079ACA20D}"/>
    <cellStyle name="40% - Accent6 3 5 3" xfId="5837" xr:uid="{00000000-0005-0000-0000-000052070000}"/>
    <cellStyle name="40% - Accent6 3 5 3 2" xfId="31176" xr:uid="{26CD86FF-66E1-4630-A09F-27C37E8CAC67}"/>
    <cellStyle name="40% - Accent6 3 5 3 3" xfId="22735" xr:uid="{AD1CC7DE-80DB-47FD-8816-D22D4B0D254F}"/>
    <cellStyle name="40% - Accent6 3 5 3 4" xfId="14287" xr:uid="{C8E69AA2-BD08-4ABA-906D-1DE50B2B8EA2}"/>
    <cellStyle name="40% - Accent6 3 5 4" xfId="26958" xr:uid="{772D7409-EFCB-48DD-AFB0-2A496E8CD97B}"/>
    <cellStyle name="40% - Accent6 3 5 5" xfId="18517" xr:uid="{5DD246F6-C1D7-40A2-8685-F78CAA14177E}"/>
    <cellStyle name="40% - Accent6 3 5 6" xfId="10069" xr:uid="{16912CC3-2FA9-4A26-96B3-E034C5CA462B}"/>
    <cellStyle name="40% - Accent6 3 6" xfId="1944" xr:uid="{00000000-0005-0000-0000-000053070000}"/>
    <cellStyle name="40% - Accent6 3 6 2" xfId="4173" xr:uid="{00000000-0005-0000-0000-000054070000}"/>
    <cellStyle name="40% - Accent6 3 6 2 2" xfId="8395" xr:uid="{00000000-0005-0000-0000-000055070000}"/>
    <cellStyle name="40% - Accent6 3 6 2 2 2" xfId="33734" xr:uid="{0EB4DEB5-CE11-4A25-8CDC-E6E3604B94D3}"/>
    <cellStyle name="40% - Accent6 3 6 2 2 3" xfId="25293" xr:uid="{DAE37B13-FC45-40A0-8CB3-CE71C1A91A0E}"/>
    <cellStyle name="40% - Accent6 3 6 2 2 4" xfId="16845" xr:uid="{68262D20-5742-4983-BF55-0384535873F4}"/>
    <cellStyle name="40% - Accent6 3 6 2 3" xfId="29516" xr:uid="{A052B1BB-A36C-4C47-B3C3-DCF801689D66}"/>
    <cellStyle name="40% - Accent6 3 6 2 4" xfId="21075" xr:uid="{08DF9A9F-EC36-4BC1-AB2F-CDD1C90B11AB}"/>
    <cellStyle name="40% - Accent6 3 6 2 5" xfId="12627" xr:uid="{301742BF-81CA-41DD-9058-CA5E0DC3FE46}"/>
    <cellStyle name="40% - Accent6 3 6 3" xfId="6250" xr:uid="{00000000-0005-0000-0000-000056070000}"/>
    <cellStyle name="40% - Accent6 3 6 3 2" xfId="31589" xr:uid="{0B2AA8B2-6B83-4106-B075-23BBFD9E49F9}"/>
    <cellStyle name="40% - Accent6 3 6 3 3" xfId="23148" xr:uid="{2B8E10CE-024F-49DB-8EF3-989F6E922A9D}"/>
    <cellStyle name="40% - Accent6 3 6 3 4" xfId="14700" xr:uid="{6C8A3686-B6CF-4004-85FF-82366268D0B8}"/>
    <cellStyle name="40% - Accent6 3 6 4" xfId="27371" xr:uid="{891059E1-F61C-4B1F-9CC4-0E2BE571D4AF}"/>
    <cellStyle name="40% - Accent6 3 6 5" xfId="18930" xr:uid="{7D72EAF9-44DC-475B-A56D-088F1B0F9380}"/>
    <cellStyle name="40% - Accent6 3 6 6" xfId="10482" xr:uid="{1759E048-FF32-4FA2-81CD-71D3BA192799}"/>
    <cellStyle name="40% - Accent6 3 7" xfId="2357" xr:uid="{00000000-0005-0000-0000-000057070000}"/>
    <cellStyle name="40% - Accent6 3 7 2" xfId="6663" xr:uid="{00000000-0005-0000-0000-000058070000}"/>
    <cellStyle name="40% - Accent6 3 7 2 2" xfId="32002" xr:uid="{7B0EDC5F-1875-4643-AB1B-D4D1F3076AB9}"/>
    <cellStyle name="40% - Accent6 3 7 2 3" xfId="23561" xr:uid="{421F0500-0F31-4B1D-84CF-9C4E3DF0BDF1}"/>
    <cellStyle name="40% - Accent6 3 7 2 4" xfId="15113" xr:uid="{13318D0E-87C6-4532-A701-D3255D40C7FE}"/>
    <cellStyle name="40% - Accent6 3 7 3" xfId="27784" xr:uid="{1670E651-7CDD-4776-815D-4D55A4F06541}"/>
    <cellStyle name="40% - Accent6 3 7 4" xfId="19343" xr:uid="{679A9704-B4CC-4F6C-B1AA-7DB1D6735CF6}"/>
    <cellStyle name="40% - Accent6 3 7 5" xfId="10895" xr:uid="{1526BD5C-C8F7-4500-A69E-9FBD3C0E95F4}"/>
    <cellStyle name="40% - Accent6 3 8" xfId="4597" xr:uid="{00000000-0005-0000-0000-000059070000}"/>
    <cellStyle name="40% - Accent6 3 8 2" xfId="29936" xr:uid="{307FE5FD-ADE2-473F-B407-32AE205CF56D}"/>
    <cellStyle name="40% - Accent6 3 8 3" xfId="21495" xr:uid="{74C90DAA-F599-4E47-8785-14193A4C3BF0}"/>
    <cellStyle name="40% - Accent6 3 8 4" xfId="13047" xr:uid="{023476B8-5389-492A-B32D-0C77ECC71F8E}"/>
    <cellStyle name="40% - Accent6 3 9" xfId="25718" xr:uid="{17538874-F47E-4098-9225-0DD8B7CCB1B4}"/>
    <cellStyle name="40% - Accent6 4" xfId="96" xr:uid="{00000000-0005-0000-0000-00005A070000}"/>
    <cellStyle name="40% - Accent6 4 10" xfId="8831" xr:uid="{298CF126-F9F1-406C-BC03-EC0AB9A4F62D}"/>
    <cellStyle name="40% - Accent6 4 2" xfId="665" xr:uid="{00000000-0005-0000-0000-00005B070000}"/>
    <cellStyle name="40% - Accent6 4 2 2" xfId="2936" xr:uid="{00000000-0005-0000-0000-00005C070000}"/>
    <cellStyle name="40% - Accent6 4 2 2 2" xfId="7158" xr:uid="{00000000-0005-0000-0000-00005D070000}"/>
    <cellStyle name="40% - Accent6 4 2 2 2 2" xfId="32497" xr:uid="{2B3037F5-7D84-4FF0-A96C-BEBF896CBC1F}"/>
    <cellStyle name="40% - Accent6 4 2 2 2 3" xfId="24056" xr:uid="{1C39E34B-7D74-458D-819A-17096CC58FAA}"/>
    <cellStyle name="40% - Accent6 4 2 2 2 4" xfId="15608" xr:uid="{7A10955C-F241-43B1-BABB-8883C73BDC64}"/>
    <cellStyle name="40% - Accent6 4 2 2 3" xfId="28279" xr:uid="{FB574475-6917-4B4F-B47B-66F2ACA36CDA}"/>
    <cellStyle name="40% - Accent6 4 2 2 4" xfId="19838" xr:uid="{A45E1CD3-2177-418F-8B11-B79FD7C411F1}"/>
    <cellStyle name="40% - Accent6 4 2 2 5" xfId="11390" xr:uid="{3FDD19C6-D477-4CA6-8C3F-B59D2EFA7788}"/>
    <cellStyle name="40% - Accent6 4 2 3" xfId="5013" xr:uid="{00000000-0005-0000-0000-00005E070000}"/>
    <cellStyle name="40% - Accent6 4 2 3 2" xfId="30352" xr:uid="{4B5B12C9-7F07-4DCC-BEE8-B171736C7D7D}"/>
    <cellStyle name="40% - Accent6 4 2 3 3" xfId="21911" xr:uid="{C4105B87-5EEC-4910-94AF-9E6AA651EE62}"/>
    <cellStyle name="40% - Accent6 4 2 3 4" xfId="13463" xr:uid="{9D9A206F-6F0B-45D0-BA6F-813702C15236}"/>
    <cellStyle name="40% - Accent6 4 2 4" xfId="26134" xr:uid="{26A18DA6-C434-441A-AC5E-A10B0F4FFF38}"/>
    <cellStyle name="40% - Accent6 4 2 5" xfId="17693" xr:uid="{5A060737-1BF0-4202-B149-054E6C97B0A0}"/>
    <cellStyle name="40% - Accent6 4 2 6" xfId="9245" xr:uid="{B4BC7F6A-6766-4AC7-9923-5617B973977A}"/>
    <cellStyle name="40% - Accent6 4 3" xfId="1118" xr:uid="{00000000-0005-0000-0000-00005F070000}"/>
    <cellStyle name="40% - Accent6 4 3 2" xfId="3349" xr:uid="{00000000-0005-0000-0000-000060070000}"/>
    <cellStyle name="40% - Accent6 4 3 2 2" xfId="7571" xr:uid="{00000000-0005-0000-0000-000061070000}"/>
    <cellStyle name="40% - Accent6 4 3 2 2 2" xfId="32910" xr:uid="{708C0FD7-4677-41C2-91BF-65E69374D4C0}"/>
    <cellStyle name="40% - Accent6 4 3 2 2 3" xfId="24469" xr:uid="{270DBC08-BF8F-43C1-9EE7-2275553F2217}"/>
    <cellStyle name="40% - Accent6 4 3 2 2 4" xfId="16021" xr:uid="{5C1D1DB9-82B4-4B43-942B-08EC05A91771}"/>
    <cellStyle name="40% - Accent6 4 3 2 3" xfId="28692" xr:uid="{B21AB70A-0197-4E11-96BD-8AEFEEFD2149}"/>
    <cellStyle name="40% - Accent6 4 3 2 4" xfId="20251" xr:uid="{82B94A55-6C65-40BE-B25C-CA5B5C274416}"/>
    <cellStyle name="40% - Accent6 4 3 2 5" xfId="11803" xr:uid="{6D265196-22BA-45CF-8F8C-1C7615C2F2DD}"/>
    <cellStyle name="40% - Accent6 4 3 3" xfId="5426" xr:uid="{00000000-0005-0000-0000-000062070000}"/>
    <cellStyle name="40% - Accent6 4 3 3 2" xfId="30765" xr:uid="{D56313C1-E0CC-42DB-827D-2F8E9A12954D}"/>
    <cellStyle name="40% - Accent6 4 3 3 3" xfId="22324" xr:uid="{F0BCC5B5-702D-41B9-8E09-4D8AC7F7AF87}"/>
    <cellStyle name="40% - Accent6 4 3 3 4" xfId="13876" xr:uid="{EC8DDF54-8CDA-476E-9FAE-D5EEE2D951EC}"/>
    <cellStyle name="40% - Accent6 4 3 4" xfId="26547" xr:uid="{9CE7C0BD-58FC-442C-B1FA-27FCB36CF824}"/>
    <cellStyle name="40% - Accent6 4 3 5" xfId="18106" xr:uid="{DA3E3E8B-0B6D-4A36-AD3F-55A5CD17186D}"/>
    <cellStyle name="40% - Accent6 4 3 6" xfId="9658" xr:uid="{814F3684-72BB-4753-9A06-22B607D60F78}"/>
    <cellStyle name="40% - Accent6 4 4" xfId="1532" xr:uid="{00000000-0005-0000-0000-000063070000}"/>
    <cellStyle name="40% - Accent6 4 4 2" xfId="3762" xr:uid="{00000000-0005-0000-0000-000064070000}"/>
    <cellStyle name="40% - Accent6 4 4 2 2" xfId="7984" xr:uid="{00000000-0005-0000-0000-000065070000}"/>
    <cellStyle name="40% - Accent6 4 4 2 2 2" xfId="33323" xr:uid="{5E4FD672-5D8F-4788-8320-6386FF2289B4}"/>
    <cellStyle name="40% - Accent6 4 4 2 2 3" xfId="24882" xr:uid="{94D504EA-A6BA-43C5-8540-4CE0A501DBC3}"/>
    <cellStyle name="40% - Accent6 4 4 2 2 4" xfId="16434" xr:uid="{21F522D9-CF34-4E60-AAD1-60B36BBF1B8A}"/>
    <cellStyle name="40% - Accent6 4 4 2 3" xfId="29105" xr:uid="{1361F613-006D-4819-A46D-5FF80F63DA02}"/>
    <cellStyle name="40% - Accent6 4 4 2 4" xfId="20664" xr:uid="{FFAC8064-50E3-46E3-B4D7-075FBAB1332B}"/>
    <cellStyle name="40% - Accent6 4 4 2 5" xfId="12216" xr:uid="{A6585AB2-1AAD-411B-AB35-4D1F34FC6E02}"/>
    <cellStyle name="40% - Accent6 4 4 3" xfId="5839" xr:uid="{00000000-0005-0000-0000-000066070000}"/>
    <cellStyle name="40% - Accent6 4 4 3 2" xfId="31178" xr:uid="{45179762-33AF-4772-8707-5AEE7DA0774B}"/>
    <cellStyle name="40% - Accent6 4 4 3 3" xfId="22737" xr:uid="{10366848-3D3D-4EAC-A09C-370BF97D3B68}"/>
    <cellStyle name="40% - Accent6 4 4 3 4" xfId="14289" xr:uid="{23C9FFAA-B405-4DD6-A123-36993AF1552D}"/>
    <cellStyle name="40% - Accent6 4 4 4" xfId="26960" xr:uid="{15069BDB-A5FB-4CB2-80E3-2A1AFFBA35CF}"/>
    <cellStyle name="40% - Accent6 4 4 5" xfId="18519" xr:uid="{D2633690-581F-4292-8E61-0B86186030BD}"/>
    <cellStyle name="40% - Accent6 4 4 6" xfId="10071" xr:uid="{B7910BC0-5A08-4F73-8466-9EB57DDA988C}"/>
    <cellStyle name="40% - Accent6 4 5" xfId="1946" xr:uid="{00000000-0005-0000-0000-000067070000}"/>
    <cellStyle name="40% - Accent6 4 5 2" xfId="4175" xr:uid="{00000000-0005-0000-0000-000068070000}"/>
    <cellStyle name="40% - Accent6 4 5 2 2" xfId="8397" xr:uid="{00000000-0005-0000-0000-000069070000}"/>
    <cellStyle name="40% - Accent6 4 5 2 2 2" xfId="33736" xr:uid="{9CA2B212-49AC-4CAD-B1B9-73CD75FA228C}"/>
    <cellStyle name="40% - Accent6 4 5 2 2 3" xfId="25295" xr:uid="{90B384DC-538C-46F4-902C-7340DAC932DA}"/>
    <cellStyle name="40% - Accent6 4 5 2 2 4" xfId="16847" xr:uid="{9A085AF1-E76D-46F9-8022-DAD333ACC8D4}"/>
    <cellStyle name="40% - Accent6 4 5 2 3" xfId="29518" xr:uid="{1DC7F9E2-9371-4A57-BFF8-06F85CA783C1}"/>
    <cellStyle name="40% - Accent6 4 5 2 4" xfId="21077" xr:uid="{8D6A1E88-86D7-4E4F-A9AB-99B9708F2703}"/>
    <cellStyle name="40% - Accent6 4 5 2 5" xfId="12629" xr:uid="{DED0A1C4-0A41-46E5-BEB4-66BEC00D967C}"/>
    <cellStyle name="40% - Accent6 4 5 3" xfId="6252" xr:uid="{00000000-0005-0000-0000-00006A070000}"/>
    <cellStyle name="40% - Accent6 4 5 3 2" xfId="31591" xr:uid="{ACC77C8D-DD4B-4BFA-8C93-7731CD4819B3}"/>
    <cellStyle name="40% - Accent6 4 5 3 3" xfId="23150" xr:uid="{BE9A68E5-9DB5-4DE3-8075-BF74B3A5B352}"/>
    <cellStyle name="40% - Accent6 4 5 3 4" xfId="14702" xr:uid="{AF93CA55-257C-4B2D-8331-AFF943244CEF}"/>
    <cellStyle name="40% - Accent6 4 5 4" xfId="27373" xr:uid="{6CD02ADD-9214-42CE-B832-E55D2726CF88}"/>
    <cellStyle name="40% - Accent6 4 5 5" xfId="18932" xr:uid="{7E36CE5A-A6DD-4946-9C54-193E3266DE86}"/>
    <cellStyle name="40% - Accent6 4 5 6" xfId="10484" xr:uid="{05D46EA0-3464-4E00-BEBB-80DE5BE0734A}"/>
    <cellStyle name="40% - Accent6 4 6" xfId="2359" xr:uid="{00000000-0005-0000-0000-00006B070000}"/>
    <cellStyle name="40% - Accent6 4 6 2" xfId="6665" xr:uid="{00000000-0005-0000-0000-00006C070000}"/>
    <cellStyle name="40% - Accent6 4 6 2 2" xfId="32004" xr:uid="{811FFBDD-38C1-4132-AA47-6E965021834D}"/>
    <cellStyle name="40% - Accent6 4 6 2 3" xfId="23563" xr:uid="{D588DEB2-0A78-4C7E-957F-8ECC6F8651C1}"/>
    <cellStyle name="40% - Accent6 4 6 2 4" xfId="15115" xr:uid="{ED62F2D5-9805-443A-8CC4-ACE3EC3651B0}"/>
    <cellStyle name="40% - Accent6 4 6 3" xfId="27786" xr:uid="{6E14AAB5-5120-44DA-B4B6-2C1E8950E7B1}"/>
    <cellStyle name="40% - Accent6 4 6 4" xfId="19345" xr:uid="{B44A1F22-3B38-4508-BC31-B349A3A7A651}"/>
    <cellStyle name="40% - Accent6 4 6 5" xfId="10897" xr:uid="{D93F68B0-7103-4FE9-A008-8527AFAA64AF}"/>
    <cellStyle name="40% - Accent6 4 7" xfId="4599" xr:uid="{00000000-0005-0000-0000-00006D070000}"/>
    <cellStyle name="40% - Accent6 4 7 2" xfId="29938" xr:uid="{73922A01-0108-420E-955B-F4C0333B4FD7}"/>
    <cellStyle name="40% - Accent6 4 7 3" xfId="21497" xr:uid="{82DB1AC9-9C2D-409E-B2F8-27B7660AC5DD}"/>
    <cellStyle name="40% - Accent6 4 7 4" xfId="13049" xr:uid="{7583E733-2E22-454C-A172-F2989092E5F1}"/>
    <cellStyle name="40% - Accent6 4 8" xfId="25720" xr:uid="{37EADDD3-C058-4C82-B079-854A73B41977}"/>
    <cellStyle name="40% - Accent6 4 9" xfId="17279" xr:uid="{842640C1-767B-41EE-B171-43A3FD86DDCD}"/>
    <cellStyle name="40% - Accent6 5" xfId="658" xr:uid="{00000000-0005-0000-0000-00006E070000}"/>
    <cellStyle name="40% - Accent6 5 2" xfId="2929" xr:uid="{00000000-0005-0000-0000-00006F070000}"/>
    <cellStyle name="40% - Accent6 5 2 2" xfId="7151" xr:uid="{00000000-0005-0000-0000-000070070000}"/>
    <cellStyle name="40% - Accent6 5 2 2 2" xfId="32490" xr:uid="{044C929F-C632-47BD-A365-E2FC1E227741}"/>
    <cellStyle name="40% - Accent6 5 2 2 3" xfId="24049" xr:uid="{DF628263-130B-4E87-8B38-8F0795542AE9}"/>
    <cellStyle name="40% - Accent6 5 2 2 4" xfId="15601" xr:uid="{B0406942-4431-4146-A3CA-4EE7E9B5F5A7}"/>
    <cellStyle name="40% - Accent6 5 2 3" xfId="28272" xr:uid="{583B8296-369B-4CBC-A48B-915C69E951D7}"/>
    <cellStyle name="40% - Accent6 5 2 4" xfId="19831" xr:uid="{72E012CB-0E02-4422-9798-1771AEC9FF6B}"/>
    <cellStyle name="40% - Accent6 5 2 5" xfId="11383" xr:uid="{740A2C47-E332-4C4E-B80A-1387DB542D10}"/>
    <cellStyle name="40% - Accent6 5 3" xfId="5006" xr:uid="{00000000-0005-0000-0000-000071070000}"/>
    <cellStyle name="40% - Accent6 5 3 2" xfId="30345" xr:uid="{1618EDE9-D6ED-4E5F-9160-78329859CFD6}"/>
    <cellStyle name="40% - Accent6 5 3 3" xfId="21904" xr:uid="{EC654F05-D7DF-4DAB-B59C-F4CFE3ACA062}"/>
    <cellStyle name="40% - Accent6 5 3 4" xfId="13456" xr:uid="{A7810347-A3D7-4738-826B-8FD32691A389}"/>
    <cellStyle name="40% - Accent6 5 4" xfId="26127" xr:uid="{7E731C2A-6A4D-4AE2-BDA3-9AE9E2FD0C56}"/>
    <cellStyle name="40% - Accent6 5 5" xfId="17686" xr:uid="{B117BFF1-5564-4F38-BB0B-343206D0EC44}"/>
    <cellStyle name="40% - Accent6 5 6" xfId="9238" xr:uid="{9E1E881F-94CD-48EB-86EF-C674AABD877A}"/>
    <cellStyle name="40% - Accent6 6" xfId="1111" xr:uid="{00000000-0005-0000-0000-000072070000}"/>
    <cellStyle name="40% - Accent6 6 2" xfId="3342" xr:uid="{00000000-0005-0000-0000-000073070000}"/>
    <cellStyle name="40% - Accent6 6 2 2" xfId="7564" xr:uid="{00000000-0005-0000-0000-000074070000}"/>
    <cellStyle name="40% - Accent6 6 2 2 2" xfId="32903" xr:uid="{6871DAEE-887D-4EC9-A01C-4BB8FEB2EB60}"/>
    <cellStyle name="40% - Accent6 6 2 2 3" xfId="24462" xr:uid="{A50DEFD9-CF64-46DC-8D23-C0F1574B3C4B}"/>
    <cellStyle name="40% - Accent6 6 2 2 4" xfId="16014" xr:uid="{B75B5654-203A-452A-B04F-7A5E6CF6BD69}"/>
    <cellStyle name="40% - Accent6 6 2 3" xfId="28685" xr:uid="{C107812F-05C1-46ED-A434-0A152D70D2A4}"/>
    <cellStyle name="40% - Accent6 6 2 4" xfId="20244" xr:uid="{F81310BB-AAC5-4D33-93D4-AE7D6018F410}"/>
    <cellStyle name="40% - Accent6 6 2 5" xfId="11796" xr:uid="{854937D0-C1E7-4D79-B97A-EACC272B28CD}"/>
    <cellStyle name="40% - Accent6 6 3" xfId="5419" xr:uid="{00000000-0005-0000-0000-000075070000}"/>
    <cellStyle name="40% - Accent6 6 3 2" xfId="30758" xr:uid="{72D77DF0-7DE0-4879-B0E0-9ACDBEE02DDA}"/>
    <cellStyle name="40% - Accent6 6 3 3" xfId="22317" xr:uid="{E2680977-5878-4392-AE7D-98135B12133F}"/>
    <cellStyle name="40% - Accent6 6 3 4" xfId="13869" xr:uid="{1B192AF1-BB10-492B-959C-CE12704C7C67}"/>
    <cellStyle name="40% - Accent6 6 4" xfId="26540" xr:uid="{BEC5ED50-CE75-49D5-83CD-03A61B89A157}"/>
    <cellStyle name="40% - Accent6 6 5" xfId="18099" xr:uid="{0864BC37-D0A1-425E-B141-A83DFE3E211F}"/>
    <cellStyle name="40% - Accent6 6 6" xfId="9651" xr:uid="{482C5566-32AB-4FD9-A8B7-F165FE58DF3A}"/>
    <cellStyle name="40% - Accent6 7" xfId="1525" xr:uid="{00000000-0005-0000-0000-000076070000}"/>
    <cellStyle name="40% - Accent6 7 2" xfId="3755" xr:uid="{00000000-0005-0000-0000-000077070000}"/>
    <cellStyle name="40% - Accent6 7 2 2" xfId="7977" xr:uid="{00000000-0005-0000-0000-000078070000}"/>
    <cellStyle name="40% - Accent6 7 2 2 2" xfId="33316" xr:uid="{EE64C5EE-F0C4-44B8-A0D6-54B42FBFAD4E}"/>
    <cellStyle name="40% - Accent6 7 2 2 3" xfId="24875" xr:uid="{1FE7A104-0915-4BC8-B653-8D0236EB264E}"/>
    <cellStyle name="40% - Accent6 7 2 2 4" xfId="16427" xr:uid="{7FA2ADA5-583B-4DB4-A5EC-F3828E0BD384}"/>
    <cellStyle name="40% - Accent6 7 2 3" xfId="29098" xr:uid="{4099E21E-95C9-46CA-B0F4-4224DF17DD53}"/>
    <cellStyle name="40% - Accent6 7 2 4" xfId="20657" xr:uid="{E1668E60-A390-4BA8-B830-618701487F7F}"/>
    <cellStyle name="40% - Accent6 7 2 5" xfId="12209" xr:uid="{201DEF2A-FE4C-4F37-BEDA-684B349FF38C}"/>
    <cellStyle name="40% - Accent6 7 3" xfId="5832" xr:uid="{00000000-0005-0000-0000-000079070000}"/>
    <cellStyle name="40% - Accent6 7 3 2" xfId="31171" xr:uid="{46E4ED5C-CB5C-4DD2-97E0-80F8AC46B68F}"/>
    <cellStyle name="40% - Accent6 7 3 3" xfId="22730" xr:uid="{B8E1CD4A-0AE9-4D4B-AD76-286B3B213068}"/>
    <cellStyle name="40% - Accent6 7 3 4" xfId="14282" xr:uid="{0C7D8BB6-C702-4305-8E31-50F30A104562}"/>
    <cellStyle name="40% - Accent6 7 4" xfId="26953" xr:uid="{0145E681-0455-4C9E-9DA5-154FFEB13BF1}"/>
    <cellStyle name="40% - Accent6 7 5" xfId="18512" xr:uid="{451074D9-5C0F-41EF-A50B-30D5F8834DE1}"/>
    <cellStyle name="40% - Accent6 7 6" xfId="10064" xr:uid="{E10B9F73-A959-467A-B583-C47282E60A48}"/>
    <cellStyle name="40% - Accent6 8" xfId="1939" xr:uid="{00000000-0005-0000-0000-00007A070000}"/>
    <cellStyle name="40% - Accent6 8 2" xfId="4168" xr:uid="{00000000-0005-0000-0000-00007B070000}"/>
    <cellStyle name="40% - Accent6 8 2 2" xfId="8390" xr:uid="{00000000-0005-0000-0000-00007C070000}"/>
    <cellStyle name="40% - Accent6 8 2 2 2" xfId="33729" xr:uid="{EFFA5EF0-5C7D-4ADE-BCE2-0BF6FDEACD15}"/>
    <cellStyle name="40% - Accent6 8 2 2 3" xfId="25288" xr:uid="{8C8FDB3E-F74E-405C-8685-21AC8A2933E5}"/>
    <cellStyle name="40% - Accent6 8 2 2 4" xfId="16840" xr:uid="{2D83F277-1188-4A21-AE16-C93AAF601694}"/>
    <cellStyle name="40% - Accent6 8 2 3" xfId="29511" xr:uid="{81F1786D-F575-4CD8-816A-846D3F27EE5E}"/>
    <cellStyle name="40% - Accent6 8 2 4" xfId="21070" xr:uid="{AF96C8F0-4724-4844-863F-2F5BF902267B}"/>
    <cellStyle name="40% - Accent6 8 2 5" xfId="12622" xr:uid="{5394BB0C-30AC-4AE9-B824-1594AFA0625E}"/>
    <cellStyle name="40% - Accent6 8 3" xfId="6245" xr:uid="{00000000-0005-0000-0000-00007D070000}"/>
    <cellStyle name="40% - Accent6 8 3 2" xfId="31584" xr:uid="{B7B3F3FC-4E40-4456-A351-6ED01DCD8768}"/>
    <cellStyle name="40% - Accent6 8 3 3" xfId="23143" xr:uid="{ECC8F07E-17B1-4728-9B5B-7B1ECA878CE9}"/>
    <cellStyle name="40% - Accent6 8 3 4" xfId="14695" xr:uid="{F15C4BEC-CB2B-4B94-B483-CBFB114024A4}"/>
    <cellStyle name="40% - Accent6 8 4" xfId="27366" xr:uid="{B88F770B-C48B-4DDE-8BA1-7596945A99EA}"/>
    <cellStyle name="40% - Accent6 8 5" xfId="18925" xr:uid="{E83AF4C1-3605-417E-8D1D-5F27FEC9B171}"/>
    <cellStyle name="40% - Accent6 8 6" xfId="10477" xr:uid="{326C2EAF-CDCB-437A-99D7-B4D72BEF6F3A}"/>
    <cellStyle name="40% - Accent6 9" xfId="2352" xr:uid="{00000000-0005-0000-0000-00007E070000}"/>
    <cellStyle name="40% - Accent6 9 2" xfId="6658" xr:uid="{00000000-0005-0000-0000-00007F070000}"/>
    <cellStyle name="40% - Accent6 9 2 2" xfId="31997" xr:uid="{244EB997-1C4E-4393-8F44-EB4C7A348697}"/>
    <cellStyle name="40% - Accent6 9 2 3" xfId="23556" xr:uid="{36873AD7-6A3E-4815-808B-07F82CDFA5CE}"/>
    <cellStyle name="40% - Accent6 9 2 4" xfId="15108" xr:uid="{4B38CF17-D170-4DAE-B166-2486A5AD6758}"/>
    <cellStyle name="40% - Accent6 9 3" xfId="27779" xr:uid="{8C72E3FB-38A9-4AF5-91F9-751BD2B9EF0A}"/>
    <cellStyle name="40% - Accent6 9 4" xfId="19338" xr:uid="{1959EAB3-1417-4C6F-8032-9162F48D308D}"/>
    <cellStyle name="40% - Accent6 9 5" xfId="10890" xr:uid="{631C00CE-8BBD-45B7-921F-AC5BDAE425BA}"/>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32322" xr:uid="{C413742B-4299-44C9-BEC1-DE5FD5AD2D1E}"/>
    <cellStyle name="Comma 4 2 2 2 10 2 3" xfId="23881" xr:uid="{A0C876EF-99A5-4249-8B69-DF6D7A42C1E1}"/>
    <cellStyle name="Comma 4 2 2 2 10 2 4" xfId="15433" xr:uid="{D9626D6C-6336-4A7E-8102-75C9A8955FDB}"/>
    <cellStyle name="Comma 4 2 2 2 10 3" xfId="28104" xr:uid="{A3739C06-1345-49B9-8049-079504154FF0}"/>
    <cellStyle name="Comma 4 2 2 2 10 4" xfId="19663" xr:uid="{7F42C1D3-6726-4C3F-AED4-DA063B33DECA}"/>
    <cellStyle name="Comma 4 2 2 2 10 5" xfId="11215" xr:uid="{1AB76225-0624-49B2-BBFD-F2AEBBB2DA2F}"/>
    <cellStyle name="Comma 4 2 2 2 11" xfId="4600" xr:uid="{00000000-0005-0000-0000-0000A3070000}"/>
    <cellStyle name="Comma 4 2 2 2 11 2" xfId="29939" xr:uid="{C7681800-AB42-40F3-9703-F70894C4C6F1}"/>
    <cellStyle name="Comma 4 2 2 2 11 3" xfId="21498" xr:uid="{56A59973-19BB-43B9-A86B-EBB672521720}"/>
    <cellStyle name="Comma 4 2 2 2 11 4" xfId="13050" xr:uid="{6B71BCEF-6C0E-4ED0-8354-1294688CEA68}"/>
    <cellStyle name="Comma 4 2 2 2 12" xfId="25721" xr:uid="{05E363D4-7A3D-4AF5-8441-B21D4993934B}"/>
    <cellStyle name="Comma 4 2 2 2 13" xfId="17280" xr:uid="{66F0486F-C34D-4CD0-9543-3EC04A874112}"/>
    <cellStyle name="Comma 4 2 2 2 14" xfId="8832" xr:uid="{12F3EEA7-6264-4B7E-8AE1-3BEFBF08E53B}"/>
    <cellStyle name="Comma 4 2 2 2 2" xfId="129" xr:uid="{00000000-0005-0000-0000-0000A4070000}"/>
    <cellStyle name="Comma 4 2 2 2 2 10" xfId="4601" xr:uid="{00000000-0005-0000-0000-0000A5070000}"/>
    <cellStyle name="Comma 4 2 2 2 2 10 2" xfId="29940" xr:uid="{4653A65A-1801-4B94-A64F-7D17DA868471}"/>
    <cellStyle name="Comma 4 2 2 2 2 10 3" xfId="21499" xr:uid="{061AF0BD-CB0F-45F5-A292-052AE1A5F7D5}"/>
    <cellStyle name="Comma 4 2 2 2 2 10 4" xfId="13051" xr:uid="{9249324C-9873-46AE-ACC6-FAB335ACF1A3}"/>
    <cellStyle name="Comma 4 2 2 2 2 11" xfId="25722" xr:uid="{CFBAA89F-67D6-4E51-9BDF-6CFDDBBEDD35}"/>
    <cellStyle name="Comma 4 2 2 2 2 12" xfId="17281" xr:uid="{41683C7F-8E5A-4E48-8EE8-2CD96C40E931}"/>
    <cellStyle name="Comma 4 2 2 2 2 13" xfId="8833" xr:uid="{23D84A95-5F68-49F9-B360-25BFA912C2B1}"/>
    <cellStyle name="Comma 4 2 2 2 2 2" xfId="130" xr:uid="{00000000-0005-0000-0000-0000A6070000}"/>
    <cellStyle name="Comma 4 2 2 2 2 2 10" xfId="25723" xr:uid="{1EAB2B27-39A2-42B9-B91A-F66CF7CDE6F8}"/>
    <cellStyle name="Comma 4 2 2 2 2 2 11" xfId="17282" xr:uid="{D5D840AA-780D-4FB5-BB41-01B7D789C03B}"/>
    <cellStyle name="Comma 4 2 2 2 2 2 12" xfId="8834" xr:uid="{00B72ADD-46B8-429D-8EE6-3D147CBD8686}"/>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32500" xr:uid="{3CCF510B-11F9-4C14-9111-770CA1FB083A}"/>
    <cellStyle name="Comma 4 2 2 2 2 2 2 2 2 3" xfId="24059" xr:uid="{0A2CB483-1438-4A21-BC90-124E7FD81A5C}"/>
    <cellStyle name="Comma 4 2 2 2 2 2 2 2 2 4" xfId="15611" xr:uid="{BE12F1EA-9E97-46C1-9A53-9ABC5F547389}"/>
    <cellStyle name="Comma 4 2 2 2 2 2 2 2 3" xfId="28282" xr:uid="{3BA54B99-4207-4509-B755-3F3DCD8E04CF}"/>
    <cellStyle name="Comma 4 2 2 2 2 2 2 2 4" xfId="19841" xr:uid="{7923B8B5-E71A-45DA-ADD8-03FA31B8AEA2}"/>
    <cellStyle name="Comma 4 2 2 2 2 2 2 2 5" xfId="11393" xr:uid="{D78ED9E5-F44C-4113-A38A-0B646CB1A081}"/>
    <cellStyle name="Comma 4 2 2 2 2 2 2 3" xfId="5016" xr:uid="{00000000-0005-0000-0000-0000AA070000}"/>
    <cellStyle name="Comma 4 2 2 2 2 2 2 3 2" xfId="30355" xr:uid="{15FAD606-620B-4594-BA51-E8295067D8BA}"/>
    <cellStyle name="Comma 4 2 2 2 2 2 2 3 3" xfId="21914" xr:uid="{27AD852E-78AE-43AD-AEAF-C8D07434AE8F}"/>
    <cellStyle name="Comma 4 2 2 2 2 2 2 3 4" xfId="13466" xr:uid="{95D23BE2-F05C-4DF6-A06F-C6975F53CE9E}"/>
    <cellStyle name="Comma 4 2 2 2 2 2 2 4" xfId="26137" xr:uid="{643CB11E-EF32-42A9-BF67-F6C80CB83EE8}"/>
    <cellStyle name="Comma 4 2 2 2 2 2 2 5" xfId="17696" xr:uid="{2A8A9653-814A-40E2-AC4C-C82FF808D447}"/>
    <cellStyle name="Comma 4 2 2 2 2 2 2 6" xfId="9248" xr:uid="{D70CE29B-A2B0-4935-9F3F-C8FD7F227A9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32913" xr:uid="{9FE08481-1697-475B-AAEF-4F722AB4C5A4}"/>
    <cellStyle name="Comma 4 2 2 2 2 2 3 2 2 3" xfId="24472" xr:uid="{CDFC9BBC-E3F6-48D0-83C7-CE019D45C243}"/>
    <cellStyle name="Comma 4 2 2 2 2 2 3 2 2 4" xfId="16024" xr:uid="{CBD5FB6F-CD47-4CB5-A485-2FE252AF5B86}"/>
    <cellStyle name="Comma 4 2 2 2 2 2 3 2 3" xfId="28695" xr:uid="{248BAF4B-F26E-45FF-9A0E-9147BDDABC45}"/>
    <cellStyle name="Comma 4 2 2 2 2 2 3 2 4" xfId="20254" xr:uid="{A0D986F1-60C4-4149-A04B-0A06FDBF440E}"/>
    <cellStyle name="Comma 4 2 2 2 2 2 3 2 5" xfId="11806" xr:uid="{6770514E-8422-4904-8763-FD69598EF1C6}"/>
    <cellStyle name="Comma 4 2 2 2 2 2 3 3" xfId="5429" xr:uid="{00000000-0005-0000-0000-0000AE070000}"/>
    <cellStyle name="Comma 4 2 2 2 2 2 3 3 2" xfId="30768" xr:uid="{6C28DA90-3693-4B2B-82AA-188FB74AF284}"/>
    <cellStyle name="Comma 4 2 2 2 2 2 3 3 3" xfId="22327" xr:uid="{91D831CB-E495-4688-BF8C-7BF4D3A83F6C}"/>
    <cellStyle name="Comma 4 2 2 2 2 2 3 3 4" xfId="13879" xr:uid="{7FB1EE29-B39B-4153-BD1D-6CA32C3A3C83}"/>
    <cellStyle name="Comma 4 2 2 2 2 2 3 4" xfId="26550" xr:uid="{40D069A6-1136-4678-8921-80A74B7B1A6C}"/>
    <cellStyle name="Comma 4 2 2 2 2 2 3 5" xfId="18109" xr:uid="{DE07B2CB-AD89-4508-8847-C99A0A5E2D8A}"/>
    <cellStyle name="Comma 4 2 2 2 2 2 3 6" xfId="9661" xr:uid="{1F73CE33-9214-4F82-99D9-C4FFF5ED6C13}"/>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33326" xr:uid="{2970A787-7D50-4542-A930-A20051ED9D0B}"/>
    <cellStyle name="Comma 4 2 2 2 2 2 4 2 2 3" xfId="24885" xr:uid="{9965D7BE-AF7F-4DEF-ACCD-3E04501533D0}"/>
    <cellStyle name="Comma 4 2 2 2 2 2 4 2 2 4" xfId="16437" xr:uid="{89C1F52B-145E-44DE-87E1-4F87292FF1F2}"/>
    <cellStyle name="Comma 4 2 2 2 2 2 4 2 3" xfId="29108" xr:uid="{5D3D03C1-61B1-4CE3-913B-420A85CD79E0}"/>
    <cellStyle name="Comma 4 2 2 2 2 2 4 2 4" xfId="20667" xr:uid="{04BD0F94-5AEE-4151-A328-B364C8387C7B}"/>
    <cellStyle name="Comma 4 2 2 2 2 2 4 2 5" xfId="12219" xr:uid="{9780C5A8-D991-47CA-A98D-DAB4926FAA65}"/>
    <cellStyle name="Comma 4 2 2 2 2 2 4 3" xfId="5842" xr:uid="{00000000-0005-0000-0000-0000B2070000}"/>
    <cellStyle name="Comma 4 2 2 2 2 2 4 3 2" xfId="31181" xr:uid="{731BA896-BE76-4394-AD51-8DDC68212F51}"/>
    <cellStyle name="Comma 4 2 2 2 2 2 4 3 3" xfId="22740" xr:uid="{6F2EE828-C3FA-45A4-87C1-0AA70087A12E}"/>
    <cellStyle name="Comma 4 2 2 2 2 2 4 3 4" xfId="14292" xr:uid="{5DE629EA-254A-4CBC-8F62-378102D48559}"/>
    <cellStyle name="Comma 4 2 2 2 2 2 4 4" xfId="26963" xr:uid="{20F6CF06-E2C4-4C19-B641-9DD3DA6E5DCA}"/>
    <cellStyle name="Comma 4 2 2 2 2 2 4 5" xfId="18522" xr:uid="{3C2C1998-50BA-42F2-BDA7-98BBEA683BE5}"/>
    <cellStyle name="Comma 4 2 2 2 2 2 4 6" xfId="10074" xr:uid="{78AF439B-6B78-49ED-84C3-69A59F7EBC73}"/>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33739" xr:uid="{ED67EA45-9376-4EB8-AC83-2A49F66C91B9}"/>
    <cellStyle name="Comma 4 2 2 2 2 2 5 2 2 3" xfId="25298" xr:uid="{52D7257C-EEDE-485A-9B67-3154EFAC39EF}"/>
    <cellStyle name="Comma 4 2 2 2 2 2 5 2 2 4" xfId="16850" xr:uid="{F4C2F726-6814-4F0E-86D1-5C38E00E1FD2}"/>
    <cellStyle name="Comma 4 2 2 2 2 2 5 2 3" xfId="29521" xr:uid="{F3C934C6-E555-4AC1-896F-A421DCF95294}"/>
    <cellStyle name="Comma 4 2 2 2 2 2 5 2 4" xfId="21080" xr:uid="{EE56C538-8014-4101-A7F5-348DDE51406C}"/>
    <cellStyle name="Comma 4 2 2 2 2 2 5 2 5" xfId="12632" xr:uid="{64D1AF10-58A5-4EA5-B70E-FE662DAAE0B6}"/>
    <cellStyle name="Comma 4 2 2 2 2 2 5 3" xfId="6255" xr:uid="{00000000-0005-0000-0000-0000B6070000}"/>
    <cellStyle name="Comma 4 2 2 2 2 2 5 3 2" xfId="31594" xr:uid="{A137CDAF-FAEF-438F-85A3-1CE4BABA9E69}"/>
    <cellStyle name="Comma 4 2 2 2 2 2 5 3 3" xfId="23153" xr:uid="{46129D84-0A80-4D91-962F-4BCCD4AEC1B7}"/>
    <cellStyle name="Comma 4 2 2 2 2 2 5 3 4" xfId="14705" xr:uid="{D18A7659-11D3-41C9-8F2D-243A6519BBFF}"/>
    <cellStyle name="Comma 4 2 2 2 2 2 5 4" xfId="27376" xr:uid="{CF79CAAD-B3BE-4F2D-82B8-A5800CB12298}"/>
    <cellStyle name="Comma 4 2 2 2 2 2 5 5" xfId="18935" xr:uid="{A1A724CA-797A-4C5C-81EF-0BF3A94B1B98}"/>
    <cellStyle name="Comma 4 2 2 2 2 2 5 6" xfId="10487" xr:uid="{876BA1D6-DD87-4CDC-8A20-65735E7F2E51}"/>
    <cellStyle name="Comma 4 2 2 2 2 2 6" xfId="2384" xr:uid="{00000000-0005-0000-0000-0000B7070000}"/>
    <cellStyle name="Comma 4 2 2 2 2 2 6 2" xfId="6668" xr:uid="{00000000-0005-0000-0000-0000B8070000}"/>
    <cellStyle name="Comma 4 2 2 2 2 2 6 2 2" xfId="32007" xr:uid="{180B5E52-881B-47F6-B3FF-528E5483F03C}"/>
    <cellStyle name="Comma 4 2 2 2 2 2 6 2 3" xfId="23566" xr:uid="{57144725-9D15-4BCE-B5AC-87A4B2CDAB9E}"/>
    <cellStyle name="Comma 4 2 2 2 2 2 6 2 4" xfId="15118" xr:uid="{29F10002-3608-4EF8-8213-F5085CB79F45}"/>
    <cellStyle name="Comma 4 2 2 2 2 2 6 3" xfId="27789" xr:uid="{1C1E3FE3-41C6-466D-8C18-D04DB2661135}"/>
    <cellStyle name="Comma 4 2 2 2 2 2 6 4" xfId="19348" xr:uid="{2E5293B2-C2B7-4631-9DCE-901F71652AC1}"/>
    <cellStyle name="Comma 4 2 2 2 2 2 6 5" xfId="10900" xr:uid="{79299254-B933-41C9-BBBF-CE13819E01D8}"/>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32324" xr:uid="{3D431B7F-98FF-4AEC-AE60-0490FE86EBB4}"/>
    <cellStyle name="Comma 4 2 2 2 2 2 8 2 3" xfId="23883" xr:uid="{C9E9B37C-84E4-4387-AF12-577EF2FF422E}"/>
    <cellStyle name="Comma 4 2 2 2 2 2 8 2 4" xfId="15435" xr:uid="{4A3957B6-3AF0-43A0-B94F-2EAFA014CADC}"/>
    <cellStyle name="Comma 4 2 2 2 2 2 8 3" xfId="28106" xr:uid="{1BBFBCB8-446D-40A7-A72E-199498DB361A}"/>
    <cellStyle name="Comma 4 2 2 2 2 2 8 4" xfId="19665" xr:uid="{B6E8CB16-5BCE-464E-A29F-83BBB2FA4253}"/>
    <cellStyle name="Comma 4 2 2 2 2 2 8 5" xfId="11217" xr:uid="{174DDF9C-1D55-428A-9405-AEC4AD6AC1EF}"/>
    <cellStyle name="Comma 4 2 2 2 2 2 9" xfId="4602" xr:uid="{00000000-0005-0000-0000-0000BC070000}"/>
    <cellStyle name="Comma 4 2 2 2 2 2 9 2" xfId="29941" xr:uid="{2920D3A4-0A49-4A55-8B44-CDE7AFAAF176}"/>
    <cellStyle name="Comma 4 2 2 2 2 2 9 3" xfId="21500" xr:uid="{898ABD87-08EE-4EC1-B5B1-CD4F1BB6DCEF}"/>
    <cellStyle name="Comma 4 2 2 2 2 2 9 4" xfId="13052" xr:uid="{44A6E034-55FA-4CA1-8497-33C224F951AE}"/>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32499" xr:uid="{4F50D2FA-7F34-4D47-A583-AEFBA55BC357}"/>
    <cellStyle name="Comma 4 2 2 2 2 3 2 2 3" xfId="24058" xr:uid="{0F7632F2-E44A-48AC-811E-2C4483AFA2D1}"/>
    <cellStyle name="Comma 4 2 2 2 2 3 2 2 4" xfId="15610" xr:uid="{54D20E53-9DF2-44A8-B189-26B012F40077}"/>
    <cellStyle name="Comma 4 2 2 2 2 3 2 3" xfId="28281" xr:uid="{E6EF83AA-8BC4-452A-A3DC-12A212A182DD}"/>
    <cellStyle name="Comma 4 2 2 2 2 3 2 4" xfId="19840" xr:uid="{17A2FCAB-5521-43CB-8924-D9F2A83A5395}"/>
    <cellStyle name="Comma 4 2 2 2 2 3 2 5" xfId="11392" xr:uid="{C67AD0A9-5268-436D-8EED-EEF636A181AE}"/>
    <cellStyle name="Comma 4 2 2 2 2 3 3" xfId="5015" xr:uid="{00000000-0005-0000-0000-0000C0070000}"/>
    <cellStyle name="Comma 4 2 2 2 2 3 3 2" xfId="30354" xr:uid="{4B0A957E-18AF-47A7-AF14-599B2251F89C}"/>
    <cellStyle name="Comma 4 2 2 2 2 3 3 3" xfId="21913" xr:uid="{7CFE7F65-242C-4740-A3B9-256FBE937FD4}"/>
    <cellStyle name="Comma 4 2 2 2 2 3 3 4" xfId="13465" xr:uid="{35C174A2-E46F-4A94-A4C9-3976B07EFD29}"/>
    <cellStyle name="Comma 4 2 2 2 2 3 4" xfId="26136" xr:uid="{68E8BD2F-D06D-4738-9BF4-1169781B3294}"/>
    <cellStyle name="Comma 4 2 2 2 2 3 5" xfId="17695" xr:uid="{A004D118-F8A6-473B-BE33-77909E3A136D}"/>
    <cellStyle name="Comma 4 2 2 2 2 3 6" xfId="9247" xr:uid="{E146796A-95FD-46A8-8573-0C07508BE2B0}"/>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32912" xr:uid="{311E2BFB-C61C-4943-9BFD-CB4E42F1BBF4}"/>
    <cellStyle name="Comma 4 2 2 2 2 4 2 2 3" xfId="24471" xr:uid="{50F046FA-8263-468C-A1F7-136805B4EC17}"/>
    <cellStyle name="Comma 4 2 2 2 2 4 2 2 4" xfId="16023" xr:uid="{9A88757E-B882-49B1-81B3-5297A325B315}"/>
    <cellStyle name="Comma 4 2 2 2 2 4 2 3" xfId="28694" xr:uid="{11092BC1-019E-48BC-A956-167A1E5A9255}"/>
    <cellStyle name="Comma 4 2 2 2 2 4 2 4" xfId="20253" xr:uid="{932E09B0-EADF-4E72-9D4E-AEB89538955C}"/>
    <cellStyle name="Comma 4 2 2 2 2 4 2 5" xfId="11805" xr:uid="{167EFA9A-DDF6-4FC5-9B50-3E7496A59930}"/>
    <cellStyle name="Comma 4 2 2 2 2 4 3" xfId="5428" xr:uid="{00000000-0005-0000-0000-0000C4070000}"/>
    <cellStyle name="Comma 4 2 2 2 2 4 3 2" xfId="30767" xr:uid="{FC086B52-FA0D-47C1-B2E5-F1FF264FBB1E}"/>
    <cellStyle name="Comma 4 2 2 2 2 4 3 3" xfId="22326" xr:uid="{4F001BE1-5385-4C61-9491-DC627E51EA27}"/>
    <cellStyle name="Comma 4 2 2 2 2 4 3 4" xfId="13878" xr:uid="{083C8DDD-6732-485D-A2E1-92A7C92B87DF}"/>
    <cellStyle name="Comma 4 2 2 2 2 4 4" xfId="26549" xr:uid="{AF8AEB81-15E7-4249-9CC9-1BAFF5139CAF}"/>
    <cellStyle name="Comma 4 2 2 2 2 4 5" xfId="18108" xr:uid="{F5F9C046-50F0-42B2-B428-98153232D82F}"/>
    <cellStyle name="Comma 4 2 2 2 2 4 6" xfId="9660" xr:uid="{7DA71483-BE1C-4B97-AE6E-AAABB437146D}"/>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33325" xr:uid="{F126E4F2-AB62-4686-9238-2A96BD68DA82}"/>
    <cellStyle name="Comma 4 2 2 2 2 5 2 2 3" xfId="24884" xr:uid="{5E7FA638-406D-4984-808E-AD3F4FBC86B5}"/>
    <cellStyle name="Comma 4 2 2 2 2 5 2 2 4" xfId="16436" xr:uid="{A6C24F5D-1700-4273-BC86-3C8D980BDEED}"/>
    <cellStyle name="Comma 4 2 2 2 2 5 2 3" xfId="29107" xr:uid="{75BEBA77-1B95-4A1D-8E27-A7AE50874001}"/>
    <cellStyle name="Comma 4 2 2 2 2 5 2 4" xfId="20666" xr:uid="{01F4312A-39C9-4CC9-8D46-2B6159E1726E}"/>
    <cellStyle name="Comma 4 2 2 2 2 5 2 5" xfId="12218" xr:uid="{8C15415D-D26D-440D-9941-1E0869AEF0EC}"/>
    <cellStyle name="Comma 4 2 2 2 2 5 3" xfId="5841" xr:uid="{00000000-0005-0000-0000-0000C8070000}"/>
    <cellStyle name="Comma 4 2 2 2 2 5 3 2" xfId="31180" xr:uid="{BBB0B7E6-7660-44AB-A889-DEB6FDAC8AF1}"/>
    <cellStyle name="Comma 4 2 2 2 2 5 3 3" xfId="22739" xr:uid="{B389C753-B4EB-417A-979B-709612DE2562}"/>
    <cellStyle name="Comma 4 2 2 2 2 5 3 4" xfId="14291" xr:uid="{D4D63DF4-4F59-40C3-AC5B-30D6797CFDD0}"/>
    <cellStyle name="Comma 4 2 2 2 2 5 4" xfId="26962" xr:uid="{B3E77E7E-5CB1-461C-A849-326180638618}"/>
    <cellStyle name="Comma 4 2 2 2 2 5 5" xfId="18521" xr:uid="{36E4F9E0-9B29-4A60-9418-49ED20EBFB31}"/>
    <cellStyle name="Comma 4 2 2 2 2 5 6" xfId="10073" xr:uid="{A5CD3A9F-F93C-4AB1-82B4-44340ADE895D}"/>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33738" xr:uid="{50B7A7DF-35B8-4DA4-BEAA-AD6D1051872E}"/>
    <cellStyle name="Comma 4 2 2 2 2 6 2 2 3" xfId="25297" xr:uid="{98D77E3E-E300-4211-912E-AE1FD13DB5A6}"/>
    <cellStyle name="Comma 4 2 2 2 2 6 2 2 4" xfId="16849" xr:uid="{6018CB2D-63F9-4EE5-B08F-E4716276BF69}"/>
    <cellStyle name="Comma 4 2 2 2 2 6 2 3" xfId="29520" xr:uid="{4266D8DA-9E30-437A-85D9-ECB46256FAF0}"/>
    <cellStyle name="Comma 4 2 2 2 2 6 2 4" xfId="21079" xr:uid="{0A4BCEAE-CF35-405C-A0AA-13F59F6DC93B}"/>
    <cellStyle name="Comma 4 2 2 2 2 6 2 5" xfId="12631" xr:uid="{AEB12DB9-25DC-4668-BFA6-C416DAFC09FE}"/>
    <cellStyle name="Comma 4 2 2 2 2 6 3" xfId="6254" xr:uid="{00000000-0005-0000-0000-0000CC070000}"/>
    <cellStyle name="Comma 4 2 2 2 2 6 3 2" xfId="31593" xr:uid="{EF4DBBA7-FE5A-4AEE-B4A5-44E2EE01142F}"/>
    <cellStyle name="Comma 4 2 2 2 2 6 3 3" xfId="23152" xr:uid="{818A239C-1873-4E6C-A366-D42F87B37979}"/>
    <cellStyle name="Comma 4 2 2 2 2 6 3 4" xfId="14704" xr:uid="{2B963619-8F95-489F-8BAD-107769655391}"/>
    <cellStyle name="Comma 4 2 2 2 2 6 4" xfId="27375" xr:uid="{20F010D6-E139-4A3F-B63C-914373FDF7CD}"/>
    <cellStyle name="Comma 4 2 2 2 2 6 5" xfId="18934" xr:uid="{A24B7C47-14C5-4241-8A54-097FC5745381}"/>
    <cellStyle name="Comma 4 2 2 2 2 6 6" xfId="10486" xr:uid="{41A19354-F657-4C43-ADF9-E4E8EC350F2E}"/>
    <cellStyle name="Comma 4 2 2 2 2 7" xfId="2383" xr:uid="{00000000-0005-0000-0000-0000CD070000}"/>
    <cellStyle name="Comma 4 2 2 2 2 7 2" xfId="6667" xr:uid="{00000000-0005-0000-0000-0000CE070000}"/>
    <cellStyle name="Comma 4 2 2 2 2 7 2 2" xfId="32006" xr:uid="{01F7598F-CBA0-4E0E-A7CC-5B902C23D17E}"/>
    <cellStyle name="Comma 4 2 2 2 2 7 2 3" xfId="23565" xr:uid="{9968CF32-F225-4DAD-8136-F6C299769323}"/>
    <cellStyle name="Comma 4 2 2 2 2 7 2 4" xfId="15117" xr:uid="{FE298BEA-3F61-4B6F-BE49-0EC87B98544A}"/>
    <cellStyle name="Comma 4 2 2 2 2 7 3" xfId="27788" xr:uid="{31BE17EB-DA3A-4F83-A7A7-27702232CE25}"/>
    <cellStyle name="Comma 4 2 2 2 2 7 4" xfId="19347" xr:uid="{99DBC1B8-809A-45D3-86A8-47C28F59C8CC}"/>
    <cellStyle name="Comma 4 2 2 2 2 7 5" xfId="10899" xr:uid="{DE896D9A-36F7-4577-BF0A-0AB404B19A69}"/>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32323" xr:uid="{A8BE0918-BE10-4F99-B76F-93282CED67B3}"/>
    <cellStyle name="Comma 4 2 2 2 2 9 2 3" xfId="23882" xr:uid="{B1782909-1A5F-44CE-8967-0FCCC603A7D9}"/>
    <cellStyle name="Comma 4 2 2 2 2 9 2 4" xfId="15434" xr:uid="{317DC879-1DF1-4014-8EAE-C6B0BDE8CF31}"/>
    <cellStyle name="Comma 4 2 2 2 2 9 3" xfId="28105" xr:uid="{60A91CB7-0670-443B-9629-50C369801599}"/>
    <cellStyle name="Comma 4 2 2 2 2 9 4" xfId="19664" xr:uid="{C2148EE2-56D3-421F-8825-5D0C91AA1774}"/>
    <cellStyle name="Comma 4 2 2 2 2 9 5" xfId="11216" xr:uid="{BA35E04F-EB9C-4DE4-9CBE-B0EFF2E97908}"/>
    <cellStyle name="Comma 4 2 2 2 3" xfId="131" xr:uid="{00000000-0005-0000-0000-0000D2070000}"/>
    <cellStyle name="Comma 4 2 2 2 3 10" xfId="25724" xr:uid="{00DA0C55-7EA2-4200-9647-2D38184641EF}"/>
    <cellStyle name="Comma 4 2 2 2 3 11" xfId="17283" xr:uid="{0CADAFCF-1025-4791-8047-0A89395ABC32}"/>
    <cellStyle name="Comma 4 2 2 2 3 12" xfId="8835" xr:uid="{FB30B446-92F7-4FBC-A943-6F066D71B97F}"/>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32501" xr:uid="{F957431A-5C08-47F4-9B78-7780B20B0427}"/>
    <cellStyle name="Comma 4 2 2 2 3 2 2 2 3" xfId="24060" xr:uid="{0B632EFE-F817-4B6A-8805-84038C204E61}"/>
    <cellStyle name="Comma 4 2 2 2 3 2 2 2 4" xfId="15612" xr:uid="{F4488E0B-D73C-4A0B-80F4-3CB9CFE43537}"/>
    <cellStyle name="Comma 4 2 2 2 3 2 2 3" xfId="28283" xr:uid="{AD7A3EBC-82C5-49B4-9627-7589B5AA24F0}"/>
    <cellStyle name="Comma 4 2 2 2 3 2 2 4" xfId="19842" xr:uid="{A0E83831-0045-4113-8C8D-4E99CE9D0333}"/>
    <cellStyle name="Comma 4 2 2 2 3 2 2 5" xfId="11394" xr:uid="{2F217276-A6B0-4E94-AED6-EC33B8E4318F}"/>
    <cellStyle name="Comma 4 2 2 2 3 2 3" xfId="5017" xr:uid="{00000000-0005-0000-0000-0000D6070000}"/>
    <cellStyle name="Comma 4 2 2 2 3 2 3 2" xfId="30356" xr:uid="{8FE191E6-B92F-4BE1-8A4A-F7A3CC3F9A62}"/>
    <cellStyle name="Comma 4 2 2 2 3 2 3 3" xfId="21915" xr:uid="{97DE1437-EA0D-4D90-9A3C-F36227231518}"/>
    <cellStyle name="Comma 4 2 2 2 3 2 3 4" xfId="13467" xr:uid="{D45B7B2C-641B-4597-9516-FD7B4F201ABF}"/>
    <cellStyle name="Comma 4 2 2 2 3 2 4" xfId="26138" xr:uid="{E19FFB9F-4958-4AFC-A6D1-25A611D55C66}"/>
    <cellStyle name="Comma 4 2 2 2 3 2 5" xfId="17697" xr:uid="{DD8353A5-2975-422F-878A-00EBE534735E}"/>
    <cellStyle name="Comma 4 2 2 2 3 2 6" xfId="9249" xr:uid="{7030A137-2230-4236-A07C-2DF1297522F2}"/>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32914" xr:uid="{E4B999CA-2B1A-42E7-B1D2-34DEAECB7900}"/>
    <cellStyle name="Comma 4 2 2 2 3 3 2 2 3" xfId="24473" xr:uid="{E3766BAB-193F-4FF3-AA01-5FF8E8801968}"/>
    <cellStyle name="Comma 4 2 2 2 3 3 2 2 4" xfId="16025" xr:uid="{44438AAE-2505-4C9B-93FD-C5213C5CD8FE}"/>
    <cellStyle name="Comma 4 2 2 2 3 3 2 3" xfId="28696" xr:uid="{336558BF-9009-4295-92B3-C355A6132314}"/>
    <cellStyle name="Comma 4 2 2 2 3 3 2 4" xfId="20255" xr:uid="{14C896E2-7DDA-4893-8FD7-8872B1203C40}"/>
    <cellStyle name="Comma 4 2 2 2 3 3 2 5" xfId="11807" xr:uid="{6E6500F6-68EC-430E-91D0-759DD2055B4F}"/>
    <cellStyle name="Comma 4 2 2 2 3 3 3" xfId="5430" xr:uid="{00000000-0005-0000-0000-0000DA070000}"/>
    <cellStyle name="Comma 4 2 2 2 3 3 3 2" xfId="30769" xr:uid="{384E8C31-D101-49EF-A01D-20ABFF72356E}"/>
    <cellStyle name="Comma 4 2 2 2 3 3 3 3" xfId="22328" xr:uid="{ADFF313E-FE43-4E83-9576-681947F3475B}"/>
    <cellStyle name="Comma 4 2 2 2 3 3 3 4" xfId="13880" xr:uid="{D5A58EA7-07A1-4453-9E64-F5430055C4B6}"/>
    <cellStyle name="Comma 4 2 2 2 3 3 4" xfId="26551" xr:uid="{4E9F66D4-A906-467C-8B15-6BDE73F9E4FA}"/>
    <cellStyle name="Comma 4 2 2 2 3 3 5" xfId="18110" xr:uid="{26E879D6-083F-4D6E-8A17-69457776E39D}"/>
    <cellStyle name="Comma 4 2 2 2 3 3 6" xfId="9662" xr:uid="{BB730F89-98C8-4B66-B4A4-C3CFAAC11066}"/>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33327" xr:uid="{E3EC364C-D9F1-4CA1-ADDC-F816CF979A42}"/>
    <cellStyle name="Comma 4 2 2 2 3 4 2 2 3" xfId="24886" xr:uid="{352B3DFC-C6B7-40E8-818E-B509134E16C5}"/>
    <cellStyle name="Comma 4 2 2 2 3 4 2 2 4" xfId="16438" xr:uid="{9AF2BF5A-5E3E-4CA7-8D78-064A216414DC}"/>
    <cellStyle name="Comma 4 2 2 2 3 4 2 3" xfId="29109" xr:uid="{C37B3AEF-5059-4986-84A5-9CD8B7BC5C7A}"/>
    <cellStyle name="Comma 4 2 2 2 3 4 2 4" xfId="20668" xr:uid="{B51D65E4-48C4-4048-A83B-5BEF4CB6953F}"/>
    <cellStyle name="Comma 4 2 2 2 3 4 2 5" xfId="12220" xr:uid="{57C2D4C8-CFB5-44B7-9F62-C8FF7B2D1305}"/>
    <cellStyle name="Comma 4 2 2 2 3 4 3" xfId="5843" xr:uid="{00000000-0005-0000-0000-0000DE070000}"/>
    <cellStyle name="Comma 4 2 2 2 3 4 3 2" xfId="31182" xr:uid="{01642BCA-C568-4A7B-B9B7-55CF6749BBD4}"/>
    <cellStyle name="Comma 4 2 2 2 3 4 3 3" xfId="22741" xr:uid="{B57F56C4-F465-4ADC-A87E-A068253F5D73}"/>
    <cellStyle name="Comma 4 2 2 2 3 4 3 4" xfId="14293" xr:uid="{EFE61C7F-A3E1-48B6-8B10-BBBAB4FA96B1}"/>
    <cellStyle name="Comma 4 2 2 2 3 4 4" xfId="26964" xr:uid="{1DF70C08-E96C-4BDC-9466-0C72ECB4A913}"/>
    <cellStyle name="Comma 4 2 2 2 3 4 5" xfId="18523" xr:uid="{EA0DCD2F-D5BC-412A-B6E7-5EC5DFC28393}"/>
    <cellStyle name="Comma 4 2 2 2 3 4 6" xfId="10075" xr:uid="{2BA31445-B88B-433F-8B03-49B2A3562636}"/>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33740" xr:uid="{93E443FC-1550-4182-9688-5FFA287EDDDB}"/>
    <cellStyle name="Comma 4 2 2 2 3 5 2 2 3" xfId="25299" xr:uid="{1D07A2D3-363E-495C-86E4-CF37AB513630}"/>
    <cellStyle name="Comma 4 2 2 2 3 5 2 2 4" xfId="16851" xr:uid="{41418BF5-C65C-4BF0-9B64-7B554E591E9B}"/>
    <cellStyle name="Comma 4 2 2 2 3 5 2 3" xfId="29522" xr:uid="{5FDA9BBE-E0BD-4461-9F32-4A5A1F42217B}"/>
    <cellStyle name="Comma 4 2 2 2 3 5 2 4" xfId="21081" xr:uid="{69414CBC-4338-4B5C-9DCD-9236837B59DF}"/>
    <cellStyle name="Comma 4 2 2 2 3 5 2 5" xfId="12633" xr:uid="{1A828FE1-37A2-470E-A9EC-CA002099A256}"/>
    <cellStyle name="Comma 4 2 2 2 3 5 3" xfId="6256" xr:uid="{00000000-0005-0000-0000-0000E2070000}"/>
    <cellStyle name="Comma 4 2 2 2 3 5 3 2" xfId="31595" xr:uid="{980957E3-5A70-4178-9398-F435A07DE9E6}"/>
    <cellStyle name="Comma 4 2 2 2 3 5 3 3" xfId="23154" xr:uid="{68983F18-AA6A-4543-88A5-9C76D50F0E76}"/>
    <cellStyle name="Comma 4 2 2 2 3 5 3 4" xfId="14706" xr:uid="{E1D42D04-85C3-4A9A-BA9C-BD4B18FD8351}"/>
    <cellStyle name="Comma 4 2 2 2 3 5 4" xfId="27377" xr:uid="{DD0EDE23-D15E-4A32-A303-889014536AA6}"/>
    <cellStyle name="Comma 4 2 2 2 3 5 5" xfId="18936" xr:uid="{852B4AC4-016D-41E8-B784-FF5BF075F403}"/>
    <cellStyle name="Comma 4 2 2 2 3 5 6" xfId="10488" xr:uid="{798D7039-2772-4F55-AF4A-04237918BA6F}"/>
    <cellStyle name="Comma 4 2 2 2 3 6" xfId="2385" xr:uid="{00000000-0005-0000-0000-0000E3070000}"/>
    <cellStyle name="Comma 4 2 2 2 3 6 2" xfId="6669" xr:uid="{00000000-0005-0000-0000-0000E4070000}"/>
    <cellStyle name="Comma 4 2 2 2 3 6 2 2" xfId="32008" xr:uid="{9714D46E-4F15-415E-B142-75F60C165B75}"/>
    <cellStyle name="Comma 4 2 2 2 3 6 2 3" xfId="23567" xr:uid="{994583EA-0742-45DA-9942-B7E04D213FD5}"/>
    <cellStyle name="Comma 4 2 2 2 3 6 2 4" xfId="15119" xr:uid="{F9597CC8-2ED9-47D1-9BA3-D1E120EE6666}"/>
    <cellStyle name="Comma 4 2 2 2 3 6 3" xfId="27790" xr:uid="{0FC8C43F-CC48-40CE-A3FD-80B7B7D5F1D8}"/>
    <cellStyle name="Comma 4 2 2 2 3 6 4" xfId="19349" xr:uid="{E1B340D7-1548-4912-AB2C-0BBAE6E3C19F}"/>
    <cellStyle name="Comma 4 2 2 2 3 6 5" xfId="10901" xr:uid="{A1531402-3ADE-4275-863F-AAFFEBD1B3FC}"/>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32325" xr:uid="{93D4ED16-35B2-4656-9B89-604F0579582A}"/>
    <cellStyle name="Comma 4 2 2 2 3 8 2 3" xfId="23884" xr:uid="{2B1A66AE-8E13-4ECB-B220-C42F64E13B86}"/>
    <cellStyle name="Comma 4 2 2 2 3 8 2 4" xfId="15436" xr:uid="{6E72982D-C945-484F-BFD9-FFFD7EEAE247}"/>
    <cellStyle name="Comma 4 2 2 2 3 8 3" xfId="28107" xr:uid="{34A7D75B-C871-4AA1-A809-7911184D31E3}"/>
    <cellStyle name="Comma 4 2 2 2 3 8 4" xfId="19666" xr:uid="{D2DC4B45-65AD-4E47-902B-D9B139890BB6}"/>
    <cellStyle name="Comma 4 2 2 2 3 8 5" xfId="11218" xr:uid="{3E46A393-7965-4D08-9179-A8FDF8B50D39}"/>
    <cellStyle name="Comma 4 2 2 2 3 9" xfId="4603" xr:uid="{00000000-0005-0000-0000-0000E8070000}"/>
    <cellStyle name="Comma 4 2 2 2 3 9 2" xfId="29942" xr:uid="{2C0EF384-516E-4264-B753-16E4F05FE26C}"/>
    <cellStyle name="Comma 4 2 2 2 3 9 3" xfId="21501" xr:uid="{D9669161-23C1-460E-B420-B96FA4027565}"/>
    <cellStyle name="Comma 4 2 2 2 3 9 4" xfId="13053" xr:uid="{13FF4202-0889-4528-A8F8-821D1011CE00}"/>
    <cellStyle name="Comma 4 2 2 2 4" xfId="666" xr:uid="{00000000-0005-0000-0000-0000E9070000}"/>
    <cellStyle name="Comma 4 2 2 2 4 2" xfId="2937" xr:uid="{00000000-0005-0000-0000-0000EA070000}"/>
    <cellStyle name="Comma 4 2 2 2 4 2 2" xfId="7159" xr:uid="{00000000-0005-0000-0000-0000EB070000}"/>
    <cellStyle name="Comma 4 2 2 2 4 2 2 2" xfId="32498" xr:uid="{B010FCB0-6FE1-4DC0-8ED7-27A822A88146}"/>
    <cellStyle name="Comma 4 2 2 2 4 2 2 3" xfId="24057" xr:uid="{9565E5A8-BF00-440F-A661-54E8EE6C81F1}"/>
    <cellStyle name="Comma 4 2 2 2 4 2 2 4" xfId="15609" xr:uid="{E7585EAC-C90A-465A-B467-25DDDA1639C2}"/>
    <cellStyle name="Comma 4 2 2 2 4 2 3" xfId="28280" xr:uid="{829C75E7-5E01-49CC-888B-CF723C1DE75A}"/>
    <cellStyle name="Comma 4 2 2 2 4 2 4" xfId="19839" xr:uid="{8EA6D640-8F3D-4F5F-9A24-EF27C63D6F07}"/>
    <cellStyle name="Comma 4 2 2 2 4 2 5" xfId="11391" xr:uid="{0F44B378-EAEC-4279-BD60-3A646848B33B}"/>
    <cellStyle name="Comma 4 2 2 2 4 3" xfId="5014" xr:uid="{00000000-0005-0000-0000-0000EC070000}"/>
    <cellStyle name="Comma 4 2 2 2 4 3 2" xfId="30353" xr:uid="{7F4558A8-9A24-4EC0-AA03-0CE2D3A77353}"/>
    <cellStyle name="Comma 4 2 2 2 4 3 3" xfId="21912" xr:uid="{CA242DD0-777A-497A-A126-2A1CE288ECBC}"/>
    <cellStyle name="Comma 4 2 2 2 4 3 4" xfId="13464" xr:uid="{35846E4E-DF70-47FB-9FF6-293639679536}"/>
    <cellStyle name="Comma 4 2 2 2 4 4" xfId="26135" xr:uid="{82706829-CECD-4C73-A91F-46D908DD621D}"/>
    <cellStyle name="Comma 4 2 2 2 4 5" xfId="17694" xr:uid="{EE5B2795-0C8C-45B2-986C-13B3032D8E68}"/>
    <cellStyle name="Comma 4 2 2 2 4 6" xfId="9246" xr:uid="{2345EAD6-6020-4BAC-A903-0A865CBC240A}"/>
    <cellStyle name="Comma 4 2 2 2 5" xfId="1119" xr:uid="{00000000-0005-0000-0000-0000ED070000}"/>
    <cellStyle name="Comma 4 2 2 2 5 2" xfId="3350" xr:uid="{00000000-0005-0000-0000-0000EE070000}"/>
    <cellStyle name="Comma 4 2 2 2 5 2 2" xfId="7572" xr:uid="{00000000-0005-0000-0000-0000EF070000}"/>
    <cellStyle name="Comma 4 2 2 2 5 2 2 2" xfId="32911" xr:uid="{8AEEA3B3-6E86-4BF3-A86F-578718E5A1C1}"/>
    <cellStyle name="Comma 4 2 2 2 5 2 2 3" xfId="24470" xr:uid="{37016519-3039-41EF-A271-BAED52A9CDED}"/>
    <cellStyle name="Comma 4 2 2 2 5 2 2 4" xfId="16022" xr:uid="{C3A55DF8-A9D4-436A-953B-297585C0194B}"/>
    <cellStyle name="Comma 4 2 2 2 5 2 3" xfId="28693" xr:uid="{70B0E029-7BF4-4F62-9667-E06C03F73374}"/>
    <cellStyle name="Comma 4 2 2 2 5 2 4" xfId="20252" xr:uid="{30112D5B-C115-458D-B877-BDED9BE7346B}"/>
    <cellStyle name="Comma 4 2 2 2 5 2 5" xfId="11804" xr:uid="{3FD943C2-5AEC-45C3-8951-B82B6F4CD326}"/>
    <cellStyle name="Comma 4 2 2 2 5 3" xfId="5427" xr:uid="{00000000-0005-0000-0000-0000F0070000}"/>
    <cellStyle name="Comma 4 2 2 2 5 3 2" xfId="30766" xr:uid="{13121320-AC27-406C-937D-75BF1D47B49A}"/>
    <cellStyle name="Comma 4 2 2 2 5 3 3" xfId="22325" xr:uid="{275BBA8D-5C1D-4465-941A-FF5C22861BE5}"/>
    <cellStyle name="Comma 4 2 2 2 5 3 4" xfId="13877" xr:uid="{026BEE54-80C2-4C51-8905-CC02633577A9}"/>
    <cellStyle name="Comma 4 2 2 2 5 4" xfId="26548" xr:uid="{E48BCA38-9049-49EE-9D23-7EA7A2F6A21A}"/>
    <cellStyle name="Comma 4 2 2 2 5 5" xfId="18107" xr:uid="{A83188EF-00E4-46F3-950A-D82ADDA61557}"/>
    <cellStyle name="Comma 4 2 2 2 5 6" xfId="9659" xr:uid="{5DC21882-FFD8-40CB-B503-58A0FD54DB29}"/>
    <cellStyle name="Comma 4 2 2 2 6" xfId="1533" xr:uid="{00000000-0005-0000-0000-0000F1070000}"/>
    <cellStyle name="Comma 4 2 2 2 6 2" xfId="3763" xr:uid="{00000000-0005-0000-0000-0000F2070000}"/>
    <cellStyle name="Comma 4 2 2 2 6 2 2" xfId="7985" xr:uid="{00000000-0005-0000-0000-0000F3070000}"/>
    <cellStyle name="Comma 4 2 2 2 6 2 2 2" xfId="33324" xr:uid="{FBD92FAB-E894-49F9-B68A-510DDCA975AE}"/>
    <cellStyle name="Comma 4 2 2 2 6 2 2 3" xfId="24883" xr:uid="{9355F7A2-285B-4A9B-8AB1-AF09DEF5ADF4}"/>
    <cellStyle name="Comma 4 2 2 2 6 2 2 4" xfId="16435" xr:uid="{6B310ACA-9B9D-4C0F-96D3-2FF9A57316A4}"/>
    <cellStyle name="Comma 4 2 2 2 6 2 3" xfId="29106" xr:uid="{5FE45099-CC5F-4E55-879E-26C0B258FEA2}"/>
    <cellStyle name="Comma 4 2 2 2 6 2 4" xfId="20665" xr:uid="{772EF308-9F97-4EE6-AA1F-873776971314}"/>
    <cellStyle name="Comma 4 2 2 2 6 2 5" xfId="12217" xr:uid="{7F23E747-7805-4928-BDD2-62BAD0BEFB72}"/>
    <cellStyle name="Comma 4 2 2 2 6 3" xfId="5840" xr:uid="{00000000-0005-0000-0000-0000F4070000}"/>
    <cellStyle name="Comma 4 2 2 2 6 3 2" xfId="31179" xr:uid="{650B4ADB-5449-4C79-B22F-F3DD19471241}"/>
    <cellStyle name="Comma 4 2 2 2 6 3 3" xfId="22738" xr:uid="{AF072CC4-7CBF-4087-98E6-91917D14DC38}"/>
    <cellStyle name="Comma 4 2 2 2 6 3 4" xfId="14290" xr:uid="{28B6AD3F-42A7-4ED7-862E-60A3FFE9B0FF}"/>
    <cellStyle name="Comma 4 2 2 2 6 4" xfId="26961" xr:uid="{F5D5E29C-C910-449C-8ED1-3ABC0828FFEA}"/>
    <cellStyle name="Comma 4 2 2 2 6 5" xfId="18520" xr:uid="{3468AB39-3A47-4DFC-BA50-7F394BDBE60B}"/>
    <cellStyle name="Comma 4 2 2 2 6 6" xfId="10072" xr:uid="{585DB8ED-F13D-4C69-B570-393A40E6E058}"/>
    <cellStyle name="Comma 4 2 2 2 7" xfId="1947" xr:uid="{00000000-0005-0000-0000-0000F5070000}"/>
    <cellStyle name="Comma 4 2 2 2 7 2" xfId="4176" xr:uid="{00000000-0005-0000-0000-0000F6070000}"/>
    <cellStyle name="Comma 4 2 2 2 7 2 2" xfId="8398" xr:uid="{00000000-0005-0000-0000-0000F7070000}"/>
    <cellStyle name="Comma 4 2 2 2 7 2 2 2" xfId="33737" xr:uid="{B14793AD-2C8C-42C9-838B-8BF0B417C55C}"/>
    <cellStyle name="Comma 4 2 2 2 7 2 2 3" xfId="25296" xr:uid="{0C9FE5A4-2402-441D-B75A-189870A0F38D}"/>
    <cellStyle name="Comma 4 2 2 2 7 2 2 4" xfId="16848" xr:uid="{D2C15455-0E7D-4645-8FD4-96FD88391C77}"/>
    <cellStyle name="Comma 4 2 2 2 7 2 3" xfId="29519" xr:uid="{86221699-8294-47BD-906F-0668B3612ADF}"/>
    <cellStyle name="Comma 4 2 2 2 7 2 4" xfId="21078" xr:uid="{F719A051-1B5F-4171-BBCD-96F3FB36D760}"/>
    <cellStyle name="Comma 4 2 2 2 7 2 5" xfId="12630" xr:uid="{DA75ED15-F670-40D6-BED9-9618FC68311C}"/>
    <cellStyle name="Comma 4 2 2 2 7 3" xfId="6253" xr:uid="{00000000-0005-0000-0000-0000F8070000}"/>
    <cellStyle name="Comma 4 2 2 2 7 3 2" xfId="31592" xr:uid="{DD3BDA5D-FDED-43EB-90D9-73D6EE1F5BED}"/>
    <cellStyle name="Comma 4 2 2 2 7 3 3" xfId="23151" xr:uid="{71EC3F25-E360-4234-B400-46F639C959F4}"/>
    <cellStyle name="Comma 4 2 2 2 7 3 4" xfId="14703" xr:uid="{73FB86DA-9F53-4D82-933F-8BC96B99E1BA}"/>
    <cellStyle name="Comma 4 2 2 2 7 4" xfId="27374" xr:uid="{6CFBC600-AF6D-4897-A915-E13C15C6C705}"/>
    <cellStyle name="Comma 4 2 2 2 7 5" xfId="18933" xr:uid="{019EFEC7-7331-472B-BEAD-95AC0D72BEAD}"/>
    <cellStyle name="Comma 4 2 2 2 7 6" xfId="10485" xr:uid="{969B4F60-50D1-4447-A6C7-97B056489769}"/>
    <cellStyle name="Comma 4 2 2 2 8" xfId="2382" xr:uid="{00000000-0005-0000-0000-0000F9070000}"/>
    <cellStyle name="Comma 4 2 2 2 8 2" xfId="6666" xr:uid="{00000000-0005-0000-0000-0000FA070000}"/>
    <cellStyle name="Comma 4 2 2 2 8 2 2" xfId="32005" xr:uid="{CD322946-CE7E-47C3-B2DA-0E78A6ABA834}"/>
    <cellStyle name="Comma 4 2 2 2 8 2 3" xfId="23564" xr:uid="{5596D5B9-61E9-4F7A-9A76-FB047E10D96F}"/>
    <cellStyle name="Comma 4 2 2 2 8 2 4" xfId="15116" xr:uid="{E6D0CBF9-1C69-483B-BA5A-4812AB7215FB}"/>
    <cellStyle name="Comma 4 2 2 2 8 3" xfId="27787" xr:uid="{0EBC8BE1-2EBB-42E1-B3DB-164D2E3A8B8B}"/>
    <cellStyle name="Comma 4 2 2 2 8 4" xfId="19346" xr:uid="{F196A7D4-D7D0-4AAA-ADE7-D3513766945C}"/>
    <cellStyle name="Comma 4 2 2 2 8 5" xfId="10898" xr:uid="{FFB78A42-83F3-4C5A-A273-E92889188D9C}"/>
    <cellStyle name="Comma 4 2 2 2 9" xfId="2381" xr:uid="{00000000-0005-0000-0000-0000FB070000}"/>
    <cellStyle name="Comma 4 2 2 3" xfId="132" xr:uid="{00000000-0005-0000-0000-0000FC070000}"/>
    <cellStyle name="Comma 4 2 2 3 10" xfId="4604" xr:uid="{00000000-0005-0000-0000-0000FD070000}"/>
    <cellStyle name="Comma 4 2 2 3 10 2" xfId="29943" xr:uid="{47CD6F1E-51D4-45AB-AECA-731A37868635}"/>
    <cellStyle name="Comma 4 2 2 3 10 3" xfId="21502" xr:uid="{3D21F0E3-FEFA-49FC-AE3D-0986DBEB43E6}"/>
    <cellStyle name="Comma 4 2 2 3 10 4" xfId="13054" xr:uid="{38DE76D0-3CED-47EA-B692-3FA82158EECE}"/>
    <cellStyle name="Comma 4 2 2 3 11" xfId="25725" xr:uid="{F5152401-DDE0-4D75-9BCB-7FE349B36E5E}"/>
    <cellStyle name="Comma 4 2 2 3 12" xfId="17284" xr:uid="{A06AFA62-BC10-4E10-A2C4-956B1AA74321}"/>
    <cellStyle name="Comma 4 2 2 3 13" xfId="8836" xr:uid="{0A145F72-CE9F-4FFD-9DF2-AC06A0590955}"/>
    <cellStyle name="Comma 4 2 2 3 2" xfId="133" xr:uid="{00000000-0005-0000-0000-0000FE070000}"/>
    <cellStyle name="Comma 4 2 2 3 2 10" xfId="25726" xr:uid="{59E611BA-3998-408F-B24A-A8CDC760CD10}"/>
    <cellStyle name="Comma 4 2 2 3 2 11" xfId="17285" xr:uid="{F3935085-3613-4BE2-B1B5-334ED97D66EB}"/>
    <cellStyle name="Comma 4 2 2 3 2 12" xfId="8837" xr:uid="{9D518F9E-D451-4B1C-9CCE-30316EE13BDB}"/>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32503" xr:uid="{FD6B9F1E-F49A-467B-B038-0879982BAFB9}"/>
    <cellStyle name="Comma 4 2 2 3 2 2 2 2 3" xfId="24062" xr:uid="{6F6B1E89-3556-4A39-BC3B-615674DC41A7}"/>
    <cellStyle name="Comma 4 2 2 3 2 2 2 2 4" xfId="15614" xr:uid="{80675EFB-14BD-4F34-862C-002F8886BD6E}"/>
    <cellStyle name="Comma 4 2 2 3 2 2 2 3" xfId="28285" xr:uid="{A3E8856F-3B2B-428E-A446-54DBB7553466}"/>
    <cellStyle name="Comma 4 2 2 3 2 2 2 4" xfId="19844" xr:uid="{04BC2082-3B63-49CD-848F-48A70D9397E2}"/>
    <cellStyle name="Comma 4 2 2 3 2 2 2 5" xfId="11396" xr:uid="{B44CEDE6-3F04-42C7-A14E-205F1EFDB59A}"/>
    <cellStyle name="Comma 4 2 2 3 2 2 3" xfId="5019" xr:uid="{00000000-0005-0000-0000-000002080000}"/>
    <cellStyle name="Comma 4 2 2 3 2 2 3 2" xfId="30358" xr:uid="{9DEF8743-3E72-4C55-A9A2-61D8048A5D11}"/>
    <cellStyle name="Comma 4 2 2 3 2 2 3 3" xfId="21917" xr:uid="{2123D1F5-89C2-4884-A245-F19C63951123}"/>
    <cellStyle name="Comma 4 2 2 3 2 2 3 4" xfId="13469" xr:uid="{969C4009-B6B9-4E00-A654-3B2A7BFFBA35}"/>
    <cellStyle name="Comma 4 2 2 3 2 2 4" xfId="26140" xr:uid="{EF9F26F6-6C0F-4EE5-9F61-B260EF252C25}"/>
    <cellStyle name="Comma 4 2 2 3 2 2 5" xfId="17699" xr:uid="{423BE667-6EA6-4CF1-90D5-6F00B7D37758}"/>
    <cellStyle name="Comma 4 2 2 3 2 2 6" xfId="9251" xr:uid="{2AE0BAFA-2FF3-4CA0-AD1F-A795D1F342B1}"/>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32916" xr:uid="{7AD29084-A724-4E7A-83B5-F7AE9601B728}"/>
    <cellStyle name="Comma 4 2 2 3 2 3 2 2 3" xfId="24475" xr:uid="{422F42C8-6C7F-4E6E-9804-30C840E2C2AD}"/>
    <cellStyle name="Comma 4 2 2 3 2 3 2 2 4" xfId="16027" xr:uid="{945606C7-9476-4FB6-AC4E-D90D2F97254C}"/>
    <cellStyle name="Comma 4 2 2 3 2 3 2 3" xfId="28698" xr:uid="{F64997B3-5A33-4B72-ABF2-39FAE6F639DC}"/>
    <cellStyle name="Comma 4 2 2 3 2 3 2 4" xfId="20257" xr:uid="{9F972E0D-BAA1-4852-9CF3-CB6482BA5816}"/>
    <cellStyle name="Comma 4 2 2 3 2 3 2 5" xfId="11809" xr:uid="{EB48B5F9-094A-42B4-A9C3-0223D78D3216}"/>
    <cellStyle name="Comma 4 2 2 3 2 3 3" xfId="5432" xr:uid="{00000000-0005-0000-0000-000006080000}"/>
    <cellStyle name="Comma 4 2 2 3 2 3 3 2" xfId="30771" xr:uid="{D80438CE-CFA0-49F8-9749-CA993D95455E}"/>
    <cellStyle name="Comma 4 2 2 3 2 3 3 3" xfId="22330" xr:uid="{BAF83C96-CFE7-4721-88A1-4FE1043255EB}"/>
    <cellStyle name="Comma 4 2 2 3 2 3 3 4" xfId="13882" xr:uid="{CE79A73C-212E-4D83-BD33-58CD3CF1F409}"/>
    <cellStyle name="Comma 4 2 2 3 2 3 4" xfId="26553" xr:uid="{37EA0A45-3171-4CB2-8199-E7958C029976}"/>
    <cellStyle name="Comma 4 2 2 3 2 3 5" xfId="18112" xr:uid="{A0E0472F-334B-422F-AB95-1BECD84CAC2F}"/>
    <cellStyle name="Comma 4 2 2 3 2 3 6" xfId="9664" xr:uid="{1FEE9BA0-12AD-4A02-8B58-67AFDCEE2A25}"/>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33329" xr:uid="{47ADC476-47D9-4017-B53E-9F5DFED0D2F1}"/>
    <cellStyle name="Comma 4 2 2 3 2 4 2 2 3" xfId="24888" xr:uid="{6DB5319C-00B7-4BEB-B410-BC65E0AF673F}"/>
    <cellStyle name="Comma 4 2 2 3 2 4 2 2 4" xfId="16440" xr:uid="{E5DAE02A-33F7-4304-8B73-DE3E400FF57D}"/>
    <cellStyle name="Comma 4 2 2 3 2 4 2 3" xfId="29111" xr:uid="{8C72C271-C956-4EF5-B09B-302F15975CF3}"/>
    <cellStyle name="Comma 4 2 2 3 2 4 2 4" xfId="20670" xr:uid="{37291FCD-6786-4F8D-A285-8D327F0A8743}"/>
    <cellStyle name="Comma 4 2 2 3 2 4 2 5" xfId="12222" xr:uid="{50001E6C-0497-4382-BCA3-13B00FA1CFCE}"/>
    <cellStyle name="Comma 4 2 2 3 2 4 3" xfId="5845" xr:uid="{00000000-0005-0000-0000-00000A080000}"/>
    <cellStyle name="Comma 4 2 2 3 2 4 3 2" xfId="31184" xr:uid="{B1FDA5D1-0221-415F-8936-B3B2B673E7DA}"/>
    <cellStyle name="Comma 4 2 2 3 2 4 3 3" xfId="22743" xr:uid="{903A6BD1-271C-47AF-8EB8-471020194D2E}"/>
    <cellStyle name="Comma 4 2 2 3 2 4 3 4" xfId="14295" xr:uid="{68CE2253-25A8-4A0B-97B6-B6BFA188823D}"/>
    <cellStyle name="Comma 4 2 2 3 2 4 4" xfId="26966" xr:uid="{6E4F8B5B-5715-4908-AD02-BE042951BD45}"/>
    <cellStyle name="Comma 4 2 2 3 2 4 5" xfId="18525" xr:uid="{C06AF83D-0974-4EBC-83D6-5469CFE6BD80}"/>
    <cellStyle name="Comma 4 2 2 3 2 4 6" xfId="10077" xr:uid="{8F081039-DAA4-48F7-9629-F024BE53EE06}"/>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33742" xr:uid="{1D32F31F-5233-4BF1-B56E-EA9AA81D88CC}"/>
    <cellStyle name="Comma 4 2 2 3 2 5 2 2 3" xfId="25301" xr:uid="{EE0B57DE-E1DD-4FB5-8B37-CB116E48378F}"/>
    <cellStyle name="Comma 4 2 2 3 2 5 2 2 4" xfId="16853" xr:uid="{7FCC9195-9942-47C5-9F9A-0A4ADF920976}"/>
    <cellStyle name="Comma 4 2 2 3 2 5 2 3" xfId="29524" xr:uid="{A87D8150-161A-4858-B83B-77555D223246}"/>
    <cellStyle name="Comma 4 2 2 3 2 5 2 4" xfId="21083" xr:uid="{19DC588D-4158-48B0-8BE4-029C564559F2}"/>
    <cellStyle name="Comma 4 2 2 3 2 5 2 5" xfId="12635" xr:uid="{F1B7CA0E-E8A2-4AE1-93CD-A58D528B4A4E}"/>
    <cellStyle name="Comma 4 2 2 3 2 5 3" xfId="6258" xr:uid="{00000000-0005-0000-0000-00000E080000}"/>
    <cellStyle name="Comma 4 2 2 3 2 5 3 2" xfId="31597" xr:uid="{CA318DA8-A520-4021-BF24-C6BB775FAC74}"/>
    <cellStyle name="Comma 4 2 2 3 2 5 3 3" xfId="23156" xr:uid="{09FF8C57-72A0-414C-8FAC-DCADB400C475}"/>
    <cellStyle name="Comma 4 2 2 3 2 5 3 4" xfId="14708" xr:uid="{D24CAD9D-B090-4B9A-8392-DCB65C6760CD}"/>
    <cellStyle name="Comma 4 2 2 3 2 5 4" xfId="27379" xr:uid="{6BA8A770-4C09-414F-930D-8D05BB683AAE}"/>
    <cellStyle name="Comma 4 2 2 3 2 5 5" xfId="18938" xr:uid="{27F452FA-3A2B-4507-96F6-A1E72166479D}"/>
    <cellStyle name="Comma 4 2 2 3 2 5 6" xfId="10490" xr:uid="{AA526F37-1FBB-46BF-8DE4-3B7C8387D886}"/>
    <cellStyle name="Comma 4 2 2 3 2 6" xfId="2387" xr:uid="{00000000-0005-0000-0000-00000F080000}"/>
    <cellStyle name="Comma 4 2 2 3 2 6 2" xfId="6671" xr:uid="{00000000-0005-0000-0000-000010080000}"/>
    <cellStyle name="Comma 4 2 2 3 2 6 2 2" xfId="32010" xr:uid="{59F4725D-64C4-49DD-AB4C-CA0CBE53FF92}"/>
    <cellStyle name="Comma 4 2 2 3 2 6 2 3" xfId="23569" xr:uid="{002A1D66-917E-4671-9DEA-AABEF3B053AB}"/>
    <cellStyle name="Comma 4 2 2 3 2 6 2 4" xfId="15121" xr:uid="{FF4FA258-022C-4A9A-810B-12E0C1A5A874}"/>
    <cellStyle name="Comma 4 2 2 3 2 6 3" xfId="27792" xr:uid="{8E30A4C6-4996-400E-ACBA-B7A5D41E61E8}"/>
    <cellStyle name="Comma 4 2 2 3 2 6 4" xfId="19351" xr:uid="{0C02CF91-B3E9-49A4-B5E7-ED609E058B35}"/>
    <cellStyle name="Comma 4 2 2 3 2 6 5" xfId="10903" xr:uid="{6BCB3FA6-5450-4F81-98D7-C0195E07D45D}"/>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32327" xr:uid="{C1107943-9DD2-4AB3-ADCE-2C4F01EC1848}"/>
    <cellStyle name="Comma 4 2 2 3 2 8 2 3" xfId="23886" xr:uid="{60446F5A-A86B-4DA4-B8E7-34A706B39A72}"/>
    <cellStyle name="Comma 4 2 2 3 2 8 2 4" xfId="15438" xr:uid="{9EA6BBFB-E852-450C-A098-084C7969EDBA}"/>
    <cellStyle name="Comma 4 2 2 3 2 8 3" xfId="28109" xr:uid="{CDDCB78C-D7C0-4022-8643-67DC143B8455}"/>
    <cellStyle name="Comma 4 2 2 3 2 8 4" xfId="19668" xr:uid="{DFF8EE36-E796-49A2-8730-613ED6A6592E}"/>
    <cellStyle name="Comma 4 2 2 3 2 8 5" xfId="11220" xr:uid="{1873109D-722C-45D8-AA91-1FD0FFD805F6}"/>
    <cellStyle name="Comma 4 2 2 3 2 9" xfId="4605" xr:uid="{00000000-0005-0000-0000-000014080000}"/>
    <cellStyle name="Comma 4 2 2 3 2 9 2" xfId="29944" xr:uid="{DA9C6749-0062-4E19-A137-4372B452DBAA}"/>
    <cellStyle name="Comma 4 2 2 3 2 9 3" xfId="21503" xr:uid="{EBC0ACCF-3FA8-4DED-A1A2-BD63B9365A09}"/>
    <cellStyle name="Comma 4 2 2 3 2 9 4" xfId="13055" xr:uid="{1852612F-9B03-410A-A605-817EF4D19A3E}"/>
    <cellStyle name="Comma 4 2 2 3 3" xfId="670" xr:uid="{00000000-0005-0000-0000-000015080000}"/>
    <cellStyle name="Comma 4 2 2 3 3 2" xfId="2941" xr:uid="{00000000-0005-0000-0000-000016080000}"/>
    <cellStyle name="Comma 4 2 2 3 3 2 2" xfId="7163" xr:uid="{00000000-0005-0000-0000-000017080000}"/>
    <cellStyle name="Comma 4 2 2 3 3 2 2 2" xfId="32502" xr:uid="{B086EF32-7706-45F0-9974-0E027957BE11}"/>
    <cellStyle name="Comma 4 2 2 3 3 2 2 3" xfId="24061" xr:uid="{CEFCF697-97AE-44FE-B8B1-0497B89FBA97}"/>
    <cellStyle name="Comma 4 2 2 3 3 2 2 4" xfId="15613" xr:uid="{1EE5A88D-F284-472E-9708-EC81BF8F8286}"/>
    <cellStyle name="Comma 4 2 2 3 3 2 3" xfId="28284" xr:uid="{86113872-49C2-4BED-A2F5-00BF055E9D8A}"/>
    <cellStyle name="Comma 4 2 2 3 3 2 4" xfId="19843" xr:uid="{4590A527-313A-4623-9499-952430978174}"/>
    <cellStyle name="Comma 4 2 2 3 3 2 5" xfId="11395" xr:uid="{EF6FF889-48EE-466E-B42A-80048B37A1CD}"/>
    <cellStyle name="Comma 4 2 2 3 3 3" xfId="5018" xr:uid="{00000000-0005-0000-0000-000018080000}"/>
    <cellStyle name="Comma 4 2 2 3 3 3 2" xfId="30357" xr:uid="{2C62E71B-AC8E-465F-AC9F-F51D5DE23468}"/>
    <cellStyle name="Comma 4 2 2 3 3 3 3" xfId="21916" xr:uid="{C7BA3D0D-8300-4581-91C3-681835C03204}"/>
    <cellStyle name="Comma 4 2 2 3 3 3 4" xfId="13468" xr:uid="{57E11B1C-F65F-4792-B788-036501D56328}"/>
    <cellStyle name="Comma 4 2 2 3 3 4" xfId="26139" xr:uid="{4FCE5FF8-900B-4698-9113-710EC0015683}"/>
    <cellStyle name="Comma 4 2 2 3 3 5" xfId="17698" xr:uid="{38A7B240-A59A-41DB-910E-B0156F80ADE6}"/>
    <cellStyle name="Comma 4 2 2 3 3 6" xfId="9250" xr:uid="{27563FF6-AF3C-47A8-AF68-0D4398F5D755}"/>
    <cellStyle name="Comma 4 2 2 3 4" xfId="1123" xr:uid="{00000000-0005-0000-0000-000019080000}"/>
    <cellStyle name="Comma 4 2 2 3 4 2" xfId="3354" xr:uid="{00000000-0005-0000-0000-00001A080000}"/>
    <cellStyle name="Comma 4 2 2 3 4 2 2" xfId="7576" xr:uid="{00000000-0005-0000-0000-00001B080000}"/>
    <cellStyle name="Comma 4 2 2 3 4 2 2 2" xfId="32915" xr:uid="{77D1700B-8EF3-4DBA-A1F1-F4C7D9E251F8}"/>
    <cellStyle name="Comma 4 2 2 3 4 2 2 3" xfId="24474" xr:uid="{6F53DA14-6761-4174-B29B-BDD896A4D282}"/>
    <cellStyle name="Comma 4 2 2 3 4 2 2 4" xfId="16026" xr:uid="{CD809E21-A41D-4A14-A15E-2FB5D3308DEC}"/>
    <cellStyle name="Comma 4 2 2 3 4 2 3" xfId="28697" xr:uid="{5C729A1F-50B5-4C9D-B059-9404454032A6}"/>
    <cellStyle name="Comma 4 2 2 3 4 2 4" xfId="20256" xr:uid="{3FFCEA95-62D8-4F79-960D-70D1007583F5}"/>
    <cellStyle name="Comma 4 2 2 3 4 2 5" xfId="11808" xr:uid="{70CA66E9-5D52-437A-93B0-22DD5360908B}"/>
    <cellStyle name="Comma 4 2 2 3 4 3" xfId="5431" xr:uid="{00000000-0005-0000-0000-00001C080000}"/>
    <cellStyle name="Comma 4 2 2 3 4 3 2" xfId="30770" xr:uid="{383F91C5-3ED7-4293-8EA3-94FD28A010BA}"/>
    <cellStyle name="Comma 4 2 2 3 4 3 3" xfId="22329" xr:uid="{DDB2DE25-472D-48AB-912C-CCB94EF243C3}"/>
    <cellStyle name="Comma 4 2 2 3 4 3 4" xfId="13881" xr:uid="{EE97022C-317E-4CD8-BB77-38362914FD2C}"/>
    <cellStyle name="Comma 4 2 2 3 4 4" xfId="26552" xr:uid="{B7628136-DAFC-4D81-8AA0-639D8017ED52}"/>
    <cellStyle name="Comma 4 2 2 3 4 5" xfId="18111" xr:uid="{0C36717C-7BCA-43D3-ADA1-A918FE1521FB}"/>
    <cellStyle name="Comma 4 2 2 3 4 6" xfId="9663" xr:uid="{D61D4BE7-73B8-4063-9E28-E32AA574D252}"/>
    <cellStyle name="Comma 4 2 2 3 5" xfId="1537" xr:uid="{00000000-0005-0000-0000-00001D080000}"/>
    <cellStyle name="Comma 4 2 2 3 5 2" xfId="3767" xr:uid="{00000000-0005-0000-0000-00001E080000}"/>
    <cellStyle name="Comma 4 2 2 3 5 2 2" xfId="7989" xr:uid="{00000000-0005-0000-0000-00001F080000}"/>
    <cellStyle name="Comma 4 2 2 3 5 2 2 2" xfId="33328" xr:uid="{AA797FE1-D504-4CDC-ABED-FCCEC6C2553F}"/>
    <cellStyle name="Comma 4 2 2 3 5 2 2 3" xfId="24887" xr:uid="{EE12C78A-4A4B-4366-913C-803A911836C7}"/>
    <cellStyle name="Comma 4 2 2 3 5 2 2 4" xfId="16439" xr:uid="{52FBC2B2-71ED-443A-9891-82B064342E14}"/>
    <cellStyle name="Comma 4 2 2 3 5 2 3" xfId="29110" xr:uid="{6CA0468E-CCC0-40C2-A8F0-28A4518C7055}"/>
    <cellStyle name="Comma 4 2 2 3 5 2 4" xfId="20669" xr:uid="{D86A2A4C-3A74-47DC-9F74-19047556007F}"/>
    <cellStyle name="Comma 4 2 2 3 5 2 5" xfId="12221" xr:uid="{B39413A6-2EC4-4B10-AF06-97AFF1DFA8BE}"/>
    <cellStyle name="Comma 4 2 2 3 5 3" xfId="5844" xr:uid="{00000000-0005-0000-0000-000020080000}"/>
    <cellStyle name="Comma 4 2 2 3 5 3 2" xfId="31183" xr:uid="{C8436ABA-46B3-49B9-9AC2-10D63B9B66EF}"/>
    <cellStyle name="Comma 4 2 2 3 5 3 3" xfId="22742" xr:uid="{21137855-F851-47F2-9C9C-EC4893526946}"/>
    <cellStyle name="Comma 4 2 2 3 5 3 4" xfId="14294" xr:uid="{70B711B5-5D76-44B1-BA83-57F32FE6CAE5}"/>
    <cellStyle name="Comma 4 2 2 3 5 4" xfId="26965" xr:uid="{ACA603CF-286A-4B45-8D24-E86F3C4C265B}"/>
    <cellStyle name="Comma 4 2 2 3 5 5" xfId="18524" xr:uid="{392189E0-BA98-465C-A916-54552E9DF734}"/>
    <cellStyle name="Comma 4 2 2 3 5 6" xfId="10076" xr:uid="{BE108EED-52C1-43EF-9D5F-AFF04DD18A1E}"/>
    <cellStyle name="Comma 4 2 2 3 6" xfId="1951" xr:uid="{00000000-0005-0000-0000-000021080000}"/>
    <cellStyle name="Comma 4 2 2 3 6 2" xfId="4180" xr:uid="{00000000-0005-0000-0000-000022080000}"/>
    <cellStyle name="Comma 4 2 2 3 6 2 2" xfId="8402" xr:uid="{00000000-0005-0000-0000-000023080000}"/>
    <cellStyle name="Comma 4 2 2 3 6 2 2 2" xfId="33741" xr:uid="{61BCBC32-8763-4EE1-A9E1-76845D1C7370}"/>
    <cellStyle name="Comma 4 2 2 3 6 2 2 3" xfId="25300" xr:uid="{E00315F7-2F4D-4827-9516-964EB7A6CFB2}"/>
    <cellStyle name="Comma 4 2 2 3 6 2 2 4" xfId="16852" xr:uid="{43C4260A-E5DC-4164-AC16-34965FEB9A21}"/>
    <cellStyle name="Comma 4 2 2 3 6 2 3" xfId="29523" xr:uid="{F392D648-477B-441A-A9BC-DFF8ABAA279C}"/>
    <cellStyle name="Comma 4 2 2 3 6 2 4" xfId="21082" xr:uid="{21B8FF19-ED4F-43B0-8DB9-DAEED169F856}"/>
    <cellStyle name="Comma 4 2 2 3 6 2 5" xfId="12634" xr:uid="{12B4A88C-9429-4129-8BEA-C8CEDB40C95E}"/>
    <cellStyle name="Comma 4 2 2 3 6 3" xfId="6257" xr:uid="{00000000-0005-0000-0000-000024080000}"/>
    <cellStyle name="Comma 4 2 2 3 6 3 2" xfId="31596" xr:uid="{91B854AD-51F0-48B7-B2CC-7905318B1813}"/>
    <cellStyle name="Comma 4 2 2 3 6 3 3" xfId="23155" xr:uid="{C4778B69-241F-4CBB-961A-A7DC259EAECE}"/>
    <cellStyle name="Comma 4 2 2 3 6 3 4" xfId="14707" xr:uid="{CFE351AE-C02A-44C0-8848-D3E56B5BEF94}"/>
    <cellStyle name="Comma 4 2 2 3 6 4" xfId="27378" xr:uid="{25681831-1233-452A-8C38-7A8B10E126C0}"/>
    <cellStyle name="Comma 4 2 2 3 6 5" xfId="18937" xr:uid="{AEF0C568-A3E5-4B66-B73D-113295912467}"/>
    <cellStyle name="Comma 4 2 2 3 6 6" xfId="10489" xr:uid="{05B57E8C-C025-45EA-B6EC-3A4637E00487}"/>
    <cellStyle name="Comma 4 2 2 3 7" xfId="2386" xr:uid="{00000000-0005-0000-0000-000025080000}"/>
    <cellStyle name="Comma 4 2 2 3 7 2" xfId="6670" xr:uid="{00000000-0005-0000-0000-000026080000}"/>
    <cellStyle name="Comma 4 2 2 3 7 2 2" xfId="32009" xr:uid="{33BEA968-837E-449C-A79C-B767E51885D1}"/>
    <cellStyle name="Comma 4 2 2 3 7 2 3" xfId="23568" xr:uid="{91DA418C-AFB5-497E-B382-15A358D1A289}"/>
    <cellStyle name="Comma 4 2 2 3 7 2 4" xfId="15120" xr:uid="{5B93E751-FAB2-465C-A01A-EA3078F937BF}"/>
    <cellStyle name="Comma 4 2 2 3 7 3" xfId="27791" xr:uid="{43273A16-F683-4DA7-B0F1-71384CE9FC2E}"/>
    <cellStyle name="Comma 4 2 2 3 7 4" xfId="19350" xr:uid="{E08DACE6-0ABE-4B72-A735-B44F7C004EFB}"/>
    <cellStyle name="Comma 4 2 2 3 7 5" xfId="10902" xr:uid="{6E883770-41E3-459B-AFEE-B8B62855B61D}"/>
    <cellStyle name="Comma 4 2 2 3 8" xfId="2377" xr:uid="{00000000-0005-0000-0000-000027080000}"/>
    <cellStyle name="Comma 4 2 2 3 9" xfId="2764" xr:uid="{00000000-0005-0000-0000-000028080000}"/>
    <cellStyle name="Comma 4 2 2 3 9 2" xfId="6987" xr:uid="{00000000-0005-0000-0000-000029080000}"/>
    <cellStyle name="Comma 4 2 2 3 9 2 2" xfId="32326" xr:uid="{CC6C1EFE-BE71-40FA-96D7-7616F493347A}"/>
    <cellStyle name="Comma 4 2 2 3 9 2 3" xfId="23885" xr:uid="{232C7A6F-BF18-4601-AA86-7CBE801E70EE}"/>
    <cellStyle name="Comma 4 2 2 3 9 2 4" xfId="15437" xr:uid="{A9689F71-92F7-4FE7-8C63-23BB37E32EA9}"/>
    <cellStyle name="Comma 4 2 2 3 9 3" xfId="28108" xr:uid="{7349870E-6E2B-4F12-882C-F0F8070A2F41}"/>
    <cellStyle name="Comma 4 2 2 3 9 4" xfId="19667" xr:uid="{2843041F-8FBB-4CA3-8011-657E6770458F}"/>
    <cellStyle name="Comma 4 2 2 3 9 5" xfId="11219" xr:uid="{06BD320B-DE63-4021-A989-E1E8DB19F901}"/>
    <cellStyle name="Comma 4 2 2 4" xfId="134" xr:uid="{00000000-0005-0000-0000-00002A080000}"/>
    <cellStyle name="Comma 4 2 2 4 10" xfId="25727" xr:uid="{F70A9EAD-8BDC-4DCA-9105-D9C76627D1F2}"/>
    <cellStyle name="Comma 4 2 2 4 11" xfId="17286" xr:uid="{F6389E5A-12A1-4875-94E5-0F4882BC6CD6}"/>
    <cellStyle name="Comma 4 2 2 4 12" xfId="8838" xr:uid="{C4279057-375B-4B62-9C38-2044CB1E3F87}"/>
    <cellStyle name="Comma 4 2 2 4 2" xfId="672" xr:uid="{00000000-0005-0000-0000-00002B080000}"/>
    <cellStyle name="Comma 4 2 2 4 2 2" xfId="2943" xr:uid="{00000000-0005-0000-0000-00002C080000}"/>
    <cellStyle name="Comma 4 2 2 4 2 2 2" xfId="7165" xr:uid="{00000000-0005-0000-0000-00002D080000}"/>
    <cellStyle name="Comma 4 2 2 4 2 2 2 2" xfId="32504" xr:uid="{3BF07BDF-3F65-454B-A764-AC125E9A4E8F}"/>
    <cellStyle name="Comma 4 2 2 4 2 2 2 3" xfId="24063" xr:uid="{25C1E72A-E4E1-4DBB-B5F5-335FFE642FD7}"/>
    <cellStyle name="Comma 4 2 2 4 2 2 2 4" xfId="15615" xr:uid="{B693621B-88D5-4274-9BA8-496EB28B1D09}"/>
    <cellStyle name="Comma 4 2 2 4 2 2 3" xfId="28286" xr:uid="{42F0CC69-01E5-4956-AFC5-FED66404AF9F}"/>
    <cellStyle name="Comma 4 2 2 4 2 2 4" xfId="19845" xr:uid="{19C89797-BAFE-4059-A102-8C06B33FD50A}"/>
    <cellStyle name="Comma 4 2 2 4 2 2 5" xfId="11397" xr:uid="{CD15D9F1-3D3D-4C9E-869F-E34A30608D15}"/>
    <cellStyle name="Comma 4 2 2 4 2 3" xfId="5020" xr:uid="{00000000-0005-0000-0000-00002E080000}"/>
    <cellStyle name="Comma 4 2 2 4 2 3 2" xfId="30359" xr:uid="{C3429450-0731-44E8-BE56-9437BBCBEA75}"/>
    <cellStyle name="Comma 4 2 2 4 2 3 3" xfId="21918" xr:uid="{3925A960-E4B6-4D51-8E01-D82468838F7B}"/>
    <cellStyle name="Comma 4 2 2 4 2 3 4" xfId="13470" xr:uid="{EFB30680-AA4D-4378-ACD9-5B784024653C}"/>
    <cellStyle name="Comma 4 2 2 4 2 4" xfId="26141" xr:uid="{5A8F59F9-F835-4B79-9D3F-311D73A8A828}"/>
    <cellStyle name="Comma 4 2 2 4 2 5" xfId="17700" xr:uid="{A40457CF-0685-42C8-B062-AAD588531717}"/>
    <cellStyle name="Comma 4 2 2 4 2 6" xfId="9252" xr:uid="{29517746-2EDF-4C98-9049-0A37ED2BA8B0}"/>
    <cellStyle name="Comma 4 2 2 4 3" xfId="1125" xr:uid="{00000000-0005-0000-0000-00002F080000}"/>
    <cellStyle name="Comma 4 2 2 4 3 2" xfId="3356" xr:uid="{00000000-0005-0000-0000-000030080000}"/>
    <cellStyle name="Comma 4 2 2 4 3 2 2" xfId="7578" xr:uid="{00000000-0005-0000-0000-000031080000}"/>
    <cellStyle name="Comma 4 2 2 4 3 2 2 2" xfId="32917" xr:uid="{312B5535-7997-4B17-B57C-1242A72F8D36}"/>
    <cellStyle name="Comma 4 2 2 4 3 2 2 3" xfId="24476" xr:uid="{DE95CD94-80AA-46DB-A04F-D194039BB9E4}"/>
    <cellStyle name="Comma 4 2 2 4 3 2 2 4" xfId="16028" xr:uid="{276A37A9-EFC8-40C0-A194-6495D80630B0}"/>
    <cellStyle name="Comma 4 2 2 4 3 2 3" xfId="28699" xr:uid="{5A9DF528-AEE3-4240-B556-F5B91C91305B}"/>
    <cellStyle name="Comma 4 2 2 4 3 2 4" xfId="20258" xr:uid="{B3D00E84-443C-4EB3-97E1-24F1E75A2D87}"/>
    <cellStyle name="Comma 4 2 2 4 3 2 5" xfId="11810" xr:uid="{245180E4-B166-490F-988D-64EBC54669AE}"/>
    <cellStyle name="Comma 4 2 2 4 3 3" xfId="5433" xr:uid="{00000000-0005-0000-0000-000032080000}"/>
    <cellStyle name="Comma 4 2 2 4 3 3 2" xfId="30772" xr:uid="{785E67B8-D472-402D-AA25-1B1DB58E05DB}"/>
    <cellStyle name="Comma 4 2 2 4 3 3 3" xfId="22331" xr:uid="{13C71928-07CA-4021-B037-F1C517DD2EEA}"/>
    <cellStyle name="Comma 4 2 2 4 3 3 4" xfId="13883" xr:uid="{C1E5DF5B-52D7-42A5-9AF0-E8DC8E24C50E}"/>
    <cellStyle name="Comma 4 2 2 4 3 4" xfId="26554" xr:uid="{D53AC696-E734-40B2-8E08-1B603D46C796}"/>
    <cellStyle name="Comma 4 2 2 4 3 5" xfId="18113" xr:uid="{7CACBBD1-BDF3-4857-A857-57D1BAAC5101}"/>
    <cellStyle name="Comma 4 2 2 4 3 6" xfId="9665" xr:uid="{7759DBD2-486B-4BE7-85A4-C868B9A8B392}"/>
    <cellStyle name="Comma 4 2 2 4 4" xfId="1539" xr:uid="{00000000-0005-0000-0000-000033080000}"/>
    <cellStyle name="Comma 4 2 2 4 4 2" xfId="3769" xr:uid="{00000000-0005-0000-0000-000034080000}"/>
    <cellStyle name="Comma 4 2 2 4 4 2 2" xfId="7991" xr:uid="{00000000-0005-0000-0000-000035080000}"/>
    <cellStyle name="Comma 4 2 2 4 4 2 2 2" xfId="33330" xr:uid="{F6F70769-0963-4400-8A8D-DFBDF17F19EC}"/>
    <cellStyle name="Comma 4 2 2 4 4 2 2 3" xfId="24889" xr:uid="{9DF2F1C9-DDD4-43F9-9AE6-FC9F1C0187AD}"/>
    <cellStyle name="Comma 4 2 2 4 4 2 2 4" xfId="16441" xr:uid="{E77C34F2-76C0-482E-B63C-11CFBC6F947A}"/>
    <cellStyle name="Comma 4 2 2 4 4 2 3" xfId="29112" xr:uid="{5BB2D728-9A1D-4A31-924B-0705360D79C3}"/>
    <cellStyle name="Comma 4 2 2 4 4 2 4" xfId="20671" xr:uid="{AB58B684-B7A5-4923-A402-C367A9D74232}"/>
    <cellStyle name="Comma 4 2 2 4 4 2 5" xfId="12223" xr:uid="{7BB4A88E-6795-4068-8A8F-67463DEE5A07}"/>
    <cellStyle name="Comma 4 2 2 4 4 3" xfId="5846" xr:uid="{00000000-0005-0000-0000-000036080000}"/>
    <cellStyle name="Comma 4 2 2 4 4 3 2" xfId="31185" xr:uid="{3DFFCB25-E591-4A71-9189-F742C97F1C21}"/>
    <cellStyle name="Comma 4 2 2 4 4 3 3" xfId="22744" xr:uid="{EAD22F14-EC56-4DB5-86AB-29FABE5F944B}"/>
    <cellStyle name="Comma 4 2 2 4 4 3 4" xfId="14296" xr:uid="{43E8B2A4-F24B-4D5F-9260-C311C4DF4F18}"/>
    <cellStyle name="Comma 4 2 2 4 4 4" xfId="26967" xr:uid="{FC965223-7C78-4633-9D18-A0401E53640C}"/>
    <cellStyle name="Comma 4 2 2 4 4 5" xfId="18526" xr:uid="{93B99BFE-7C26-4FC0-817E-7804CEC931B2}"/>
    <cellStyle name="Comma 4 2 2 4 4 6" xfId="10078" xr:uid="{AD0110A9-0D98-4473-AC6F-136F2D642C97}"/>
    <cellStyle name="Comma 4 2 2 4 5" xfId="1953" xr:uid="{00000000-0005-0000-0000-000037080000}"/>
    <cellStyle name="Comma 4 2 2 4 5 2" xfId="4182" xr:uid="{00000000-0005-0000-0000-000038080000}"/>
    <cellStyle name="Comma 4 2 2 4 5 2 2" xfId="8404" xr:uid="{00000000-0005-0000-0000-000039080000}"/>
    <cellStyle name="Comma 4 2 2 4 5 2 2 2" xfId="33743" xr:uid="{70B766BB-532B-420F-B806-0C8B13E3A86D}"/>
    <cellStyle name="Comma 4 2 2 4 5 2 2 3" xfId="25302" xr:uid="{8D533928-7C0A-48D4-BEC3-7B3E8BBBCB02}"/>
    <cellStyle name="Comma 4 2 2 4 5 2 2 4" xfId="16854" xr:uid="{08BC9F3A-85EB-4604-8654-0BF291A1C0DC}"/>
    <cellStyle name="Comma 4 2 2 4 5 2 3" xfId="29525" xr:uid="{E375781B-3C7C-4B6D-8149-F6B05E90FAEB}"/>
    <cellStyle name="Comma 4 2 2 4 5 2 4" xfId="21084" xr:uid="{E35E7BE6-4878-47C9-8B57-2D1315FA808A}"/>
    <cellStyle name="Comma 4 2 2 4 5 2 5" xfId="12636" xr:uid="{69152097-A807-4B13-A663-A9E832B41E6D}"/>
    <cellStyle name="Comma 4 2 2 4 5 3" xfId="6259" xr:uid="{00000000-0005-0000-0000-00003A080000}"/>
    <cellStyle name="Comma 4 2 2 4 5 3 2" xfId="31598" xr:uid="{9ABDC81B-1728-41E2-8C77-0C9CA0CDA451}"/>
    <cellStyle name="Comma 4 2 2 4 5 3 3" xfId="23157" xr:uid="{C5A9EE9E-5FF5-47C9-A3B6-0B485E0E0EF3}"/>
    <cellStyle name="Comma 4 2 2 4 5 3 4" xfId="14709" xr:uid="{CA1E9973-FF24-4777-BD98-1D1A90D64896}"/>
    <cellStyle name="Comma 4 2 2 4 5 4" xfId="27380" xr:uid="{5D71EE1A-5520-4156-8B1C-F4FCDFC305FD}"/>
    <cellStyle name="Comma 4 2 2 4 5 5" xfId="18939" xr:uid="{BB38CD27-9AA3-4CB5-B82F-D9953ADBB3C5}"/>
    <cellStyle name="Comma 4 2 2 4 5 6" xfId="10491" xr:uid="{4563C838-642D-4035-B385-BADB75900B83}"/>
    <cellStyle name="Comma 4 2 2 4 6" xfId="2388" xr:uid="{00000000-0005-0000-0000-00003B080000}"/>
    <cellStyle name="Comma 4 2 2 4 6 2" xfId="6672" xr:uid="{00000000-0005-0000-0000-00003C080000}"/>
    <cellStyle name="Comma 4 2 2 4 6 2 2" xfId="32011" xr:uid="{A0824EB3-9467-4281-A34D-181DBFF0C31D}"/>
    <cellStyle name="Comma 4 2 2 4 6 2 3" xfId="23570" xr:uid="{CC6C18F9-958C-43B5-9F09-59E043D61242}"/>
    <cellStyle name="Comma 4 2 2 4 6 2 4" xfId="15122" xr:uid="{D911FF4A-91C5-4FB0-BAF9-CD8773EAA9BE}"/>
    <cellStyle name="Comma 4 2 2 4 6 3" xfId="27793" xr:uid="{B05FDA5F-6760-4F7B-BF43-73F333F257CF}"/>
    <cellStyle name="Comma 4 2 2 4 6 4" xfId="19352" xr:uid="{7F6AB289-FC2B-4EA9-8230-9D2B379B808C}"/>
    <cellStyle name="Comma 4 2 2 4 6 5" xfId="10904" xr:uid="{9C28090E-E867-4C38-B8CA-265FEE279BB5}"/>
    <cellStyle name="Comma 4 2 2 4 7" xfId="2375" xr:uid="{00000000-0005-0000-0000-00003D080000}"/>
    <cellStyle name="Comma 4 2 2 4 8" xfId="2766" xr:uid="{00000000-0005-0000-0000-00003E080000}"/>
    <cellStyle name="Comma 4 2 2 4 8 2" xfId="6989" xr:uid="{00000000-0005-0000-0000-00003F080000}"/>
    <cellStyle name="Comma 4 2 2 4 8 2 2" xfId="32328" xr:uid="{A0D55AC9-82B7-4DB5-8F5B-9A5011BF387F}"/>
    <cellStyle name="Comma 4 2 2 4 8 2 3" xfId="23887" xr:uid="{A1EF5581-A97A-478F-9E5B-1CE9D1DF1452}"/>
    <cellStyle name="Comma 4 2 2 4 8 2 4" xfId="15439" xr:uid="{4004C24B-BC1B-494D-8CC4-85B73C48553D}"/>
    <cellStyle name="Comma 4 2 2 4 8 3" xfId="28110" xr:uid="{E32256F6-0219-41F4-AB65-CAE2B00F2E08}"/>
    <cellStyle name="Comma 4 2 2 4 8 4" xfId="19669" xr:uid="{B2E7E822-EE28-4117-8D4C-631DDE8F6B86}"/>
    <cellStyle name="Comma 4 2 2 4 8 5" xfId="11221" xr:uid="{0BFEFCD2-EE17-4640-AA0B-CB0213942107}"/>
    <cellStyle name="Comma 4 2 2 4 9" xfId="4606" xr:uid="{00000000-0005-0000-0000-000040080000}"/>
    <cellStyle name="Comma 4 2 2 4 9 2" xfId="29945" xr:uid="{086DC23E-2BB0-431F-9B29-BF1C04B272EE}"/>
    <cellStyle name="Comma 4 2 2 4 9 3" xfId="21504" xr:uid="{254289BB-616B-4D78-8A7D-AFA50CBFDBAB}"/>
    <cellStyle name="Comma 4 2 2 4 9 4" xfId="13056" xr:uid="{09FD27A1-304E-47A7-81FF-A284937094DE}"/>
    <cellStyle name="Comma 4 2 2 5" xfId="135" xr:uid="{00000000-0005-0000-0000-000041080000}"/>
    <cellStyle name="Comma 4 2 2 5 10" xfId="25728" xr:uid="{8FA7F20B-BB81-4081-97CE-57470C9EC935}"/>
    <cellStyle name="Comma 4 2 2 5 11" xfId="17287" xr:uid="{C3E969DF-1D7B-4823-90D9-FCE3954D1FF2}"/>
    <cellStyle name="Comma 4 2 2 5 12" xfId="8839" xr:uid="{9E96DD98-1541-4E44-AFFB-8101457D8765}"/>
    <cellStyle name="Comma 4 2 2 5 2" xfId="673" xr:uid="{00000000-0005-0000-0000-000042080000}"/>
    <cellStyle name="Comma 4 2 2 5 2 2" xfId="2944" xr:uid="{00000000-0005-0000-0000-000043080000}"/>
    <cellStyle name="Comma 4 2 2 5 2 2 2" xfId="7166" xr:uid="{00000000-0005-0000-0000-000044080000}"/>
    <cellStyle name="Comma 4 2 2 5 2 2 2 2" xfId="32505" xr:uid="{87B65FC3-C086-4735-B212-43F4A14B78A4}"/>
    <cellStyle name="Comma 4 2 2 5 2 2 2 3" xfId="24064" xr:uid="{9766D0A5-7878-4969-A558-A69F37014DD5}"/>
    <cellStyle name="Comma 4 2 2 5 2 2 2 4" xfId="15616" xr:uid="{D5F94E76-A514-4272-AAF2-7AA51CC9B7BD}"/>
    <cellStyle name="Comma 4 2 2 5 2 2 3" xfId="28287" xr:uid="{156F1DE8-CA98-4FF0-847F-54783E28E900}"/>
    <cellStyle name="Comma 4 2 2 5 2 2 4" xfId="19846" xr:uid="{5DA83DA3-A3BB-4666-8B0F-DC2BC01C7E7D}"/>
    <cellStyle name="Comma 4 2 2 5 2 2 5" xfId="11398" xr:uid="{A2BA1C36-3A47-4B18-B504-62E87071C5A1}"/>
    <cellStyle name="Comma 4 2 2 5 2 3" xfId="5021" xr:uid="{00000000-0005-0000-0000-000045080000}"/>
    <cellStyle name="Comma 4 2 2 5 2 3 2" xfId="30360" xr:uid="{67736CF7-64B1-4BEE-B025-01B4DBDE76E2}"/>
    <cellStyle name="Comma 4 2 2 5 2 3 3" xfId="21919" xr:uid="{5132CCA7-9195-44E7-8392-82AD41567DD0}"/>
    <cellStyle name="Comma 4 2 2 5 2 3 4" xfId="13471" xr:uid="{B462356B-B8B9-4700-83C6-1A48D7150026}"/>
    <cellStyle name="Comma 4 2 2 5 2 4" xfId="26142" xr:uid="{89B77560-5156-45CE-820A-B72B2D4B6E3C}"/>
    <cellStyle name="Comma 4 2 2 5 2 5" xfId="17701" xr:uid="{03789006-ACF3-4A9E-9D7B-FD7D89D999D8}"/>
    <cellStyle name="Comma 4 2 2 5 2 6" xfId="9253" xr:uid="{304B8A14-2A55-4C3B-A002-66BC789DD2E9}"/>
    <cellStyle name="Comma 4 2 2 5 3" xfId="1126" xr:uid="{00000000-0005-0000-0000-000046080000}"/>
    <cellStyle name="Comma 4 2 2 5 3 2" xfId="3357" xr:uid="{00000000-0005-0000-0000-000047080000}"/>
    <cellStyle name="Comma 4 2 2 5 3 2 2" xfId="7579" xr:uid="{00000000-0005-0000-0000-000048080000}"/>
    <cellStyle name="Comma 4 2 2 5 3 2 2 2" xfId="32918" xr:uid="{BA5D616C-FD63-4D6B-89FB-04CD801CC1D9}"/>
    <cellStyle name="Comma 4 2 2 5 3 2 2 3" xfId="24477" xr:uid="{14D2A88F-4F91-461E-AC71-17CDD9DFEA67}"/>
    <cellStyle name="Comma 4 2 2 5 3 2 2 4" xfId="16029" xr:uid="{32D82191-82F7-40D9-BF7E-465452825CA3}"/>
    <cellStyle name="Comma 4 2 2 5 3 2 3" xfId="28700" xr:uid="{187C2E93-CF3C-45FC-9DD3-8A616DC2E3C6}"/>
    <cellStyle name="Comma 4 2 2 5 3 2 4" xfId="20259" xr:uid="{7B8E70EE-D5CF-4886-9F24-DD6C544F96BE}"/>
    <cellStyle name="Comma 4 2 2 5 3 2 5" xfId="11811" xr:uid="{7302702F-E3CD-42D5-9173-51ADB211F30E}"/>
    <cellStyle name="Comma 4 2 2 5 3 3" xfId="5434" xr:uid="{00000000-0005-0000-0000-000049080000}"/>
    <cellStyle name="Comma 4 2 2 5 3 3 2" xfId="30773" xr:uid="{32A3AA3C-2FF4-4F72-9F6D-FE07D3D4F06C}"/>
    <cellStyle name="Comma 4 2 2 5 3 3 3" xfId="22332" xr:uid="{E6F29334-293E-47AC-8279-21ACD2645DCF}"/>
    <cellStyle name="Comma 4 2 2 5 3 3 4" xfId="13884" xr:uid="{3BDB5C88-D77E-473F-AB79-E420215C94E3}"/>
    <cellStyle name="Comma 4 2 2 5 3 4" xfId="26555" xr:uid="{8EA87E53-0397-4E23-9A0D-63736CA8489A}"/>
    <cellStyle name="Comma 4 2 2 5 3 5" xfId="18114" xr:uid="{E94DCE0C-43E3-4CF3-BAF7-C064A3B9EE00}"/>
    <cellStyle name="Comma 4 2 2 5 3 6" xfId="9666" xr:uid="{611D0C5C-187E-455F-809A-529DC765AAD6}"/>
    <cellStyle name="Comma 4 2 2 5 4" xfId="1540" xr:uid="{00000000-0005-0000-0000-00004A080000}"/>
    <cellStyle name="Comma 4 2 2 5 4 2" xfId="3770" xr:uid="{00000000-0005-0000-0000-00004B080000}"/>
    <cellStyle name="Comma 4 2 2 5 4 2 2" xfId="7992" xr:uid="{00000000-0005-0000-0000-00004C080000}"/>
    <cellStyle name="Comma 4 2 2 5 4 2 2 2" xfId="33331" xr:uid="{115B7DC9-50C6-4AB2-B7AD-16C1E6DD137F}"/>
    <cellStyle name="Comma 4 2 2 5 4 2 2 3" xfId="24890" xr:uid="{1C75B396-6F59-4F66-A4FF-A17691D72370}"/>
    <cellStyle name="Comma 4 2 2 5 4 2 2 4" xfId="16442" xr:uid="{D385B383-3CC0-465D-967A-A4717E9EF593}"/>
    <cellStyle name="Comma 4 2 2 5 4 2 3" xfId="29113" xr:uid="{6287A335-0961-4767-A247-B3169A862E77}"/>
    <cellStyle name="Comma 4 2 2 5 4 2 4" xfId="20672" xr:uid="{1D6CDAA1-36FC-4EAC-A487-F42CBBC2F595}"/>
    <cellStyle name="Comma 4 2 2 5 4 2 5" xfId="12224" xr:uid="{500D97EB-94F5-4F44-B05C-ADE395079DC5}"/>
    <cellStyle name="Comma 4 2 2 5 4 3" xfId="5847" xr:uid="{00000000-0005-0000-0000-00004D080000}"/>
    <cellStyle name="Comma 4 2 2 5 4 3 2" xfId="31186" xr:uid="{C23A3B21-650F-4115-B7FB-F38C1F9AE2E0}"/>
    <cellStyle name="Comma 4 2 2 5 4 3 3" xfId="22745" xr:uid="{0DCA14F0-7A78-4BAB-A2C7-B8198F8AAF5B}"/>
    <cellStyle name="Comma 4 2 2 5 4 3 4" xfId="14297" xr:uid="{499650C1-B74E-4E80-9C20-DB317BF83C89}"/>
    <cellStyle name="Comma 4 2 2 5 4 4" xfId="26968" xr:uid="{D08F72B5-ACD6-4818-AA42-F7FAEFD57984}"/>
    <cellStyle name="Comma 4 2 2 5 4 5" xfId="18527" xr:uid="{EEE081E4-AA8E-49FE-8794-31D919E5AEAB}"/>
    <cellStyle name="Comma 4 2 2 5 4 6" xfId="10079" xr:uid="{35050127-452D-4D05-B7CD-0397B3D95937}"/>
    <cellStyle name="Comma 4 2 2 5 5" xfId="1954" xr:uid="{00000000-0005-0000-0000-00004E080000}"/>
    <cellStyle name="Comma 4 2 2 5 5 2" xfId="4183" xr:uid="{00000000-0005-0000-0000-00004F080000}"/>
    <cellStyle name="Comma 4 2 2 5 5 2 2" xfId="8405" xr:uid="{00000000-0005-0000-0000-000050080000}"/>
    <cellStyle name="Comma 4 2 2 5 5 2 2 2" xfId="33744" xr:uid="{F83DE681-8270-4406-8FF4-1D39CDCBE203}"/>
    <cellStyle name="Comma 4 2 2 5 5 2 2 3" xfId="25303" xr:uid="{C05F4E1F-0F75-41B9-8ADA-D1DE412FF03F}"/>
    <cellStyle name="Comma 4 2 2 5 5 2 2 4" xfId="16855" xr:uid="{EF43D00C-C2C7-428C-81EB-61303337CDCA}"/>
    <cellStyle name="Comma 4 2 2 5 5 2 3" xfId="29526" xr:uid="{65DC0179-14AF-4AAD-B600-ADBAA5449F3D}"/>
    <cellStyle name="Comma 4 2 2 5 5 2 4" xfId="21085" xr:uid="{785EC82F-81F1-4BF6-A888-47130806CF2F}"/>
    <cellStyle name="Comma 4 2 2 5 5 2 5" xfId="12637" xr:uid="{FDFCAB87-70AE-4005-A913-65A8301690F5}"/>
    <cellStyle name="Comma 4 2 2 5 5 3" xfId="6260" xr:uid="{00000000-0005-0000-0000-000051080000}"/>
    <cellStyle name="Comma 4 2 2 5 5 3 2" xfId="31599" xr:uid="{793B3F75-A427-4C1C-BA7D-A737335D6A9B}"/>
    <cellStyle name="Comma 4 2 2 5 5 3 3" xfId="23158" xr:uid="{A08103EE-B2B1-43E5-AB2A-8FBB54C4E21F}"/>
    <cellStyle name="Comma 4 2 2 5 5 3 4" xfId="14710" xr:uid="{B2853670-570F-4BC6-9875-632C61B1E684}"/>
    <cellStyle name="Comma 4 2 2 5 5 4" xfId="27381" xr:uid="{6081E588-AD77-4364-BF2B-55CD2F1BB4B1}"/>
    <cellStyle name="Comma 4 2 2 5 5 5" xfId="18940" xr:uid="{0D8B03EA-9609-411E-9DC2-E3A200504DED}"/>
    <cellStyle name="Comma 4 2 2 5 5 6" xfId="10492" xr:uid="{6F9F1A14-E6BA-4A73-8FEF-D9405A2F57E9}"/>
    <cellStyle name="Comma 4 2 2 5 6" xfId="2389" xr:uid="{00000000-0005-0000-0000-000052080000}"/>
    <cellStyle name="Comma 4 2 2 5 6 2" xfId="6673" xr:uid="{00000000-0005-0000-0000-000053080000}"/>
    <cellStyle name="Comma 4 2 2 5 6 2 2" xfId="32012" xr:uid="{A0599E88-E169-4F01-A3F1-BAABF5A179A8}"/>
    <cellStyle name="Comma 4 2 2 5 6 2 3" xfId="23571" xr:uid="{D223A39B-CEF0-4842-8E68-2C58C7D01939}"/>
    <cellStyle name="Comma 4 2 2 5 6 2 4" xfId="15123" xr:uid="{835B1BE5-E733-4225-94D5-F9F68F6980F6}"/>
    <cellStyle name="Comma 4 2 2 5 6 3" xfId="27794" xr:uid="{77238F79-966C-4EEB-8976-A21BAFF712F9}"/>
    <cellStyle name="Comma 4 2 2 5 6 4" xfId="19353" xr:uid="{05B90773-9852-4433-90A1-368C3C877B5B}"/>
    <cellStyle name="Comma 4 2 2 5 6 5" xfId="10905" xr:uid="{220FDBF4-A844-4E12-965B-9DAD40E7D836}"/>
    <cellStyle name="Comma 4 2 2 5 7" xfId="2374" xr:uid="{00000000-0005-0000-0000-000054080000}"/>
    <cellStyle name="Comma 4 2 2 5 8" xfId="2767" xr:uid="{00000000-0005-0000-0000-000055080000}"/>
    <cellStyle name="Comma 4 2 2 5 8 2" xfId="6990" xr:uid="{00000000-0005-0000-0000-000056080000}"/>
    <cellStyle name="Comma 4 2 2 5 8 2 2" xfId="32329" xr:uid="{59B11EA4-B492-4FD3-9E0D-E8A7B825516A}"/>
    <cellStyle name="Comma 4 2 2 5 8 2 3" xfId="23888" xr:uid="{C1E7153D-9C84-482E-A887-2A71024D93CA}"/>
    <cellStyle name="Comma 4 2 2 5 8 2 4" xfId="15440" xr:uid="{CF020D65-B852-40BD-81E6-E5E3B98D4158}"/>
    <cellStyle name="Comma 4 2 2 5 8 3" xfId="28111" xr:uid="{0C5AC175-5773-410D-9EB1-7FA8780B7E0B}"/>
    <cellStyle name="Comma 4 2 2 5 8 4" xfId="19670" xr:uid="{D6801F9D-267C-4CD8-A313-65E78081FFEF}"/>
    <cellStyle name="Comma 4 2 2 5 8 5" xfId="11222" xr:uid="{FC2E08BC-B681-4FA1-A04A-5F07AE8CFC28}"/>
    <cellStyle name="Comma 4 2 2 5 9" xfId="4607" xr:uid="{00000000-0005-0000-0000-000057080000}"/>
    <cellStyle name="Comma 4 2 2 5 9 2" xfId="29946" xr:uid="{51CFCC97-6389-42A4-A2C7-45193014CACC}"/>
    <cellStyle name="Comma 4 2 2 5 9 3" xfId="21505" xr:uid="{A7EEC2C0-71C1-4D49-8F00-8E2C866DD377}"/>
    <cellStyle name="Comma 4 2 2 5 9 4" xfId="13057" xr:uid="{5E5ABBA0-88BA-4C28-AB9D-00DB98163C3B}"/>
    <cellStyle name="Comma 4 2 3" xfId="136" xr:uid="{00000000-0005-0000-0000-000058080000}"/>
    <cellStyle name="Comma 4 2 3 10" xfId="2768" xr:uid="{00000000-0005-0000-0000-000059080000}"/>
    <cellStyle name="Comma 4 2 3 10 2" xfId="6991" xr:uid="{00000000-0005-0000-0000-00005A080000}"/>
    <cellStyle name="Comma 4 2 3 10 2 2" xfId="32330" xr:uid="{DC2D9226-504A-450C-857B-D5BDF9093786}"/>
    <cellStyle name="Comma 4 2 3 10 2 3" xfId="23889" xr:uid="{21D98F9C-E30E-44D1-AFC0-2BE910CA93AB}"/>
    <cellStyle name="Comma 4 2 3 10 2 4" xfId="15441" xr:uid="{A7997A69-D9AC-4FB0-831A-37C5B455BF06}"/>
    <cellStyle name="Comma 4 2 3 10 3" xfId="28112" xr:uid="{3C6B1DEF-B824-42DF-9C53-CF8AFCDB7BFB}"/>
    <cellStyle name="Comma 4 2 3 10 4" xfId="19671" xr:uid="{28918E02-1FB2-4D7F-8BC3-4F6EE75B353B}"/>
    <cellStyle name="Comma 4 2 3 10 5" xfId="11223" xr:uid="{E5A83E0D-0D4D-41AE-BD50-D7A38E8DB064}"/>
    <cellStyle name="Comma 4 2 3 11" xfId="4608" xr:uid="{00000000-0005-0000-0000-00005B080000}"/>
    <cellStyle name="Comma 4 2 3 11 2" xfId="29947" xr:uid="{DCD2AD49-6569-4D83-88DA-48CAFC7924F8}"/>
    <cellStyle name="Comma 4 2 3 11 3" xfId="21506" xr:uid="{A493FD67-6001-48E2-BA3D-D6E3C032F87D}"/>
    <cellStyle name="Comma 4 2 3 11 4" xfId="13058" xr:uid="{BB184562-DA68-439B-BA21-C4C0D5DEAA34}"/>
    <cellStyle name="Comma 4 2 3 12" xfId="25729" xr:uid="{BEFA735B-E5B5-419A-94ED-FE92AB911937}"/>
    <cellStyle name="Comma 4 2 3 13" xfId="17288" xr:uid="{9C7CF69E-F556-4EC4-BC54-B60F0F6FF636}"/>
    <cellStyle name="Comma 4 2 3 14" xfId="8840" xr:uid="{CE40F8BE-839F-4F30-B621-6282A88CB62A}"/>
    <cellStyle name="Comma 4 2 3 2" xfId="137" xr:uid="{00000000-0005-0000-0000-00005C080000}"/>
    <cellStyle name="Comma 4 2 3 2 10" xfId="4609" xr:uid="{00000000-0005-0000-0000-00005D080000}"/>
    <cellStyle name="Comma 4 2 3 2 10 2" xfId="29948" xr:uid="{08ECEBBE-4ED5-4755-80F9-869AE69B7D7D}"/>
    <cellStyle name="Comma 4 2 3 2 10 3" xfId="21507" xr:uid="{77F4DD85-0CF0-4919-9FB3-17F719D63F1B}"/>
    <cellStyle name="Comma 4 2 3 2 10 4" xfId="13059" xr:uid="{9BC9F550-8471-4563-9F4E-E74D96145F8D}"/>
    <cellStyle name="Comma 4 2 3 2 11" xfId="25730" xr:uid="{8D8DA6DE-02F1-4BF3-B858-1821A7C57A23}"/>
    <cellStyle name="Comma 4 2 3 2 12" xfId="17289" xr:uid="{5BD1537C-188B-485E-AAEE-9847D9A1E49D}"/>
    <cellStyle name="Comma 4 2 3 2 13" xfId="8841" xr:uid="{9A315247-FEC9-4A20-AAAD-25B82ECB3CB9}"/>
    <cellStyle name="Comma 4 2 3 2 2" xfId="138" xr:uid="{00000000-0005-0000-0000-00005E080000}"/>
    <cellStyle name="Comma 4 2 3 2 2 10" xfId="25731" xr:uid="{088E71A2-CAC0-42BF-8E92-4C1463B13150}"/>
    <cellStyle name="Comma 4 2 3 2 2 11" xfId="17290" xr:uid="{05BD2068-4B25-429F-9371-743A49A76CBC}"/>
    <cellStyle name="Comma 4 2 3 2 2 12" xfId="8842" xr:uid="{9166EC09-AB26-46E7-AF47-AB2362D30297}"/>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32508" xr:uid="{148F2242-6321-4F08-914C-8B1B8840E7D2}"/>
    <cellStyle name="Comma 4 2 3 2 2 2 2 2 3" xfId="24067" xr:uid="{BDE6A5FD-8BB0-4BD0-8BDF-63098786A03B}"/>
    <cellStyle name="Comma 4 2 3 2 2 2 2 2 4" xfId="15619" xr:uid="{CDD51A35-230A-4705-9DE6-ECE834D02C01}"/>
    <cellStyle name="Comma 4 2 3 2 2 2 2 3" xfId="28290" xr:uid="{6387433F-CDD7-4FE5-961E-8CA3EC52A004}"/>
    <cellStyle name="Comma 4 2 3 2 2 2 2 4" xfId="19849" xr:uid="{9A356DE6-88E1-45C5-AC07-6A5B939A1473}"/>
    <cellStyle name="Comma 4 2 3 2 2 2 2 5" xfId="11401" xr:uid="{268AA429-8EA9-4A63-8C86-3741454C468A}"/>
    <cellStyle name="Comma 4 2 3 2 2 2 3" xfId="5024" xr:uid="{00000000-0005-0000-0000-000062080000}"/>
    <cellStyle name="Comma 4 2 3 2 2 2 3 2" xfId="30363" xr:uid="{BE6962F1-832F-41DD-80D8-97795A4C57D4}"/>
    <cellStyle name="Comma 4 2 3 2 2 2 3 3" xfId="21922" xr:uid="{A1F2F87B-E194-4615-B4F1-04B43F2F8D7B}"/>
    <cellStyle name="Comma 4 2 3 2 2 2 3 4" xfId="13474" xr:uid="{184A8709-AEF7-4EA3-B0F1-7646689625E1}"/>
    <cellStyle name="Comma 4 2 3 2 2 2 4" xfId="26145" xr:uid="{2D5E2784-6D0C-46AD-BF4B-287A0947A77D}"/>
    <cellStyle name="Comma 4 2 3 2 2 2 5" xfId="17704" xr:uid="{5475CBF2-3F35-4958-BC4B-B478B1728510}"/>
    <cellStyle name="Comma 4 2 3 2 2 2 6" xfId="9256" xr:uid="{8997A5EB-1CD4-45E1-89A9-D502825CBCCA}"/>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32921" xr:uid="{D236110B-3A38-4F0B-A9D7-A8C44D83479F}"/>
    <cellStyle name="Comma 4 2 3 2 2 3 2 2 3" xfId="24480" xr:uid="{B4303073-203C-4632-A32C-D6C214D0D0F3}"/>
    <cellStyle name="Comma 4 2 3 2 2 3 2 2 4" xfId="16032" xr:uid="{5AE154F2-F3CF-4BC7-934B-1BDDFB8FB847}"/>
    <cellStyle name="Comma 4 2 3 2 2 3 2 3" xfId="28703" xr:uid="{6A0420CF-C8CD-4452-B3B7-6FE88A0CC633}"/>
    <cellStyle name="Comma 4 2 3 2 2 3 2 4" xfId="20262" xr:uid="{F1699610-A9CE-4A38-B372-47D42968CAD2}"/>
    <cellStyle name="Comma 4 2 3 2 2 3 2 5" xfId="11814" xr:uid="{A590E011-3CE7-444D-9652-F241F1FAA6BC}"/>
    <cellStyle name="Comma 4 2 3 2 2 3 3" xfId="5437" xr:uid="{00000000-0005-0000-0000-000066080000}"/>
    <cellStyle name="Comma 4 2 3 2 2 3 3 2" xfId="30776" xr:uid="{8886A43B-557A-4A61-817F-54AEE309C2D4}"/>
    <cellStyle name="Comma 4 2 3 2 2 3 3 3" xfId="22335" xr:uid="{3734ABB7-4B47-4D42-BABD-23701AD6BC7E}"/>
    <cellStyle name="Comma 4 2 3 2 2 3 3 4" xfId="13887" xr:uid="{D1CA845C-4F9C-4EFA-A0D1-D3F9558F18C1}"/>
    <cellStyle name="Comma 4 2 3 2 2 3 4" xfId="26558" xr:uid="{B8B91D9D-D2A1-4F6D-8A3F-8C05B2D52823}"/>
    <cellStyle name="Comma 4 2 3 2 2 3 5" xfId="18117" xr:uid="{8841AF2E-4755-4DEB-B2CB-32EBE08E1C7E}"/>
    <cellStyle name="Comma 4 2 3 2 2 3 6" xfId="9669" xr:uid="{449172C0-80FD-4CB9-AA90-2179784B3C70}"/>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33334" xr:uid="{34730A39-A4B1-4A8B-82D8-E8333F599383}"/>
    <cellStyle name="Comma 4 2 3 2 2 4 2 2 3" xfId="24893" xr:uid="{2AC7B974-85B9-4C03-987C-6843F7083139}"/>
    <cellStyle name="Comma 4 2 3 2 2 4 2 2 4" xfId="16445" xr:uid="{FCACE10E-4680-44C7-A06B-8F3B3092E597}"/>
    <cellStyle name="Comma 4 2 3 2 2 4 2 3" xfId="29116" xr:uid="{EBAECAE0-DE84-44B1-BB3B-80F3B844A587}"/>
    <cellStyle name="Comma 4 2 3 2 2 4 2 4" xfId="20675" xr:uid="{F8DA7E8D-D241-4B2E-9971-2B37218257A0}"/>
    <cellStyle name="Comma 4 2 3 2 2 4 2 5" xfId="12227" xr:uid="{219633F1-1C87-4696-BFD4-F4C8DDB22129}"/>
    <cellStyle name="Comma 4 2 3 2 2 4 3" xfId="5850" xr:uid="{00000000-0005-0000-0000-00006A080000}"/>
    <cellStyle name="Comma 4 2 3 2 2 4 3 2" xfId="31189" xr:uid="{34CA4EF9-05BB-4625-AF9C-4A633778F45B}"/>
    <cellStyle name="Comma 4 2 3 2 2 4 3 3" xfId="22748" xr:uid="{13228D52-B69E-41E7-9C24-1D614B3E2C69}"/>
    <cellStyle name="Comma 4 2 3 2 2 4 3 4" xfId="14300" xr:uid="{E38A8C48-54B1-4085-93D8-139218B67C59}"/>
    <cellStyle name="Comma 4 2 3 2 2 4 4" xfId="26971" xr:uid="{CD055A37-822C-4CF3-9A7C-6D7B716C9AF7}"/>
    <cellStyle name="Comma 4 2 3 2 2 4 5" xfId="18530" xr:uid="{99B2DD9B-ADA1-4E6F-BCF0-D9E9D4913373}"/>
    <cellStyle name="Comma 4 2 3 2 2 4 6" xfId="10082" xr:uid="{40278ED9-7C54-4022-BB03-71F6E7AB0D1B}"/>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33747" xr:uid="{07B13DE0-2552-44A2-8954-647CEBC2E012}"/>
    <cellStyle name="Comma 4 2 3 2 2 5 2 2 3" xfId="25306" xr:uid="{0AD77BDE-A516-439D-9241-FA26A91BADA2}"/>
    <cellStyle name="Comma 4 2 3 2 2 5 2 2 4" xfId="16858" xr:uid="{E48EE03D-F80B-46CD-8D89-342D26F947C0}"/>
    <cellStyle name="Comma 4 2 3 2 2 5 2 3" xfId="29529" xr:uid="{AF0195F5-86C6-4E07-AF0A-BCF0D1473730}"/>
    <cellStyle name="Comma 4 2 3 2 2 5 2 4" xfId="21088" xr:uid="{097C8665-3E61-4E5F-9C4E-974B8CEBC328}"/>
    <cellStyle name="Comma 4 2 3 2 2 5 2 5" xfId="12640" xr:uid="{4875A238-F9AC-453E-A96A-E0DD3B6BD7A7}"/>
    <cellStyle name="Comma 4 2 3 2 2 5 3" xfId="6263" xr:uid="{00000000-0005-0000-0000-00006E080000}"/>
    <cellStyle name="Comma 4 2 3 2 2 5 3 2" xfId="31602" xr:uid="{A5953CC8-5C48-4342-B4A6-465DA9CA6043}"/>
    <cellStyle name="Comma 4 2 3 2 2 5 3 3" xfId="23161" xr:uid="{A7AC9699-934C-4FA8-BD0A-9EFC6A762491}"/>
    <cellStyle name="Comma 4 2 3 2 2 5 3 4" xfId="14713" xr:uid="{5DF1E030-47A8-4644-B655-B5CB5F536AF3}"/>
    <cellStyle name="Comma 4 2 3 2 2 5 4" xfId="27384" xr:uid="{3E6F0A98-20C8-4425-9062-52B184F667C7}"/>
    <cellStyle name="Comma 4 2 3 2 2 5 5" xfId="18943" xr:uid="{EB7C590C-DCCD-4C30-9861-58CE04BB60CC}"/>
    <cellStyle name="Comma 4 2 3 2 2 5 6" xfId="10495" xr:uid="{92A0D5D1-EB2E-4276-BB61-857542E94E55}"/>
    <cellStyle name="Comma 4 2 3 2 2 6" xfId="2392" xr:uid="{00000000-0005-0000-0000-00006F080000}"/>
    <cellStyle name="Comma 4 2 3 2 2 6 2" xfId="6676" xr:uid="{00000000-0005-0000-0000-000070080000}"/>
    <cellStyle name="Comma 4 2 3 2 2 6 2 2" xfId="32015" xr:uid="{87E52BF7-BA1E-4AC8-A43C-0034701AE598}"/>
    <cellStyle name="Comma 4 2 3 2 2 6 2 3" xfId="23574" xr:uid="{1C942030-E017-4E8F-842A-43702AB4E13F}"/>
    <cellStyle name="Comma 4 2 3 2 2 6 2 4" xfId="15126" xr:uid="{D0FBE308-800F-46D6-9709-3452778389C3}"/>
    <cellStyle name="Comma 4 2 3 2 2 6 3" xfId="27797" xr:uid="{4DB80A08-E1C3-4191-993A-C8FA0F9650CC}"/>
    <cellStyle name="Comma 4 2 3 2 2 6 4" xfId="19356" xr:uid="{F28D7648-3219-4B06-929E-45D42A6FCCD3}"/>
    <cellStyle name="Comma 4 2 3 2 2 6 5" xfId="10908" xr:uid="{F04B99BC-44E2-4E80-A544-970A90A7548B}"/>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32332" xr:uid="{CAED56D5-929B-4524-90DB-F030D7CB7F7B}"/>
    <cellStyle name="Comma 4 2 3 2 2 8 2 3" xfId="23891" xr:uid="{FAB597A5-37EB-4835-9122-0E348DBB687B}"/>
    <cellStyle name="Comma 4 2 3 2 2 8 2 4" xfId="15443" xr:uid="{91A40AE6-0918-4BD1-B996-744164A53E6E}"/>
    <cellStyle name="Comma 4 2 3 2 2 8 3" xfId="28114" xr:uid="{8A8CF5EE-A783-44AF-900F-04172A38C07D}"/>
    <cellStyle name="Comma 4 2 3 2 2 8 4" xfId="19673" xr:uid="{828902DD-BAC0-4B4A-AAE7-ED31A9C7929B}"/>
    <cellStyle name="Comma 4 2 3 2 2 8 5" xfId="11225" xr:uid="{8C04DF6B-CCD3-4791-9836-11D6EFAC7233}"/>
    <cellStyle name="Comma 4 2 3 2 2 9" xfId="4610" xr:uid="{00000000-0005-0000-0000-000074080000}"/>
    <cellStyle name="Comma 4 2 3 2 2 9 2" xfId="29949" xr:uid="{15D4035F-934D-4CB2-88BB-F650749D271E}"/>
    <cellStyle name="Comma 4 2 3 2 2 9 3" xfId="21508" xr:uid="{0DC95C64-EB20-43DF-8492-1E835B7064CF}"/>
    <cellStyle name="Comma 4 2 3 2 2 9 4" xfId="13060" xr:uid="{8B7F0604-1A67-4447-B128-955EA371C349}"/>
    <cellStyle name="Comma 4 2 3 2 3" xfId="675" xr:uid="{00000000-0005-0000-0000-000075080000}"/>
    <cellStyle name="Comma 4 2 3 2 3 2" xfId="2946" xr:uid="{00000000-0005-0000-0000-000076080000}"/>
    <cellStyle name="Comma 4 2 3 2 3 2 2" xfId="7168" xr:uid="{00000000-0005-0000-0000-000077080000}"/>
    <cellStyle name="Comma 4 2 3 2 3 2 2 2" xfId="32507" xr:uid="{A53DA4FB-EEE0-4822-B6A8-C44D9B52114C}"/>
    <cellStyle name="Comma 4 2 3 2 3 2 2 3" xfId="24066" xr:uid="{E120BF88-658A-4B03-AB3C-AFC1D33248B7}"/>
    <cellStyle name="Comma 4 2 3 2 3 2 2 4" xfId="15618" xr:uid="{313DC30E-13D4-43D9-A76A-97CC4CA42938}"/>
    <cellStyle name="Comma 4 2 3 2 3 2 3" xfId="28289" xr:uid="{ED0624F2-83FC-474F-955C-B7FA63E49D48}"/>
    <cellStyle name="Comma 4 2 3 2 3 2 4" xfId="19848" xr:uid="{70A2A937-5649-4E2A-88F6-9623E22C0F57}"/>
    <cellStyle name="Comma 4 2 3 2 3 2 5" xfId="11400" xr:uid="{33CA602A-5780-4528-A9D4-724041B45598}"/>
    <cellStyle name="Comma 4 2 3 2 3 3" xfId="5023" xr:uid="{00000000-0005-0000-0000-000078080000}"/>
    <cellStyle name="Comma 4 2 3 2 3 3 2" xfId="30362" xr:uid="{27906272-6E43-4073-8ABF-DAD39195C982}"/>
    <cellStyle name="Comma 4 2 3 2 3 3 3" xfId="21921" xr:uid="{1F18A7ED-5705-4C8C-B52F-F56F3349059E}"/>
    <cellStyle name="Comma 4 2 3 2 3 3 4" xfId="13473" xr:uid="{386F7435-8020-45CE-BB74-19DEBC85A240}"/>
    <cellStyle name="Comma 4 2 3 2 3 4" xfId="26144" xr:uid="{EC2C8E14-B19E-4AD9-B32A-B071E67BE470}"/>
    <cellStyle name="Comma 4 2 3 2 3 5" xfId="17703" xr:uid="{9E26936F-4956-44B9-A190-557D13C8ABA8}"/>
    <cellStyle name="Comma 4 2 3 2 3 6" xfId="9255" xr:uid="{D2916F43-56A7-4D4A-AD86-1EEEE24A234E}"/>
    <cellStyle name="Comma 4 2 3 2 4" xfId="1128" xr:uid="{00000000-0005-0000-0000-000079080000}"/>
    <cellStyle name="Comma 4 2 3 2 4 2" xfId="3359" xr:uid="{00000000-0005-0000-0000-00007A080000}"/>
    <cellStyle name="Comma 4 2 3 2 4 2 2" xfId="7581" xr:uid="{00000000-0005-0000-0000-00007B080000}"/>
    <cellStyle name="Comma 4 2 3 2 4 2 2 2" xfId="32920" xr:uid="{98292FE3-8A31-4CE3-AE57-233A212DB31C}"/>
    <cellStyle name="Comma 4 2 3 2 4 2 2 3" xfId="24479" xr:uid="{7A5E5EFE-813A-4BC3-ADEF-AD3D3AA8092D}"/>
    <cellStyle name="Comma 4 2 3 2 4 2 2 4" xfId="16031" xr:uid="{E9C78B3C-7E23-4D55-973B-00334662FBCE}"/>
    <cellStyle name="Comma 4 2 3 2 4 2 3" xfId="28702" xr:uid="{668E792A-A251-4042-8960-6952C7F091F2}"/>
    <cellStyle name="Comma 4 2 3 2 4 2 4" xfId="20261" xr:uid="{F540C5BC-64A2-4F0C-A3F2-F16E0824CD91}"/>
    <cellStyle name="Comma 4 2 3 2 4 2 5" xfId="11813" xr:uid="{D0447974-869C-4257-AF8C-E2F9A7000910}"/>
    <cellStyle name="Comma 4 2 3 2 4 3" xfId="5436" xr:uid="{00000000-0005-0000-0000-00007C080000}"/>
    <cellStyle name="Comma 4 2 3 2 4 3 2" xfId="30775" xr:uid="{D15D5A8D-0424-480F-8D8F-A4E0CA7A0F8B}"/>
    <cellStyle name="Comma 4 2 3 2 4 3 3" xfId="22334" xr:uid="{4125DE5C-1B99-4852-B43F-39C01F05C789}"/>
    <cellStyle name="Comma 4 2 3 2 4 3 4" xfId="13886" xr:uid="{391EFE2A-1B9A-4875-A307-FCD211FFDE40}"/>
    <cellStyle name="Comma 4 2 3 2 4 4" xfId="26557" xr:uid="{6232DE2E-E47F-436B-9595-119840AEE6F4}"/>
    <cellStyle name="Comma 4 2 3 2 4 5" xfId="18116" xr:uid="{655E1B02-1864-41C6-855A-F3132F7F4EBD}"/>
    <cellStyle name="Comma 4 2 3 2 4 6" xfId="9668" xr:uid="{4D14682D-DA1B-4AB6-8AC5-A98F89647E64}"/>
    <cellStyle name="Comma 4 2 3 2 5" xfId="1542" xr:uid="{00000000-0005-0000-0000-00007D080000}"/>
    <cellStyle name="Comma 4 2 3 2 5 2" xfId="3772" xr:uid="{00000000-0005-0000-0000-00007E080000}"/>
    <cellStyle name="Comma 4 2 3 2 5 2 2" xfId="7994" xr:uid="{00000000-0005-0000-0000-00007F080000}"/>
    <cellStyle name="Comma 4 2 3 2 5 2 2 2" xfId="33333" xr:uid="{40616EF5-DBD7-4573-86F0-735E47D355AC}"/>
    <cellStyle name="Comma 4 2 3 2 5 2 2 3" xfId="24892" xr:uid="{FEAF17F6-72FE-40BD-AD4D-7070E803234E}"/>
    <cellStyle name="Comma 4 2 3 2 5 2 2 4" xfId="16444" xr:uid="{F1612060-4547-4F92-A1A2-2C7B3AEABD4B}"/>
    <cellStyle name="Comma 4 2 3 2 5 2 3" xfId="29115" xr:uid="{3B5716C0-5FE9-40F8-ABDC-B374A6C2BD39}"/>
    <cellStyle name="Comma 4 2 3 2 5 2 4" xfId="20674" xr:uid="{2BEF713D-1D41-4296-9C7F-BA0049856C6E}"/>
    <cellStyle name="Comma 4 2 3 2 5 2 5" xfId="12226" xr:uid="{D1150837-68DE-474A-BD45-6AC7BC588A0A}"/>
    <cellStyle name="Comma 4 2 3 2 5 3" xfId="5849" xr:uid="{00000000-0005-0000-0000-000080080000}"/>
    <cellStyle name="Comma 4 2 3 2 5 3 2" xfId="31188" xr:uid="{0B8D8527-19DA-4F79-BA38-EDE09FF83E8F}"/>
    <cellStyle name="Comma 4 2 3 2 5 3 3" xfId="22747" xr:uid="{1C8638C2-4267-49FF-B2D6-F7D63ACCC131}"/>
    <cellStyle name="Comma 4 2 3 2 5 3 4" xfId="14299" xr:uid="{77F544FD-BD97-4003-969F-37148DE795A6}"/>
    <cellStyle name="Comma 4 2 3 2 5 4" xfId="26970" xr:uid="{0DDABB41-69CB-4D98-962C-971918F842DF}"/>
    <cellStyle name="Comma 4 2 3 2 5 5" xfId="18529" xr:uid="{D423D7F8-46ED-45D4-9E57-B064300A44A3}"/>
    <cellStyle name="Comma 4 2 3 2 5 6" xfId="10081" xr:uid="{51A31546-8EB7-49D2-BD24-B7693E23071C}"/>
    <cellStyle name="Comma 4 2 3 2 6" xfId="1956" xr:uid="{00000000-0005-0000-0000-000081080000}"/>
    <cellStyle name="Comma 4 2 3 2 6 2" xfId="4185" xr:uid="{00000000-0005-0000-0000-000082080000}"/>
    <cellStyle name="Comma 4 2 3 2 6 2 2" xfId="8407" xr:uid="{00000000-0005-0000-0000-000083080000}"/>
    <cellStyle name="Comma 4 2 3 2 6 2 2 2" xfId="33746" xr:uid="{A4423222-50D5-4A53-811E-C6B45FD47DB0}"/>
    <cellStyle name="Comma 4 2 3 2 6 2 2 3" xfId="25305" xr:uid="{8BA78ED0-9C4A-44D0-B5AA-D2BB212A1780}"/>
    <cellStyle name="Comma 4 2 3 2 6 2 2 4" xfId="16857" xr:uid="{F76077BC-C575-467C-B13E-0383E8A88CF4}"/>
    <cellStyle name="Comma 4 2 3 2 6 2 3" xfId="29528" xr:uid="{00D3BF55-C366-4799-8953-74137D185554}"/>
    <cellStyle name="Comma 4 2 3 2 6 2 4" xfId="21087" xr:uid="{EB4A07D9-1BE3-4B80-9AC5-3D577A877395}"/>
    <cellStyle name="Comma 4 2 3 2 6 2 5" xfId="12639" xr:uid="{1D0AF720-16B8-4759-82EA-7E296B280591}"/>
    <cellStyle name="Comma 4 2 3 2 6 3" xfId="6262" xr:uid="{00000000-0005-0000-0000-000084080000}"/>
    <cellStyle name="Comma 4 2 3 2 6 3 2" xfId="31601" xr:uid="{1906B3D0-0B88-4FC7-B5A5-947CA97D1703}"/>
    <cellStyle name="Comma 4 2 3 2 6 3 3" xfId="23160" xr:uid="{AC3327DC-6F99-4490-8373-AFFBFB7F3178}"/>
    <cellStyle name="Comma 4 2 3 2 6 3 4" xfId="14712" xr:uid="{A48E6819-56C5-4E90-AC5B-75A71811AC17}"/>
    <cellStyle name="Comma 4 2 3 2 6 4" xfId="27383" xr:uid="{D36F0846-7D4F-4DA4-AE8E-0B61595EC834}"/>
    <cellStyle name="Comma 4 2 3 2 6 5" xfId="18942" xr:uid="{261E8A52-1325-4719-8886-0B3B00F80652}"/>
    <cellStyle name="Comma 4 2 3 2 6 6" xfId="10494" xr:uid="{1DB659B3-9436-4C19-98CA-6BB7FF611733}"/>
    <cellStyle name="Comma 4 2 3 2 7" xfId="2391" xr:uid="{00000000-0005-0000-0000-000085080000}"/>
    <cellStyle name="Comma 4 2 3 2 7 2" xfId="6675" xr:uid="{00000000-0005-0000-0000-000086080000}"/>
    <cellStyle name="Comma 4 2 3 2 7 2 2" xfId="32014" xr:uid="{939E6533-585E-4538-B818-519F83469C93}"/>
    <cellStyle name="Comma 4 2 3 2 7 2 3" xfId="23573" xr:uid="{E92783CC-3B9B-4005-B206-A6CBB87DA735}"/>
    <cellStyle name="Comma 4 2 3 2 7 2 4" xfId="15125" xr:uid="{C4E012B5-6EA3-449F-85A7-CF9E8049E552}"/>
    <cellStyle name="Comma 4 2 3 2 7 3" xfId="27796" xr:uid="{5E2FBA7C-6942-41FB-A896-537DEA0DA575}"/>
    <cellStyle name="Comma 4 2 3 2 7 4" xfId="19355" xr:uid="{70FDE14D-3004-4AA2-9DB9-47D1BD17B0A9}"/>
    <cellStyle name="Comma 4 2 3 2 7 5" xfId="10907" xr:uid="{7D1006CE-5A16-4E21-97C7-F5A466DD6ED0}"/>
    <cellStyle name="Comma 4 2 3 2 8" xfId="2372" xr:uid="{00000000-0005-0000-0000-000087080000}"/>
    <cellStyle name="Comma 4 2 3 2 9" xfId="2769" xr:uid="{00000000-0005-0000-0000-000088080000}"/>
    <cellStyle name="Comma 4 2 3 2 9 2" xfId="6992" xr:uid="{00000000-0005-0000-0000-000089080000}"/>
    <cellStyle name="Comma 4 2 3 2 9 2 2" xfId="32331" xr:uid="{C23079CF-53F3-4D0B-BF8D-04264BEA1299}"/>
    <cellStyle name="Comma 4 2 3 2 9 2 3" xfId="23890" xr:uid="{4220B805-9C10-4E68-98F2-1A49E6F26759}"/>
    <cellStyle name="Comma 4 2 3 2 9 2 4" xfId="15442" xr:uid="{26428CA4-C2C8-43E6-BBA6-B352A78E6B67}"/>
    <cellStyle name="Comma 4 2 3 2 9 3" xfId="28113" xr:uid="{AFE477A0-786A-4455-81B6-353AFE6ECB62}"/>
    <cellStyle name="Comma 4 2 3 2 9 4" xfId="19672" xr:uid="{43862D2C-222E-49FD-A8B8-5BEB852E00BD}"/>
    <cellStyle name="Comma 4 2 3 2 9 5" xfId="11224" xr:uid="{547D226A-39E0-471D-8965-DF6FA3EA9B28}"/>
    <cellStyle name="Comma 4 2 3 3" xfId="139" xr:uid="{00000000-0005-0000-0000-00008A080000}"/>
    <cellStyle name="Comma 4 2 3 3 10" xfId="25732" xr:uid="{0E2AB180-0FDF-4B35-9CC9-56E993D7266C}"/>
    <cellStyle name="Comma 4 2 3 3 11" xfId="17291" xr:uid="{2B8910D7-FCAE-48B2-87B9-3B9485F9A916}"/>
    <cellStyle name="Comma 4 2 3 3 12" xfId="8843" xr:uid="{7725E7E5-FBFB-46CA-B509-F0D78347352D}"/>
    <cellStyle name="Comma 4 2 3 3 2" xfId="677" xr:uid="{00000000-0005-0000-0000-00008B080000}"/>
    <cellStyle name="Comma 4 2 3 3 2 2" xfId="2948" xr:uid="{00000000-0005-0000-0000-00008C080000}"/>
    <cellStyle name="Comma 4 2 3 3 2 2 2" xfId="7170" xr:uid="{00000000-0005-0000-0000-00008D080000}"/>
    <cellStyle name="Comma 4 2 3 3 2 2 2 2" xfId="32509" xr:uid="{5CC87295-F04B-4F88-B0B8-1DBFC8652EA6}"/>
    <cellStyle name="Comma 4 2 3 3 2 2 2 3" xfId="24068" xr:uid="{540EE967-5B9F-4149-8B8A-A22CD228913D}"/>
    <cellStyle name="Comma 4 2 3 3 2 2 2 4" xfId="15620" xr:uid="{715E2173-95DF-4210-A84E-5441660340B6}"/>
    <cellStyle name="Comma 4 2 3 3 2 2 3" xfId="28291" xr:uid="{A883F85B-0F08-4229-B0C9-32FE33FFB288}"/>
    <cellStyle name="Comma 4 2 3 3 2 2 4" xfId="19850" xr:uid="{970FA4DB-88D1-4B2B-88E2-A3E3191A8B93}"/>
    <cellStyle name="Comma 4 2 3 3 2 2 5" xfId="11402" xr:uid="{7DF5ED45-E68A-439B-9D5D-F72A77D413DB}"/>
    <cellStyle name="Comma 4 2 3 3 2 3" xfId="5025" xr:uid="{00000000-0005-0000-0000-00008E080000}"/>
    <cellStyle name="Comma 4 2 3 3 2 3 2" xfId="30364" xr:uid="{9C1D9061-4E78-4364-B417-BF9ADA2324BB}"/>
    <cellStyle name="Comma 4 2 3 3 2 3 3" xfId="21923" xr:uid="{BB387F29-2314-4F4C-A640-173E25227176}"/>
    <cellStyle name="Comma 4 2 3 3 2 3 4" xfId="13475" xr:uid="{A0B9317C-EF42-4FF8-86D0-0AE03F01B58D}"/>
    <cellStyle name="Comma 4 2 3 3 2 4" xfId="26146" xr:uid="{71B4B933-003A-47BA-88B4-DD3C5410F589}"/>
    <cellStyle name="Comma 4 2 3 3 2 5" xfId="17705" xr:uid="{0CDCF1AE-FBB4-4F77-A6D9-9CBC34577BD4}"/>
    <cellStyle name="Comma 4 2 3 3 2 6" xfId="9257" xr:uid="{E3792D4C-70DA-4188-B640-602734F69F74}"/>
    <cellStyle name="Comma 4 2 3 3 3" xfId="1130" xr:uid="{00000000-0005-0000-0000-00008F080000}"/>
    <cellStyle name="Comma 4 2 3 3 3 2" xfId="3361" xr:uid="{00000000-0005-0000-0000-000090080000}"/>
    <cellStyle name="Comma 4 2 3 3 3 2 2" xfId="7583" xr:uid="{00000000-0005-0000-0000-000091080000}"/>
    <cellStyle name="Comma 4 2 3 3 3 2 2 2" xfId="32922" xr:uid="{8F14D7A1-0F98-4FFF-8AD6-E73BD13464D0}"/>
    <cellStyle name="Comma 4 2 3 3 3 2 2 3" xfId="24481" xr:uid="{A1E2CBDE-0582-4EB9-A9CE-D592061FFCFA}"/>
    <cellStyle name="Comma 4 2 3 3 3 2 2 4" xfId="16033" xr:uid="{FE75970F-7B84-4529-ACA6-53E6855C9C05}"/>
    <cellStyle name="Comma 4 2 3 3 3 2 3" xfId="28704" xr:uid="{5551B530-894A-4FFD-AB8F-D8D3CC630B4C}"/>
    <cellStyle name="Comma 4 2 3 3 3 2 4" xfId="20263" xr:uid="{B6B5D5E3-8F84-40E5-97A3-8E04B8DEAE4D}"/>
    <cellStyle name="Comma 4 2 3 3 3 2 5" xfId="11815" xr:uid="{8E115DB3-9051-4CD5-B482-DBCCDF42C184}"/>
    <cellStyle name="Comma 4 2 3 3 3 3" xfId="5438" xr:uid="{00000000-0005-0000-0000-000092080000}"/>
    <cellStyle name="Comma 4 2 3 3 3 3 2" xfId="30777" xr:uid="{759BFC6A-5AA7-4FE2-8BD5-21DE8BD38866}"/>
    <cellStyle name="Comma 4 2 3 3 3 3 3" xfId="22336" xr:uid="{590A17C1-EE97-448B-9FBF-5DFCBCCB5119}"/>
    <cellStyle name="Comma 4 2 3 3 3 3 4" xfId="13888" xr:uid="{FFB593A3-63DF-4BF9-B66C-F779F3CDB51D}"/>
    <cellStyle name="Comma 4 2 3 3 3 4" xfId="26559" xr:uid="{9CBDE11A-250E-4E37-AD14-9E84ECA13EF3}"/>
    <cellStyle name="Comma 4 2 3 3 3 5" xfId="18118" xr:uid="{86417EB0-E2D4-4CEE-992B-0283649008A5}"/>
    <cellStyle name="Comma 4 2 3 3 3 6" xfId="9670" xr:uid="{A6BC43B1-5DF8-464C-8182-7C903CE4E29A}"/>
    <cellStyle name="Comma 4 2 3 3 4" xfId="1544" xr:uid="{00000000-0005-0000-0000-000093080000}"/>
    <cellStyle name="Comma 4 2 3 3 4 2" xfId="3774" xr:uid="{00000000-0005-0000-0000-000094080000}"/>
    <cellStyle name="Comma 4 2 3 3 4 2 2" xfId="7996" xr:uid="{00000000-0005-0000-0000-000095080000}"/>
    <cellStyle name="Comma 4 2 3 3 4 2 2 2" xfId="33335" xr:uid="{DB226628-593C-484F-874D-F7EE8ECB5A77}"/>
    <cellStyle name="Comma 4 2 3 3 4 2 2 3" xfId="24894" xr:uid="{9B80211B-2515-4580-B8F0-A1E902A174FF}"/>
    <cellStyle name="Comma 4 2 3 3 4 2 2 4" xfId="16446" xr:uid="{BEEE447E-0C6A-47DA-83C8-C580ECE8F290}"/>
    <cellStyle name="Comma 4 2 3 3 4 2 3" xfId="29117" xr:uid="{DA71464A-5C4A-4CE8-B4EA-D54051CC2324}"/>
    <cellStyle name="Comma 4 2 3 3 4 2 4" xfId="20676" xr:uid="{BE34280B-8413-4944-8561-19DFC7C9F6E1}"/>
    <cellStyle name="Comma 4 2 3 3 4 2 5" xfId="12228" xr:uid="{0C14EEF8-404F-4007-998E-F4DB50C80343}"/>
    <cellStyle name="Comma 4 2 3 3 4 3" xfId="5851" xr:uid="{00000000-0005-0000-0000-000096080000}"/>
    <cellStyle name="Comma 4 2 3 3 4 3 2" xfId="31190" xr:uid="{9CD49F8E-2373-428F-9160-249A58566BE7}"/>
    <cellStyle name="Comma 4 2 3 3 4 3 3" xfId="22749" xr:uid="{045E28BF-E020-41B4-BEDA-279A1C9B4F03}"/>
    <cellStyle name="Comma 4 2 3 3 4 3 4" xfId="14301" xr:uid="{3F73CCFD-3202-43C5-BD27-BBC954B820B5}"/>
    <cellStyle name="Comma 4 2 3 3 4 4" xfId="26972" xr:uid="{C912FC10-42FB-4E20-8036-43735747C667}"/>
    <cellStyle name="Comma 4 2 3 3 4 5" xfId="18531" xr:uid="{0EABC011-300A-4859-84AB-D5C9DC89ACD3}"/>
    <cellStyle name="Comma 4 2 3 3 4 6" xfId="10083" xr:uid="{BECCFE64-89D0-49CE-9732-750817926A04}"/>
    <cellStyle name="Comma 4 2 3 3 5" xfId="1958" xr:uid="{00000000-0005-0000-0000-000097080000}"/>
    <cellStyle name="Comma 4 2 3 3 5 2" xfId="4187" xr:uid="{00000000-0005-0000-0000-000098080000}"/>
    <cellStyle name="Comma 4 2 3 3 5 2 2" xfId="8409" xr:uid="{00000000-0005-0000-0000-000099080000}"/>
    <cellStyle name="Comma 4 2 3 3 5 2 2 2" xfId="33748" xr:uid="{795411DA-1BDA-4583-BB66-069D39CA4E14}"/>
    <cellStyle name="Comma 4 2 3 3 5 2 2 3" xfId="25307" xr:uid="{365828D8-00B1-44D8-9730-370FB6E8C472}"/>
    <cellStyle name="Comma 4 2 3 3 5 2 2 4" xfId="16859" xr:uid="{A73B6412-C900-4EE9-A03F-89D0A25CE015}"/>
    <cellStyle name="Comma 4 2 3 3 5 2 3" xfId="29530" xr:uid="{9759DB55-91BE-4372-8F9E-9AA2AF85123A}"/>
    <cellStyle name="Comma 4 2 3 3 5 2 4" xfId="21089" xr:uid="{6AD68FC7-51D8-415D-866E-DCD025A52022}"/>
    <cellStyle name="Comma 4 2 3 3 5 2 5" xfId="12641" xr:uid="{2B8D7379-0969-4BB9-9D30-E2FB6D5BC6C2}"/>
    <cellStyle name="Comma 4 2 3 3 5 3" xfId="6264" xr:uid="{00000000-0005-0000-0000-00009A080000}"/>
    <cellStyle name="Comma 4 2 3 3 5 3 2" xfId="31603" xr:uid="{FE984CD2-0D68-47A2-B49D-68E9D65E3ABF}"/>
    <cellStyle name="Comma 4 2 3 3 5 3 3" xfId="23162" xr:uid="{A50EEBF9-64F0-4B1B-89E6-B09EEFCB340F}"/>
    <cellStyle name="Comma 4 2 3 3 5 3 4" xfId="14714" xr:uid="{DF262DC3-E3C5-4FAD-9FA8-B188B744147D}"/>
    <cellStyle name="Comma 4 2 3 3 5 4" xfId="27385" xr:uid="{7E6E3A12-F3AA-4C59-99FC-C3F577A69B03}"/>
    <cellStyle name="Comma 4 2 3 3 5 5" xfId="18944" xr:uid="{E8B387AB-7843-48AB-B39C-03666A91FF98}"/>
    <cellStyle name="Comma 4 2 3 3 5 6" xfId="10496" xr:uid="{E7B51FD9-FFA0-4A0A-9D02-DB2AC8A5CEB1}"/>
    <cellStyle name="Comma 4 2 3 3 6" xfId="2393" xr:uid="{00000000-0005-0000-0000-00009B080000}"/>
    <cellStyle name="Comma 4 2 3 3 6 2" xfId="6677" xr:uid="{00000000-0005-0000-0000-00009C080000}"/>
    <cellStyle name="Comma 4 2 3 3 6 2 2" xfId="32016" xr:uid="{A6F27EF8-CC73-4429-9C34-74CD951C9D9E}"/>
    <cellStyle name="Comma 4 2 3 3 6 2 3" xfId="23575" xr:uid="{32BA6800-388E-41AE-B512-600C43A4FE96}"/>
    <cellStyle name="Comma 4 2 3 3 6 2 4" xfId="15127" xr:uid="{68ADE1A1-4A71-4F7C-9ADF-4AFCF686F780}"/>
    <cellStyle name="Comma 4 2 3 3 6 3" xfId="27798" xr:uid="{D0233136-610E-415B-AC7B-6E976403D282}"/>
    <cellStyle name="Comma 4 2 3 3 6 4" xfId="19357" xr:uid="{157B034B-9C6E-4A0E-B168-F2975C929174}"/>
    <cellStyle name="Comma 4 2 3 3 6 5" xfId="10909" xr:uid="{423E13AD-1DE6-4118-A14A-4378F46333A2}"/>
    <cellStyle name="Comma 4 2 3 3 7" xfId="2370" xr:uid="{00000000-0005-0000-0000-00009D080000}"/>
    <cellStyle name="Comma 4 2 3 3 8" xfId="2771" xr:uid="{00000000-0005-0000-0000-00009E080000}"/>
    <cellStyle name="Comma 4 2 3 3 8 2" xfId="6994" xr:uid="{00000000-0005-0000-0000-00009F080000}"/>
    <cellStyle name="Comma 4 2 3 3 8 2 2" xfId="32333" xr:uid="{6E8BA2FA-F8E6-4F56-9041-149243C5435A}"/>
    <cellStyle name="Comma 4 2 3 3 8 2 3" xfId="23892" xr:uid="{B682E3C8-546E-4990-BA9F-3F3FFDDC88D1}"/>
    <cellStyle name="Comma 4 2 3 3 8 2 4" xfId="15444" xr:uid="{CFBBB6A0-93BD-42EA-955C-4D146C368E08}"/>
    <cellStyle name="Comma 4 2 3 3 8 3" xfId="28115" xr:uid="{7E5ADA75-EE7E-4710-8CE9-1A4A548EC560}"/>
    <cellStyle name="Comma 4 2 3 3 8 4" xfId="19674" xr:uid="{0F80E8AF-EA88-4397-A108-47A6F6C90697}"/>
    <cellStyle name="Comma 4 2 3 3 8 5" xfId="11226" xr:uid="{E7C2F9A7-4E2B-4DA7-B5B7-7B4D52B84627}"/>
    <cellStyle name="Comma 4 2 3 3 9" xfId="4611" xr:uid="{00000000-0005-0000-0000-0000A0080000}"/>
    <cellStyle name="Comma 4 2 3 3 9 2" xfId="29950" xr:uid="{491A11AC-4CF7-46C4-9B2A-6717C3D49E4D}"/>
    <cellStyle name="Comma 4 2 3 3 9 3" xfId="21509" xr:uid="{E50F16CF-E09C-470D-B086-27DBD94340C7}"/>
    <cellStyle name="Comma 4 2 3 3 9 4" xfId="13061" xr:uid="{F3F88A92-7661-4CD7-8632-FCFA440BEB18}"/>
    <cellStyle name="Comma 4 2 3 4" xfId="674" xr:uid="{00000000-0005-0000-0000-0000A1080000}"/>
    <cellStyle name="Comma 4 2 3 4 2" xfId="2945" xr:uid="{00000000-0005-0000-0000-0000A2080000}"/>
    <cellStyle name="Comma 4 2 3 4 2 2" xfId="7167" xr:uid="{00000000-0005-0000-0000-0000A3080000}"/>
    <cellStyle name="Comma 4 2 3 4 2 2 2" xfId="32506" xr:uid="{FE074C91-A462-408D-B3D1-CE04D0169FD4}"/>
    <cellStyle name="Comma 4 2 3 4 2 2 3" xfId="24065" xr:uid="{BEF30F21-5AA1-4B8E-963A-601E324A2500}"/>
    <cellStyle name="Comma 4 2 3 4 2 2 4" xfId="15617" xr:uid="{D8154D5F-9965-4FBF-97AA-A5E3D4CF9095}"/>
    <cellStyle name="Comma 4 2 3 4 2 3" xfId="28288" xr:uid="{71415F62-F4E3-4187-847B-7A58D39766B3}"/>
    <cellStyle name="Comma 4 2 3 4 2 4" xfId="19847" xr:uid="{2F66874C-E23C-4CE8-ABCA-368DFFC18E3B}"/>
    <cellStyle name="Comma 4 2 3 4 2 5" xfId="11399" xr:uid="{91B458B5-E878-41AF-B44E-408A03799FD1}"/>
    <cellStyle name="Comma 4 2 3 4 3" xfId="5022" xr:uid="{00000000-0005-0000-0000-0000A4080000}"/>
    <cellStyle name="Comma 4 2 3 4 3 2" xfId="30361" xr:uid="{876CE0C5-4466-44E0-BF8D-766F20ED2AD3}"/>
    <cellStyle name="Comma 4 2 3 4 3 3" xfId="21920" xr:uid="{BA6CAEEE-54B9-4932-9FD3-25B8BC826D95}"/>
    <cellStyle name="Comma 4 2 3 4 3 4" xfId="13472" xr:uid="{E2A88F53-70F9-4B26-8920-6BCD44A6077F}"/>
    <cellStyle name="Comma 4 2 3 4 4" xfId="26143" xr:uid="{57753C6C-6B0A-4651-9807-C8C7600E4693}"/>
    <cellStyle name="Comma 4 2 3 4 5" xfId="17702" xr:uid="{222DCBFA-8CCC-4237-9137-303593DB8498}"/>
    <cellStyle name="Comma 4 2 3 4 6" xfId="9254" xr:uid="{9ED73560-E2F1-4949-AC99-DF209FA1CC26}"/>
    <cellStyle name="Comma 4 2 3 5" xfId="1127" xr:uid="{00000000-0005-0000-0000-0000A5080000}"/>
    <cellStyle name="Comma 4 2 3 5 2" xfId="3358" xr:uid="{00000000-0005-0000-0000-0000A6080000}"/>
    <cellStyle name="Comma 4 2 3 5 2 2" xfId="7580" xr:uid="{00000000-0005-0000-0000-0000A7080000}"/>
    <cellStyle name="Comma 4 2 3 5 2 2 2" xfId="32919" xr:uid="{E3173182-1BAE-485D-AB49-D15AE91435DD}"/>
    <cellStyle name="Comma 4 2 3 5 2 2 3" xfId="24478" xr:uid="{C809B18F-AEC4-4DC9-924D-7083F7605919}"/>
    <cellStyle name="Comma 4 2 3 5 2 2 4" xfId="16030" xr:uid="{C3ACFBD4-5C99-4A21-8050-616836782749}"/>
    <cellStyle name="Comma 4 2 3 5 2 3" xfId="28701" xr:uid="{6735007A-304D-4AD5-9B25-2FCCE601C7A1}"/>
    <cellStyle name="Comma 4 2 3 5 2 4" xfId="20260" xr:uid="{013003AF-666B-435A-BABD-82D9FE1E8785}"/>
    <cellStyle name="Comma 4 2 3 5 2 5" xfId="11812" xr:uid="{28C0AC50-83E8-478C-861E-DB6D96FE97E7}"/>
    <cellStyle name="Comma 4 2 3 5 3" xfId="5435" xr:uid="{00000000-0005-0000-0000-0000A8080000}"/>
    <cellStyle name="Comma 4 2 3 5 3 2" xfId="30774" xr:uid="{1041426F-A101-4FAA-B257-3BE770E45967}"/>
    <cellStyle name="Comma 4 2 3 5 3 3" xfId="22333" xr:uid="{8EA65D75-60CE-4501-BBA7-0EC3DEE0351E}"/>
    <cellStyle name="Comma 4 2 3 5 3 4" xfId="13885" xr:uid="{52C23539-5CB0-4039-918E-2DA5C5CEE3DC}"/>
    <cellStyle name="Comma 4 2 3 5 4" xfId="26556" xr:uid="{539019EF-43C4-418D-96F2-6EEDB886235D}"/>
    <cellStyle name="Comma 4 2 3 5 5" xfId="18115" xr:uid="{C3D6DC94-C3CC-4547-A07D-B5F52F02F04A}"/>
    <cellStyle name="Comma 4 2 3 5 6" xfId="9667" xr:uid="{FD6A292C-77E7-42DE-8E25-93CC6CC4A670}"/>
    <cellStyle name="Comma 4 2 3 6" xfId="1541" xr:uid="{00000000-0005-0000-0000-0000A9080000}"/>
    <cellStyle name="Comma 4 2 3 6 2" xfId="3771" xr:uid="{00000000-0005-0000-0000-0000AA080000}"/>
    <cellStyle name="Comma 4 2 3 6 2 2" xfId="7993" xr:uid="{00000000-0005-0000-0000-0000AB080000}"/>
    <cellStyle name="Comma 4 2 3 6 2 2 2" xfId="33332" xr:uid="{DA3DC082-CCE7-4A61-86BE-7B7F6F8D5F8A}"/>
    <cellStyle name="Comma 4 2 3 6 2 2 3" xfId="24891" xr:uid="{AC68DCCA-1C6D-419A-9AC0-4F69FC9BCBCE}"/>
    <cellStyle name="Comma 4 2 3 6 2 2 4" xfId="16443" xr:uid="{B4705498-D61A-42F3-8910-BDA8CF509CBD}"/>
    <cellStyle name="Comma 4 2 3 6 2 3" xfId="29114" xr:uid="{01EB8DF5-5B1C-469E-B2A0-CF845A221025}"/>
    <cellStyle name="Comma 4 2 3 6 2 4" xfId="20673" xr:uid="{841F0779-0A98-43E0-A489-C0FE5840A2AB}"/>
    <cellStyle name="Comma 4 2 3 6 2 5" xfId="12225" xr:uid="{A03F9CB7-30F5-4ACF-AF76-D0708A356A37}"/>
    <cellStyle name="Comma 4 2 3 6 3" xfId="5848" xr:uid="{00000000-0005-0000-0000-0000AC080000}"/>
    <cellStyle name="Comma 4 2 3 6 3 2" xfId="31187" xr:uid="{C3A639F3-AC00-4F5D-BFD9-F1FD9E03CA06}"/>
    <cellStyle name="Comma 4 2 3 6 3 3" xfId="22746" xr:uid="{9EA7EB68-5030-438C-85FC-201BE92ACB88}"/>
    <cellStyle name="Comma 4 2 3 6 3 4" xfId="14298" xr:uid="{4194B574-4DDC-4FC4-9564-A07F2AF917E7}"/>
    <cellStyle name="Comma 4 2 3 6 4" xfId="26969" xr:uid="{128C6AE7-FADC-4D28-8885-3116C301605D}"/>
    <cellStyle name="Comma 4 2 3 6 5" xfId="18528" xr:uid="{20206342-2E2C-48BE-B045-A0FE52D8450E}"/>
    <cellStyle name="Comma 4 2 3 6 6" xfId="10080" xr:uid="{A6B46955-0F08-4954-A35B-F11696AAC64A}"/>
    <cellStyle name="Comma 4 2 3 7" xfId="1955" xr:uid="{00000000-0005-0000-0000-0000AD080000}"/>
    <cellStyle name="Comma 4 2 3 7 2" xfId="4184" xr:uid="{00000000-0005-0000-0000-0000AE080000}"/>
    <cellStyle name="Comma 4 2 3 7 2 2" xfId="8406" xr:uid="{00000000-0005-0000-0000-0000AF080000}"/>
    <cellStyle name="Comma 4 2 3 7 2 2 2" xfId="33745" xr:uid="{4094580C-2DA4-405B-B8EB-EAF09FA88A96}"/>
    <cellStyle name="Comma 4 2 3 7 2 2 3" xfId="25304" xr:uid="{D241F343-E8F8-4B26-A3B7-C94336DBE3DB}"/>
    <cellStyle name="Comma 4 2 3 7 2 2 4" xfId="16856" xr:uid="{4E03DCD2-A57C-49E0-ABDD-D41332C6D268}"/>
    <cellStyle name="Comma 4 2 3 7 2 3" xfId="29527" xr:uid="{2E638BC3-825C-4AFC-9E80-2E76B4248E63}"/>
    <cellStyle name="Comma 4 2 3 7 2 4" xfId="21086" xr:uid="{1FCF1D15-3254-4AAF-B535-9513673DC48A}"/>
    <cellStyle name="Comma 4 2 3 7 2 5" xfId="12638" xr:uid="{1E78E2B6-D81C-4554-8673-C64024B54632}"/>
    <cellStyle name="Comma 4 2 3 7 3" xfId="6261" xr:uid="{00000000-0005-0000-0000-0000B0080000}"/>
    <cellStyle name="Comma 4 2 3 7 3 2" xfId="31600" xr:uid="{FD1BC66B-FE0F-4A20-8D28-A092BABC1ECF}"/>
    <cellStyle name="Comma 4 2 3 7 3 3" xfId="23159" xr:uid="{4E338ADA-2B57-4C20-8312-CDF42BB2AFC4}"/>
    <cellStyle name="Comma 4 2 3 7 3 4" xfId="14711" xr:uid="{CB3B3E58-C133-44F1-B537-E00B50D3C256}"/>
    <cellStyle name="Comma 4 2 3 7 4" xfId="27382" xr:uid="{9ECA89A0-3A32-4A91-859F-01C7EBF16255}"/>
    <cellStyle name="Comma 4 2 3 7 5" xfId="18941" xr:uid="{2E1B7984-2E6C-4B17-AE9F-37CC29EB57D6}"/>
    <cellStyle name="Comma 4 2 3 7 6" xfId="10493" xr:uid="{3A978ECF-8FD8-428B-97A4-1D3F0D9DC352}"/>
    <cellStyle name="Comma 4 2 3 8" xfId="2390" xr:uid="{00000000-0005-0000-0000-0000B1080000}"/>
    <cellStyle name="Comma 4 2 3 8 2" xfId="6674" xr:uid="{00000000-0005-0000-0000-0000B2080000}"/>
    <cellStyle name="Comma 4 2 3 8 2 2" xfId="32013" xr:uid="{3A874781-FB48-42BA-98D5-1D2A01219599}"/>
    <cellStyle name="Comma 4 2 3 8 2 3" xfId="23572" xr:uid="{73DDC191-2110-47BE-989F-C230D9B4E47F}"/>
    <cellStyle name="Comma 4 2 3 8 2 4" xfId="15124" xr:uid="{F1A43B43-A8BA-4CD6-AF2E-33170B3F1B6A}"/>
    <cellStyle name="Comma 4 2 3 8 3" xfId="27795" xr:uid="{BA79C773-FC3E-4B64-8286-793418F3E99C}"/>
    <cellStyle name="Comma 4 2 3 8 4" xfId="19354" xr:uid="{2BE400BB-14E8-4301-8F9A-082AC1107CDC}"/>
    <cellStyle name="Comma 4 2 3 8 5" xfId="10906" xr:uid="{9E33C0A3-2A1D-4581-9C9F-AC550097AB7B}"/>
    <cellStyle name="Comma 4 2 3 9" xfId="2373" xr:uid="{00000000-0005-0000-0000-0000B3080000}"/>
    <cellStyle name="Comma 4 2 4" xfId="140" xr:uid="{00000000-0005-0000-0000-0000B4080000}"/>
    <cellStyle name="Comma 4 2 4 10" xfId="4612" xr:uid="{00000000-0005-0000-0000-0000B5080000}"/>
    <cellStyle name="Comma 4 2 4 10 2" xfId="29951" xr:uid="{B00CF440-1912-4E36-B640-31909A3424D8}"/>
    <cellStyle name="Comma 4 2 4 10 3" xfId="21510" xr:uid="{2A3EFCE0-DE42-4A93-9B4A-EF32E34C9240}"/>
    <cellStyle name="Comma 4 2 4 10 4" xfId="13062" xr:uid="{4C1997AF-E58F-49AF-B87E-EA1F206B5614}"/>
    <cellStyle name="Comma 4 2 4 11" xfId="25733" xr:uid="{21FD259F-3ACC-4A69-9FEC-46514CBACF16}"/>
    <cellStyle name="Comma 4 2 4 12" xfId="17292" xr:uid="{DEBFD45D-04F9-443F-80DD-7207499A981D}"/>
    <cellStyle name="Comma 4 2 4 13" xfId="8844" xr:uid="{32B4D13B-BA73-4921-807C-144CE1F4ED65}"/>
    <cellStyle name="Comma 4 2 4 2" xfId="141" xr:uid="{00000000-0005-0000-0000-0000B6080000}"/>
    <cellStyle name="Comma 4 2 4 2 10" xfId="25734" xr:uid="{9385B8DF-E60B-4857-BF5A-639F0EA76CB8}"/>
    <cellStyle name="Comma 4 2 4 2 11" xfId="17293" xr:uid="{1CE7F3EE-1B4C-451E-A0A6-DB16225E2BE0}"/>
    <cellStyle name="Comma 4 2 4 2 12" xfId="8845" xr:uid="{8E186443-AAA5-4631-96DE-9E33CBA9C2D8}"/>
    <cellStyle name="Comma 4 2 4 2 2" xfId="679" xr:uid="{00000000-0005-0000-0000-0000B7080000}"/>
    <cellStyle name="Comma 4 2 4 2 2 2" xfId="2950" xr:uid="{00000000-0005-0000-0000-0000B8080000}"/>
    <cellStyle name="Comma 4 2 4 2 2 2 2" xfId="7172" xr:uid="{00000000-0005-0000-0000-0000B9080000}"/>
    <cellStyle name="Comma 4 2 4 2 2 2 2 2" xfId="32511" xr:uid="{8C23E0CF-AB99-44C9-91D3-44F5C64EB4D3}"/>
    <cellStyle name="Comma 4 2 4 2 2 2 2 3" xfId="24070" xr:uid="{3ECAAA5E-73BD-4C50-A386-39A91863B91D}"/>
    <cellStyle name="Comma 4 2 4 2 2 2 2 4" xfId="15622" xr:uid="{55BB19BB-831E-485D-9834-A3E668E1F601}"/>
    <cellStyle name="Comma 4 2 4 2 2 2 3" xfId="28293" xr:uid="{873F85DE-F5BF-44A1-A347-DF0E0B2B88CA}"/>
    <cellStyle name="Comma 4 2 4 2 2 2 4" xfId="19852" xr:uid="{C9314CA5-E43B-4D6D-A3D8-D1FBDAFB211A}"/>
    <cellStyle name="Comma 4 2 4 2 2 2 5" xfId="11404" xr:uid="{A6B70825-6A60-4945-A88A-AFA2A2B4DB65}"/>
    <cellStyle name="Comma 4 2 4 2 2 3" xfId="5027" xr:uid="{00000000-0005-0000-0000-0000BA080000}"/>
    <cellStyle name="Comma 4 2 4 2 2 3 2" xfId="30366" xr:uid="{D9A0E050-663C-4D13-B3E6-FC7C08CCEB9E}"/>
    <cellStyle name="Comma 4 2 4 2 2 3 3" xfId="21925" xr:uid="{3E4E0C77-FEDC-4586-962E-F5A2CF47C110}"/>
    <cellStyle name="Comma 4 2 4 2 2 3 4" xfId="13477" xr:uid="{682CA39A-4794-47ED-965B-EFB11B56F6CE}"/>
    <cellStyle name="Comma 4 2 4 2 2 4" xfId="26148" xr:uid="{B2A93C84-6116-46D1-8909-5A1C1602268D}"/>
    <cellStyle name="Comma 4 2 4 2 2 5" xfId="17707" xr:uid="{F7E16E54-0218-4D24-94F2-5AE633736E53}"/>
    <cellStyle name="Comma 4 2 4 2 2 6" xfId="9259" xr:uid="{7FE9626B-8936-44B8-A948-D7C02FE64516}"/>
    <cellStyle name="Comma 4 2 4 2 3" xfId="1132" xr:uid="{00000000-0005-0000-0000-0000BB080000}"/>
    <cellStyle name="Comma 4 2 4 2 3 2" xfId="3363" xr:uid="{00000000-0005-0000-0000-0000BC080000}"/>
    <cellStyle name="Comma 4 2 4 2 3 2 2" xfId="7585" xr:uid="{00000000-0005-0000-0000-0000BD080000}"/>
    <cellStyle name="Comma 4 2 4 2 3 2 2 2" xfId="32924" xr:uid="{5557A9C7-D9E0-4D16-BDDB-822115D156D1}"/>
    <cellStyle name="Comma 4 2 4 2 3 2 2 3" xfId="24483" xr:uid="{CE9C54EA-C532-4A26-8F9E-DC5788422632}"/>
    <cellStyle name="Comma 4 2 4 2 3 2 2 4" xfId="16035" xr:uid="{22946441-2D8B-423D-81EC-93FB558DD9FB}"/>
    <cellStyle name="Comma 4 2 4 2 3 2 3" xfId="28706" xr:uid="{939E69FC-25E3-4CE6-A6FF-97AA1507012A}"/>
    <cellStyle name="Comma 4 2 4 2 3 2 4" xfId="20265" xr:uid="{9D9B52E9-DE51-49F3-BCFC-4623D067B499}"/>
    <cellStyle name="Comma 4 2 4 2 3 2 5" xfId="11817" xr:uid="{5850D5A2-368F-4521-ACE5-DFE22F5EA9F7}"/>
    <cellStyle name="Comma 4 2 4 2 3 3" xfId="5440" xr:uid="{00000000-0005-0000-0000-0000BE080000}"/>
    <cellStyle name="Comma 4 2 4 2 3 3 2" xfId="30779" xr:uid="{A72BE2D0-2D00-42BD-B653-31614A3643FC}"/>
    <cellStyle name="Comma 4 2 4 2 3 3 3" xfId="22338" xr:uid="{7EFAC755-4527-43C8-B6B5-B9851AA35F8B}"/>
    <cellStyle name="Comma 4 2 4 2 3 3 4" xfId="13890" xr:uid="{35D77239-D4DD-4310-9DE4-479DAF106B83}"/>
    <cellStyle name="Comma 4 2 4 2 3 4" xfId="26561" xr:uid="{19376156-EC25-4096-B6F2-C153A94E881F}"/>
    <cellStyle name="Comma 4 2 4 2 3 5" xfId="18120" xr:uid="{7B815E2B-93BF-403C-9812-D1D9179CABA8}"/>
    <cellStyle name="Comma 4 2 4 2 3 6" xfId="9672" xr:uid="{F8A635A3-D97D-449B-974C-8537B6EE44EC}"/>
    <cellStyle name="Comma 4 2 4 2 4" xfId="1546" xr:uid="{00000000-0005-0000-0000-0000BF080000}"/>
    <cellStyle name="Comma 4 2 4 2 4 2" xfId="3776" xr:uid="{00000000-0005-0000-0000-0000C0080000}"/>
    <cellStyle name="Comma 4 2 4 2 4 2 2" xfId="7998" xr:uid="{00000000-0005-0000-0000-0000C1080000}"/>
    <cellStyle name="Comma 4 2 4 2 4 2 2 2" xfId="33337" xr:uid="{96118DD2-9379-48F1-A74B-1C92CF86A3E3}"/>
    <cellStyle name="Comma 4 2 4 2 4 2 2 3" xfId="24896" xr:uid="{FBCF058D-1EAD-43D9-8A18-3BB78F94E412}"/>
    <cellStyle name="Comma 4 2 4 2 4 2 2 4" xfId="16448" xr:uid="{B7FA48F9-381B-4646-AFBE-B983F09D6276}"/>
    <cellStyle name="Comma 4 2 4 2 4 2 3" xfId="29119" xr:uid="{9AAF3D48-7CF4-4566-AF7A-884C5D3EB55B}"/>
    <cellStyle name="Comma 4 2 4 2 4 2 4" xfId="20678" xr:uid="{D73F2DA1-75DE-44F5-B082-0DF33EAFF1E8}"/>
    <cellStyle name="Comma 4 2 4 2 4 2 5" xfId="12230" xr:uid="{C078D26E-8560-40E8-97FC-74970F23D784}"/>
    <cellStyle name="Comma 4 2 4 2 4 3" xfId="5853" xr:uid="{00000000-0005-0000-0000-0000C2080000}"/>
    <cellStyle name="Comma 4 2 4 2 4 3 2" xfId="31192" xr:uid="{E87E6EE0-F228-41B6-9249-D1B70DA21CC5}"/>
    <cellStyle name="Comma 4 2 4 2 4 3 3" xfId="22751" xr:uid="{66CF2FB1-497A-467A-B989-9606713FE607}"/>
    <cellStyle name="Comma 4 2 4 2 4 3 4" xfId="14303" xr:uid="{0382D3CC-5FC6-45D6-9716-B9D7C29F898B}"/>
    <cellStyle name="Comma 4 2 4 2 4 4" xfId="26974" xr:uid="{E2F81492-49D6-4F22-87C1-8000A14E57E6}"/>
    <cellStyle name="Comma 4 2 4 2 4 5" xfId="18533" xr:uid="{33984C7C-8C79-4143-8AD5-20AFF1A24752}"/>
    <cellStyle name="Comma 4 2 4 2 4 6" xfId="10085" xr:uid="{162F1BFF-5647-4966-B93E-D45FE9575F4C}"/>
    <cellStyle name="Comma 4 2 4 2 5" xfId="1960" xr:uid="{00000000-0005-0000-0000-0000C3080000}"/>
    <cellStyle name="Comma 4 2 4 2 5 2" xfId="4189" xr:uid="{00000000-0005-0000-0000-0000C4080000}"/>
    <cellStyle name="Comma 4 2 4 2 5 2 2" xfId="8411" xr:uid="{00000000-0005-0000-0000-0000C5080000}"/>
    <cellStyle name="Comma 4 2 4 2 5 2 2 2" xfId="33750" xr:uid="{B6EC34E8-539B-4E5D-BEF0-A187C258F690}"/>
    <cellStyle name="Comma 4 2 4 2 5 2 2 3" xfId="25309" xr:uid="{2CB9E0B6-FC2D-4DDA-BC60-EA7064148C42}"/>
    <cellStyle name="Comma 4 2 4 2 5 2 2 4" xfId="16861" xr:uid="{DFB8CA44-249E-47A7-BD30-74DD8AF91D17}"/>
    <cellStyle name="Comma 4 2 4 2 5 2 3" xfId="29532" xr:uid="{54B63600-3BE2-4B5A-AEA9-ECBAB57B0CA3}"/>
    <cellStyle name="Comma 4 2 4 2 5 2 4" xfId="21091" xr:uid="{90725CB0-0FE5-4F21-9EFC-1A145C55A253}"/>
    <cellStyle name="Comma 4 2 4 2 5 2 5" xfId="12643" xr:uid="{6879E1E3-8F65-4624-B2FE-3389A41BF14E}"/>
    <cellStyle name="Comma 4 2 4 2 5 3" xfId="6266" xr:uid="{00000000-0005-0000-0000-0000C6080000}"/>
    <cellStyle name="Comma 4 2 4 2 5 3 2" xfId="31605" xr:uid="{0A08690B-650C-4D41-A402-B36A8E1FF5A5}"/>
    <cellStyle name="Comma 4 2 4 2 5 3 3" xfId="23164" xr:uid="{EE266E86-82DC-4A78-B814-BFFD43E76815}"/>
    <cellStyle name="Comma 4 2 4 2 5 3 4" xfId="14716" xr:uid="{C03BD886-E7DC-4AA4-B3AD-714BE3705CDC}"/>
    <cellStyle name="Comma 4 2 4 2 5 4" xfId="27387" xr:uid="{3703A3CC-D002-45BD-86BA-040268554062}"/>
    <cellStyle name="Comma 4 2 4 2 5 5" xfId="18946" xr:uid="{79F55180-7001-4BBA-A5B4-A386B66593F6}"/>
    <cellStyle name="Comma 4 2 4 2 5 6" xfId="10498" xr:uid="{97965BA8-1148-4E34-A570-3CA5B89985AA}"/>
    <cellStyle name="Comma 4 2 4 2 6" xfId="2395" xr:uid="{00000000-0005-0000-0000-0000C7080000}"/>
    <cellStyle name="Comma 4 2 4 2 6 2" xfId="6679" xr:uid="{00000000-0005-0000-0000-0000C8080000}"/>
    <cellStyle name="Comma 4 2 4 2 6 2 2" xfId="32018" xr:uid="{A62316A6-0940-4463-B7FA-169A22E24646}"/>
    <cellStyle name="Comma 4 2 4 2 6 2 3" xfId="23577" xr:uid="{520FA38B-740A-4661-9930-3D4942176D9B}"/>
    <cellStyle name="Comma 4 2 4 2 6 2 4" xfId="15129" xr:uid="{E6745845-A53C-4708-8C10-44A4640C3F94}"/>
    <cellStyle name="Comma 4 2 4 2 6 3" xfId="27800" xr:uid="{33D7F807-FFD3-4E73-8737-12917DE73C1A}"/>
    <cellStyle name="Comma 4 2 4 2 6 4" xfId="19359" xr:uid="{4FB0DF53-13F1-45B6-AEDF-381F4E171312}"/>
    <cellStyle name="Comma 4 2 4 2 6 5" xfId="10911" xr:uid="{2A7418B5-420D-443A-BB7F-AEE0A3D55CAE}"/>
    <cellStyle name="Comma 4 2 4 2 7" xfId="2368" xr:uid="{00000000-0005-0000-0000-0000C9080000}"/>
    <cellStyle name="Comma 4 2 4 2 8" xfId="2773" xr:uid="{00000000-0005-0000-0000-0000CA080000}"/>
    <cellStyle name="Comma 4 2 4 2 8 2" xfId="6996" xr:uid="{00000000-0005-0000-0000-0000CB080000}"/>
    <cellStyle name="Comma 4 2 4 2 8 2 2" xfId="32335" xr:uid="{142484F6-70B3-41FC-92F8-F87BA245DF8E}"/>
    <cellStyle name="Comma 4 2 4 2 8 2 3" xfId="23894" xr:uid="{9A842AE3-93FB-457D-B4B2-0C28895BCC89}"/>
    <cellStyle name="Comma 4 2 4 2 8 2 4" xfId="15446" xr:uid="{CCDC27F5-0891-42FF-A337-97661C21AF90}"/>
    <cellStyle name="Comma 4 2 4 2 8 3" xfId="28117" xr:uid="{76272D96-BE70-498D-801F-3B6E7B49CA0F}"/>
    <cellStyle name="Comma 4 2 4 2 8 4" xfId="19676" xr:uid="{8C1EF4C2-7E59-4959-A1E7-E9E80734852A}"/>
    <cellStyle name="Comma 4 2 4 2 8 5" xfId="11228" xr:uid="{6CB89CAD-1C0F-400A-91B8-C4497B0A86B7}"/>
    <cellStyle name="Comma 4 2 4 2 9" xfId="4613" xr:uid="{00000000-0005-0000-0000-0000CC080000}"/>
    <cellStyle name="Comma 4 2 4 2 9 2" xfId="29952" xr:uid="{4BA40B11-EB70-44C8-B79B-AB1DD726927F}"/>
    <cellStyle name="Comma 4 2 4 2 9 3" xfId="21511" xr:uid="{A0967151-01E9-406E-8FB6-5DAF48F6DD83}"/>
    <cellStyle name="Comma 4 2 4 2 9 4" xfId="13063" xr:uid="{313811AD-0EDC-4F8F-89F4-38E8BE2959F8}"/>
    <cellStyle name="Comma 4 2 4 3" xfId="678" xr:uid="{00000000-0005-0000-0000-0000CD080000}"/>
    <cellStyle name="Comma 4 2 4 3 2" xfId="2949" xr:uid="{00000000-0005-0000-0000-0000CE080000}"/>
    <cellStyle name="Comma 4 2 4 3 2 2" xfId="7171" xr:uid="{00000000-0005-0000-0000-0000CF080000}"/>
    <cellStyle name="Comma 4 2 4 3 2 2 2" xfId="32510" xr:uid="{D6AAF746-5698-49AD-9FCC-64223CE5ACF2}"/>
    <cellStyle name="Comma 4 2 4 3 2 2 3" xfId="24069" xr:uid="{459A7412-BE12-421D-BD66-D7D43C6DDC8B}"/>
    <cellStyle name="Comma 4 2 4 3 2 2 4" xfId="15621" xr:uid="{E8FF2909-C044-4A5D-AD01-78E6108DA959}"/>
    <cellStyle name="Comma 4 2 4 3 2 3" xfId="28292" xr:uid="{53DBFAB8-287F-4AA3-89FF-3B46F9983FFE}"/>
    <cellStyle name="Comma 4 2 4 3 2 4" xfId="19851" xr:uid="{E1438C52-1B97-4E72-AB37-87A3CA11703B}"/>
    <cellStyle name="Comma 4 2 4 3 2 5" xfId="11403" xr:uid="{F87D7347-C165-4EB8-B14C-FA2441F06E32}"/>
    <cellStyle name="Comma 4 2 4 3 3" xfId="5026" xr:uid="{00000000-0005-0000-0000-0000D0080000}"/>
    <cellStyle name="Comma 4 2 4 3 3 2" xfId="30365" xr:uid="{05050E8B-ECAF-41EC-81A4-858F15090FE0}"/>
    <cellStyle name="Comma 4 2 4 3 3 3" xfId="21924" xr:uid="{43C0998E-FD52-461D-B784-E20B6B20991E}"/>
    <cellStyle name="Comma 4 2 4 3 3 4" xfId="13476" xr:uid="{F53FF827-A365-410E-BE60-41C61CA46A8D}"/>
    <cellStyle name="Comma 4 2 4 3 4" xfId="26147" xr:uid="{8C15E321-67B1-4852-B245-24C3A7986E0A}"/>
    <cellStyle name="Comma 4 2 4 3 5" xfId="17706" xr:uid="{2198C377-48A0-4A53-8BBA-B06DB32304CC}"/>
    <cellStyle name="Comma 4 2 4 3 6" xfId="9258" xr:uid="{DA49D41A-0413-4DDE-8383-69F94D4E7BB2}"/>
    <cellStyle name="Comma 4 2 4 4" xfId="1131" xr:uid="{00000000-0005-0000-0000-0000D1080000}"/>
    <cellStyle name="Comma 4 2 4 4 2" xfId="3362" xr:uid="{00000000-0005-0000-0000-0000D2080000}"/>
    <cellStyle name="Comma 4 2 4 4 2 2" xfId="7584" xr:uid="{00000000-0005-0000-0000-0000D3080000}"/>
    <cellStyle name="Comma 4 2 4 4 2 2 2" xfId="32923" xr:uid="{F71A0034-08F1-4213-8BD5-1AA8D2C37FA4}"/>
    <cellStyle name="Comma 4 2 4 4 2 2 3" xfId="24482" xr:uid="{06D3E16C-A0F0-4694-B7EE-ED0EF786EA9F}"/>
    <cellStyle name="Comma 4 2 4 4 2 2 4" xfId="16034" xr:uid="{BB1F01D5-1C40-4B51-B711-A6A742B5C951}"/>
    <cellStyle name="Comma 4 2 4 4 2 3" xfId="28705" xr:uid="{8CE6A8E2-358C-49AC-B938-3E957CFA88A0}"/>
    <cellStyle name="Comma 4 2 4 4 2 4" xfId="20264" xr:uid="{498DD582-A4CE-49F6-9628-69B77EDD91EC}"/>
    <cellStyle name="Comma 4 2 4 4 2 5" xfId="11816" xr:uid="{EF324A41-7BDF-4A58-A7E0-DA233ECDFDA6}"/>
    <cellStyle name="Comma 4 2 4 4 3" xfId="5439" xr:uid="{00000000-0005-0000-0000-0000D4080000}"/>
    <cellStyle name="Comma 4 2 4 4 3 2" xfId="30778" xr:uid="{C4468A5C-FF77-4C73-8E15-4C1EAE67A1D0}"/>
    <cellStyle name="Comma 4 2 4 4 3 3" xfId="22337" xr:uid="{7CE37AB2-A518-4674-8258-860C0B8B9E75}"/>
    <cellStyle name="Comma 4 2 4 4 3 4" xfId="13889" xr:uid="{239D2FD7-3AC1-4E9D-8701-06EC8212A12D}"/>
    <cellStyle name="Comma 4 2 4 4 4" xfId="26560" xr:uid="{E4121858-5991-4F92-AAFD-E74B0AE51607}"/>
    <cellStyle name="Comma 4 2 4 4 5" xfId="18119" xr:uid="{8DCED613-D1A2-43DB-B95C-F83BC22B7A0B}"/>
    <cellStyle name="Comma 4 2 4 4 6" xfId="9671" xr:uid="{C28A7E16-E13D-4518-83CF-F3443B031BBC}"/>
    <cellStyle name="Comma 4 2 4 5" xfId="1545" xr:uid="{00000000-0005-0000-0000-0000D5080000}"/>
    <cellStyle name="Comma 4 2 4 5 2" xfId="3775" xr:uid="{00000000-0005-0000-0000-0000D6080000}"/>
    <cellStyle name="Comma 4 2 4 5 2 2" xfId="7997" xr:uid="{00000000-0005-0000-0000-0000D7080000}"/>
    <cellStyle name="Comma 4 2 4 5 2 2 2" xfId="33336" xr:uid="{789610A3-9012-4DAC-BF0A-7F0130436C29}"/>
    <cellStyle name="Comma 4 2 4 5 2 2 3" xfId="24895" xr:uid="{493EFF00-8249-4A27-9263-CA8B725770AF}"/>
    <cellStyle name="Comma 4 2 4 5 2 2 4" xfId="16447" xr:uid="{12B87D0E-3DD3-41D9-B09E-58D6F4248E66}"/>
    <cellStyle name="Comma 4 2 4 5 2 3" xfId="29118" xr:uid="{2A312A5B-3E9F-4AB0-A230-C2FB6AE4CEA5}"/>
    <cellStyle name="Comma 4 2 4 5 2 4" xfId="20677" xr:uid="{807D60F0-A695-4C87-90F9-423FE537B34D}"/>
    <cellStyle name="Comma 4 2 4 5 2 5" xfId="12229" xr:uid="{71EC8ACE-ADA5-4DFB-9339-BC9EC1E40C18}"/>
    <cellStyle name="Comma 4 2 4 5 3" xfId="5852" xr:uid="{00000000-0005-0000-0000-0000D8080000}"/>
    <cellStyle name="Comma 4 2 4 5 3 2" xfId="31191" xr:uid="{A8E434EE-31AC-4E6C-A84E-F578BDF67994}"/>
    <cellStyle name="Comma 4 2 4 5 3 3" xfId="22750" xr:uid="{EBCD61C3-FDF9-42A1-AA43-C58388F92F66}"/>
    <cellStyle name="Comma 4 2 4 5 3 4" xfId="14302" xr:uid="{8E4E3F10-194C-49F9-A782-0EB73D8DD23E}"/>
    <cellStyle name="Comma 4 2 4 5 4" xfId="26973" xr:uid="{65A7E9D3-32AF-45A8-BC75-2715EBE2FD49}"/>
    <cellStyle name="Comma 4 2 4 5 5" xfId="18532" xr:uid="{D5AFF2D4-65A8-4F7B-BE56-A2BB4AE0547C}"/>
    <cellStyle name="Comma 4 2 4 5 6" xfId="10084" xr:uid="{09FB81A7-E325-454C-A087-28C43CE7A111}"/>
    <cellStyle name="Comma 4 2 4 6" xfId="1959" xr:uid="{00000000-0005-0000-0000-0000D9080000}"/>
    <cellStyle name="Comma 4 2 4 6 2" xfId="4188" xr:uid="{00000000-0005-0000-0000-0000DA080000}"/>
    <cellStyle name="Comma 4 2 4 6 2 2" xfId="8410" xr:uid="{00000000-0005-0000-0000-0000DB080000}"/>
    <cellStyle name="Comma 4 2 4 6 2 2 2" xfId="33749" xr:uid="{53E12675-86CA-46E6-88B1-48D571CA7C0A}"/>
    <cellStyle name="Comma 4 2 4 6 2 2 3" xfId="25308" xr:uid="{1210C9D0-1177-4DB6-A329-36DC2824D0AE}"/>
    <cellStyle name="Comma 4 2 4 6 2 2 4" xfId="16860" xr:uid="{0BE6B124-5CFF-4303-A59E-8FD7E35547A1}"/>
    <cellStyle name="Comma 4 2 4 6 2 3" xfId="29531" xr:uid="{175A3CF5-1338-4511-8BA9-D7F9F690A315}"/>
    <cellStyle name="Comma 4 2 4 6 2 4" xfId="21090" xr:uid="{BB91F2A6-A7FE-4861-9A82-B6C1334C011C}"/>
    <cellStyle name="Comma 4 2 4 6 2 5" xfId="12642" xr:uid="{FBFB60F8-BABD-4BF3-B6D9-440468ED8601}"/>
    <cellStyle name="Comma 4 2 4 6 3" xfId="6265" xr:uid="{00000000-0005-0000-0000-0000DC080000}"/>
    <cellStyle name="Comma 4 2 4 6 3 2" xfId="31604" xr:uid="{35366FB2-2C76-4C1C-99C6-5BA65E909762}"/>
    <cellStyle name="Comma 4 2 4 6 3 3" xfId="23163" xr:uid="{B10E5896-EC7F-41CB-8B4A-A07D9B001850}"/>
    <cellStyle name="Comma 4 2 4 6 3 4" xfId="14715" xr:uid="{A25B97BF-EFB4-42AE-B462-BC8F4ED3FFE7}"/>
    <cellStyle name="Comma 4 2 4 6 4" xfId="27386" xr:uid="{CC77528F-34E1-4EF2-AC51-9596B2093031}"/>
    <cellStyle name="Comma 4 2 4 6 5" xfId="18945" xr:uid="{C29BB9C4-D1BD-4580-B1CB-7B68182A76C4}"/>
    <cellStyle name="Comma 4 2 4 6 6" xfId="10497" xr:uid="{867BF946-7070-4C38-9547-3ABA1F2222CA}"/>
    <cellStyle name="Comma 4 2 4 7" xfId="2394" xr:uid="{00000000-0005-0000-0000-0000DD080000}"/>
    <cellStyle name="Comma 4 2 4 7 2" xfId="6678" xr:uid="{00000000-0005-0000-0000-0000DE080000}"/>
    <cellStyle name="Comma 4 2 4 7 2 2" xfId="32017" xr:uid="{19A789CF-1888-475B-804B-EF675EA292E6}"/>
    <cellStyle name="Comma 4 2 4 7 2 3" xfId="23576" xr:uid="{BA303A17-A7DE-425C-9A06-FDDB99CA5272}"/>
    <cellStyle name="Comma 4 2 4 7 2 4" xfId="15128" xr:uid="{542385FE-6F9C-4A7A-8F08-BAD40734596F}"/>
    <cellStyle name="Comma 4 2 4 7 3" xfId="27799" xr:uid="{85C43BD6-9572-4C2F-A1FF-900B91C11665}"/>
    <cellStyle name="Comma 4 2 4 7 4" xfId="19358" xr:uid="{8FB5ADF9-76F1-4D28-9B26-D090DA9C7057}"/>
    <cellStyle name="Comma 4 2 4 7 5" xfId="10910" xr:uid="{D18B96C8-F48E-48F3-976C-7CC01FD6CDFB}"/>
    <cellStyle name="Comma 4 2 4 8" xfId="2369" xr:uid="{00000000-0005-0000-0000-0000DF080000}"/>
    <cellStyle name="Comma 4 2 4 9" xfId="2772" xr:uid="{00000000-0005-0000-0000-0000E0080000}"/>
    <cellStyle name="Comma 4 2 4 9 2" xfId="6995" xr:uid="{00000000-0005-0000-0000-0000E1080000}"/>
    <cellStyle name="Comma 4 2 4 9 2 2" xfId="32334" xr:uid="{22CCCDE3-BC40-4730-9ED7-EDA124402A1C}"/>
    <cellStyle name="Comma 4 2 4 9 2 3" xfId="23893" xr:uid="{1CD64D28-E261-49BC-A031-40A082152B9E}"/>
    <cellStyle name="Comma 4 2 4 9 2 4" xfId="15445" xr:uid="{6385FBBD-51ED-4E10-8D6B-D80A385247DC}"/>
    <cellStyle name="Comma 4 2 4 9 3" xfId="28116" xr:uid="{C8C38A24-D7B3-41C2-8E14-DE282C1814A2}"/>
    <cellStyle name="Comma 4 2 4 9 4" xfId="19675" xr:uid="{9292B083-20EE-4DF9-883C-19F3AAFE822D}"/>
    <cellStyle name="Comma 4 2 4 9 5" xfId="11227" xr:uid="{706CEC9D-903E-4331-812D-58C75776F0D9}"/>
    <cellStyle name="Comma 4 2 5" xfId="142" xr:uid="{00000000-0005-0000-0000-0000E2080000}"/>
    <cellStyle name="Comma 4 2 5 10" xfId="25735" xr:uid="{70DE8FBF-B38C-4212-90F3-A5FA3532223D}"/>
    <cellStyle name="Comma 4 2 5 11" xfId="17294" xr:uid="{D524CA15-08FA-4E7F-B295-54F9C1EA7137}"/>
    <cellStyle name="Comma 4 2 5 12" xfId="8846" xr:uid="{C2AF08D9-B3FE-4507-9208-79CC75B6DC94}"/>
    <cellStyle name="Comma 4 2 5 2" xfId="680" xr:uid="{00000000-0005-0000-0000-0000E3080000}"/>
    <cellStyle name="Comma 4 2 5 2 2" xfId="2951" xr:uid="{00000000-0005-0000-0000-0000E4080000}"/>
    <cellStyle name="Comma 4 2 5 2 2 2" xfId="7173" xr:uid="{00000000-0005-0000-0000-0000E5080000}"/>
    <cellStyle name="Comma 4 2 5 2 2 2 2" xfId="32512" xr:uid="{A7A47B1B-A252-4F2E-AEE1-65A802BD3DF1}"/>
    <cellStyle name="Comma 4 2 5 2 2 2 3" xfId="24071" xr:uid="{28B23C62-1BA7-488F-BF63-506AD048425E}"/>
    <cellStyle name="Comma 4 2 5 2 2 2 4" xfId="15623" xr:uid="{F99DE77B-83A7-47FA-A0C6-71487FE5F246}"/>
    <cellStyle name="Comma 4 2 5 2 2 3" xfId="28294" xr:uid="{DDF7C37E-57EA-4985-A7EA-5800E81CCEAE}"/>
    <cellStyle name="Comma 4 2 5 2 2 4" xfId="19853" xr:uid="{A8EA50CB-43A1-4DB3-A6F6-F2399A577FED}"/>
    <cellStyle name="Comma 4 2 5 2 2 5" xfId="11405" xr:uid="{5155A993-3CE9-4422-A808-97B53421F7D4}"/>
    <cellStyle name="Comma 4 2 5 2 3" xfId="5028" xr:uid="{00000000-0005-0000-0000-0000E6080000}"/>
    <cellStyle name="Comma 4 2 5 2 3 2" xfId="30367" xr:uid="{5DFB82FE-F8A3-4BEA-A7B7-1573DE374898}"/>
    <cellStyle name="Comma 4 2 5 2 3 3" xfId="21926" xr:uid="{3DB7194F-C614-4604-B4AD-8235014D2D32}"/>
    <cellStyle name="Comma 4 2 5 2 3 4" xfId="13478" xr:uid="{D7BE362F-4B6B-42F8-919F-C7A7539694B3}"/>
    <cellStyle name="Comma 4 2 5 2 4" xfId="26149" xr:uid="{ED825717-83F8-42FC-91A2-7ACF6D8B0AB1}"/>
    <cellStyle name="Comma 4 2 5 2 5" xfId="17708" xr:uid="{ADE479B2-63D0-4B94-9E3F-58C58BDFAA3E}"/>
    <cellStyle name="Comma 4 2 5 2 6" xfId="9260" xr:uid="{4956F178-6CE1-430C-B2F0-42583731E787}"/>
    <cellStyle name="Comma 4 2 5 3" xfId="1133" xr:uid="{00000000-0005-0000-0000-0000E7080000}"/>
    <cellStyle name="Comma 4 2 5 3 2" xfId="3364" xr:uid="{00000000-0005-0000-0000-0000E8080000}"/>
    <cellStyle name="Comma 4 2 5 3 2 2" xfId="7586" xr:uid="{00000000-0005-0000-0000-0000E9080000}"/>
    <cellStyle name="Comma 4 2 5 3 2 2 2" xfId="32925" xr:uid="{1D40A81D-35A7-47CC-ACDF-68E475B46203}"/>
    <cellStyle name="Comma 4 2 5 3 2 2 3" xfId="24484" xr:uid="{ACA48270-906C-422B-A0DC-BE097F01CF96}"/>
    <cellStyle name="Comma 4 2 5 3 2 2 4" xfId="16036" xr:uid="{E2763D98-3149-4A94-AD6E-D0CE97CBB713}"/>
    <cellStyle name="Comma 4 2 5 3 2 3" xfId="28707" xr:uid="{291B4DA9-C693-4995-BE07-ECF13B7A7925}"/>
    <cellStyle name="Comma 4 2 5 3 2 4" xfId="20266" xr:uid="{049969C1-BDC7-4343-9F12-9EBC9D82B84B}"/>
    <cellStyle name="Comma 4 2 5 3 2 5" xfId="11818" xr:uid="{3959ED40-D0F3-4A2E-802F-AF6B6C912D89}"/>
    <cellStyle name="Comma 4 2 5 3 3" xfId="5441" xr:uid="{00000000-0005-0000-0000-0000EA080000}"/>
    <cellStyle name="Comma 4 2 5 3 3 2" xfId="30780" xr:uid="{26085460-61F2-430B-A0B4-E42F7441CEA8}"/>
    <cellStyle name="Comma 4 2 5 3 3 3" xfId="22339" xr:uid="{9FB5016C-7721-4407-AA4A-117101E69D65}"/>
    <cellStyle name="Comma 4 2 5 3 3 4" xfId="13891" xr:uid="{708378D2-536B-47B8-A29E-62971326239B}"/>
    <cellStyle name="Comma 4 2 5 3 4" xfId="26562" xr:uid="{0164A023-7A7E-4527-805C-A46C911197A2}"/>
    <cellStyle name="Comma 4 2 5 3 5" xfId="18121" xr:uid="{543756F1-06FE-4C5F-9486-A6B8FA7DFE6B}"/>
    <cellStyle name="Comma 4 2 5 3 6" xfId="9673" xr:uid="{E9E9EECD-38FD-4943-81EE-49CCA013AB02}"/>
    <cellStyle name="Comma 4 2 5 4" xfId="1547" xr:uid="{00000000-0005-0000-0000-0000EB080000}"/>
    <cellStyle name="Comma 4 2 5 4 2" xfId="3777" xr:uid="{00000000-0005-0000-0000-0000EC080000}"/>
    <cellStyle name="Comma 4 2 5 4 2 2" xfId="7999" xr:uid="{00000000-0005-0000-0000-0000ED080000}"/>
    <cellStyle name="Comma 4 2 5 4 2 2 2" xfId="33338" xr:uid="{F0E8A53B-F981-4002-AE3B-8657EE42B11F}"/>
    <cellStyle name="Comma 4 2 5 4 2 2 3" xfId="24897" xr:uid="{8DB94D04-DAEC-4D2C-BAAA-33360F98CF02}"/>
    <cellStyle name="Comma 4 2 5 4 2 2 4" xfId="16449" xr:uid="{CDEE84E7-B3D6-42C3-B1A2-782D220A53A1}"/>
    <cellStyle name="Comma 4 2 5 4 2 3" xfId="29120" xr:uid="{5AB6460D-65E6-4E7C-AAD0-E307CFB59CE0}"/>
    <cellStyle name="Comma 4 2 5 4 2 4" xfId="20679" xr:uid="{B78608A2-B621-4B99-816B-A68C6EA8DAE4}"/>
    <cellStyle name="Comma 4 2 5 4 2 5" xfId="12231" xr:uid="{CF0E97F8-226F-4D9B-AAAB-AEFB8DA585D9}"/>
    <cellStyle name="Comma 4 2 5 4 3" xfId="5854" xr:uid="{00000000-0005-0000-0000-0000EE080000}"/>
    <cellStyle name="Comma 4 2 5 4 3 2" xfId="31193" xr:uid="{16A8AE4B-2292-43B9-924E-35687A2024A9}"/>
    <cellStyle name="Comma 4 2 5 4 3 3" xfId="22752" xr:uid="{5508C571-D6DD-443B-A418-11A44DB05DDD}"/>
    <cellStyle name="Comma 4 2 5 4 3 4" xfId="14304" xr:uid="{0EBD0D2F-A50C-4C82-9623-B53E20C4BBAE}"/>
    <cellStyle name="Comma 4 2 5 4 4" xfId="26975" xr:uid="{FADD7C59-70FA-42F0-B5A6-55F10AABBE44}"/>
    <cellStyle name="Comma 4 2 5 4 5" xfId="18534" xr:uid="{F9AA8FFA-E94A-46A5-A3E4-7CC81ABE10C2}"/>
    <cellStyle name="Comma 4 2 5 4 6" xfId="10086" xr:uid="{A04991F0-6F3B-49FA-811B-3E1BF7A78D67}"/>
    <cellStyle name="Comma 4 2 5 5" xfId="1961" xr:uid="{00000000-0005-0000-0000-0000EF080000}"/>
    <cellStyle name="Comma 4 2 5 5 2" xfId="4190" xr:uid="{00000000-0005-0000-0000-0000F0080000}"/>
    <cellStyle name="Comma 4 2 5 5 2 2" xfId="8412" xr:uid="{00000000-0005-0000-0000-0000F1080000}"/>
    <cellStyle name="Comma 4 2 5 5 2 2 2" xfId="33751" xr:uid="{B3FC8D53-40D0-4674-AB7F-ED69DC85AB10}"/>
    <cellStyle name="Comma 4 2 5 5 2 2 3" xfId="25310" xr:uid="{68B5517B-D527-47C2-9F87-3E0336FCD16D}"/>
    <cellStyle name="Comma 4 2 5 5 2 2 4" xfId="16862" xr:uid="{89DDC8CB-66D2-427E-8C39-70E1FFEDEA1A}"/>
    <cellStyle name="Comma 4 2 5 5 2 3" xfId="29533" xr:uid="{6F16ABE4-7C06-4EC3-BF93-97DBDE381107}"/>
    <cellStyle name="Comma 4 2 5 5 2 4" xfId="21092" xr:uid="{1E926EBB-E8DF-4FE6-BCC5-7A4D28F5F741}"/>
    <cellStyle name="Comma 4 2 5 5 2 5" xfId="12644" xr:uid="{8B9CC2B1-4EB1-4A43-9D6A-410DDD7E7BF5}"/>
    <cellStyle name="Comma 4 2 5 5 3" xfId="6267" xr:uid="{00000000-0005-0000-0000-0000F2080000}"/>
    <cellStyle name="Comma 4 2 5 5 3 2" xfId="31606" xr:uid="{D6DFC2FF-9805-4EAC-B55D-177727D02356}"/>
    <cellStyle name="Comma 4 2 5 5 3 3" xfId="23165" xr:uid="{09E84508-A0E9-4DC8-AF0C-419FBEF731AA}"/>
    <cellStyle name="Comma 4 2 5 5 3 4" xfId="14717" xr:uid="{B61136F2-AF02-4842-94F9-29EEABECB28F}"/>
    <cellStyle name="Comma 4 2 5 5 4" xfId="27388" xr:uid="{1448E3B9-AF89-4FA3-9BD0-FD90AD3A0E28}"/>
    <cellStyle name="Comma 4 2 5 5 5" xfId="18947" xr:uid="{ED305472-4F70-4393-BF16-6E17F09D0EC7}"/>
    <cellStyle name="Comma 4 2 5 5 6" xfId="10499" xr:uid="{E510B9A0-5044-49F9-9C87-9F5A2ED22ADF}"/>
    <cellStyle name="Comma 4 2 5 6" xfId="2396" xr:uid="{00000000-0005-0000-0000-0000F3080000}"/>
    <cellStyle name="Comma 4 2 5 6 2" xfId="6680" xr:uid="{00000000-0005-0000-0000-0000F4080000}"/>
    <cellStyle name="Comma 4 2 5 6 2 2" xfId="32019" xr:uid="{355F0695-E3E0-42FC-9F0B-E794C74D2A33}"/>
    <cellStyle name="Comma 4 2 5 6 2 3" xfId="23578" xr:uid="{80B82EC4-E911-48AD-803E-7443F6F70083}"/>
    <cellStyle name="Comma 4 2 5 6 2 4" xfId="15130" xr:uid="{C7393526-8362-4636-974E-D15AD873EC18}"/>
    <cellStyle name="Comma 4 2 5 6 3" xfId="27801" xr:uid="{F1D8F1D1-6287-472A-9241-D16DEE4E9D0F}"/>
    <cellStyle name="Comma 4 2 5 6 4" xfId="19360" xr:uid="{1F0A2903-D187-4F1A-87C5-DA7DF4931E51}"/>
    <cellStyle name="Comma 4 2 5 6 5" xfId="10912" xr:uid="{69D4EB54-F723-4688-910A-D567CAA9712C}"/>
    <cellStyle name="Comma 4 2 5 7" xfId="2367" xr:uid="{00000000-0005-0000-0000-0000F5080000}"/>
    <cellStyle name="Comma 4 2 5 8" xfId="2774" xr:uid="{00000000-0005-0000-0000-0000F6080000}"/>
    <cellStyle name="Comma 4 2 5 8 2" xfId="6997" xr:uid="{00000000-0005-0000-0000-0000F7080000}"/>
    <cellStyle name="Comma 4 2 5 8 2 2" xfId="32336" xr:uid="{16CE9194-5A37-4661-B064-B1B376087FAC}"/>
    <cellStyle name="Comma 4 2 5 8 2 3" xfId="23895" xr:uid="{106889AB-5055-4CA4-8F88-1E0D0ECF9AF4}"/>
    <cellStyle name="Comma 4 2 5 8 2 4" xfId="15447" xr:uid="{111D7DD6-5AD9-47C4-8244-02AE7B5D841E}"/>
    <cellStyle name="Comma 4 2 5 8 3" xfId="28118" xr:uid="{FD91CB3B-E94C-47DB-AA7B-EB104ADD145F}"/>
    <cellStyle name="Comma 4 2 5 8 4" xfId="19677" xr:uid="{3348D027-93AD-4EEB-94C1-62AD49AD42C9}"/>
    <cellStyle name="Comma 4 2 5 8 5" xfId="11229" xr:uid="{8F619F46-B958-40DF-80C5-F1C9DD956BE7}"/>
    <cellStyle name="Comma 4 2 5 9" xfId="4614" xr:uid="{00000000-0005-0000-0000-0000F8080000}"/>
    <cellStyle name="Comma 4 2 5 9 2" xfId="29953" xr:uid="{E8656978-3581-44BD-80EB-A40D4D75900B}"/>
    <cellStyle name="Comma 4 2 5 9 3" xfId="21512" xr:uid="{AE401513-F03E-494B-A17E-BCDDCBDCABF9}"/>
    <cellStyle name="Comma 4 2 5 9 4" xfId="13064" xr:uid="{95617927-46B6-4B1B-B65A-28D71E42BC3D}"/>
    <cellStyle name="Comma 4 2 6" xfId="143" xr:uid="{00000000-0005-0000-0000-0000F9080000}"/>
    <cellStyle name="Comma 4 2 6 10" xfId="25736" xr:uid="{68C96FA2-7809-4DEF-BB91-4A59E7B17CF2}"/>
    <cellStyle name="Comma 4 2 6 11" xfId="17295" xr:uid="{F26990A2-CA20-4E3F-B588-F8F198BB8EF7}"/>
    <cellStyle name="Comma 4 2 6 12" xfId="8847" xr:uid="{96774CCA-D394-464B-85EC-2550E73B1ACF}"/>
    <cellStyle name="Comma 4 2 6 2" xfId="681" xr:uid="{00000000-0005-0000-0000-0000FA080000}"/>
    <cellStyle name="Comma 4 2 6 2 2" xfId="2952" xr:uid="{00000000-0005-0000-0000-0000FB080000}"/>
    <cellStyle name="Comma 4 2 6 2 2 2" xfId="7174" xr:uid="{00000000-0005-0000-0000-0000FC080000}"/>
    <cellStyle name="Comma 4 2 6 2 2 2 2" xfId="32513" xr:uid="{88318994-C6F4-4437-90D6-085341CF5173}"/>
    <cellStyle name="Comma 4 2 6 2 2 2 3" xfId="24072" xr:uid="{861440F6-23A5-484C-9A1A-145CDBF1CF98}"/>
    <cellStyle name="Comma 4 2 6 2 2 2 4" xfId="15624" xr:uid="{56647C59-027C-40F3-9D5F-222724DD4566}"/>
    <cellStyle name="Comma 4 2 6 2 2 3" xfId="28295" xr:uid="{8D635AD9-69CC-4702-B6A8-DA8AA6BA1B01}"/>
    <cellStyle name="Comma 4 2 6 2 2 4" xfId="19854" xr:uid="{68152D29-1312-413F-BBE1-A272505D7447}"/>
    <cellStyle name="Comma 4 2 6 2 2 5" xfId="11406" xr:uid="{DF387297-BC0A-48EF-8F3B-1E944A9547CD}"/>
    <cellStyle name="Comma 4 2 6 2 3" xfId="5029" xr:uid="{00000000-0005-0000-0000-0000FD080000}"/>
    <cellStyle name="Comma 4 2 6 2 3 2" xfId="30368" xr:uid="{208BEE8B-15B8-4DD2-87C6-298D0022AB77}"/>
    <cellStyle name="Comma 4 2 6 2 3 3" xfId="21927" xr:uid="{73DC53AB-604E-414C-B23B-29326841E1B5}"/>
    <cellStyle name="Comma 4 2 6 2 3 4" xfId="13479" xr:uid="{B93122BB-D7BC-40A7-8012-A74BCBE6BE08}"/>
    <cellStyle name="Comma 4 2 6 2 4" xfId="26150" xr:uid="{CE81B6FB-04A2-443C-9877-96172C8B8728}"/>
    <cellStyle name="Comma 4 2 6 2 5" xfId="17709" xr:uid="{137ECB23-4186-4E71-AC8E-024CFFC05E38}"/>
    <cellStyle name="Comma 4 2 6 2 6" xfId="9261" xr:uid="{31543483-4238-481E-99CB-975C1842FEE5}"/>
    <cellStyle name="Comma 4 2 6 3" xfId="1134" xr:uid="{00000000-0005-0000-0000-0000FE080000}"/>
    <cellStyle name="Comma 4 2 6 3 2" xfId="3365" xr:uid="{00000000-0005-0000-0000-0000FF080000}"/>
    <cellStyle name="Comma 4 2 6 3 2 2" xfId="7587" xr:uid="{00000000-0005-0000-0000-000000090000}"/>
    <cellStyle name="Comma 4 2 6 3 2 2 2" xfId="32926" xr:uid="{DC4EA383-D86C-453D-81CD-6F9383F10B37}"/>
    <cellStyle name="Comma 4 2 6 3 2 2 3" xfId="24485" xr:uid="{9506F0B3-C1A8-46BB-B155-CE4CF1C08D43}"/>
    <cellStyle name="Comma 4 2 6 3 2 2 4" xfId="16037" xr:uid="{C3ECBBA0-25E4-42C2-9199-95735FA0326E}"/>
    <cellStyle name="Comma 4 2 6 3 2 3" xfId="28708" xr:uid="{C9F3882E-BE4B-4037-9A6C-0B5BA6F3D413}"/>
    <cellStyle name="Comma 4 2 6 3 2 4" xfId="20267" xr:uid="{2A21202B-0299-4ABF-AEFB-74D213C6C4D4}"/>
    <cellStyle name="Comma 4 2 6 3 2 5" xfId="11819" xr:uid="{A2505BE8-336A-4154-9D20-224B5409E94B}"/>
    <cellStyle name="Comma 4 2 6 3 3" xfId="5442" xr:uid="{00000000-0005-0000-0000-000001090000}"/>
    <cellStyle name="Comma 4 2 6 3 3 2" xfId="30781" xr:uid="{108EE6C5-16C0-48E8-95B8-339B7FCCA158}"/>
    <cellStyle name="Comma 4 2 6 3 3 3" xfId="22340" xr:uid="{E4F82AEE-7708-4696-AA68-67422EDFD78F}"/>
    <cellStyle name="Comma 4 2 6 3 3 4" xfId="13892" xr:uid="{4A10353B-951F-4F35-9170-538488E4267C}"/>
    <cellStyle name="Comma 4 2 6 3 4" xfId="26563" xr:uid="{CBFCD86C-359C-431A-929F-7DFA316B14EF}"/>
    <cellStyle name="Comma 4 2 6 3 5" xfId="18122" xr:uid="{473DFD18-A25F-4947-B89A-79EB8A06BE87}"/>
    <cellStyle name="Comma 4 2 6 3 6" xfId="9674" xr:uid="{38160B49-AEDC-4C5E-B1DC-7CC274F61BBC}"/>
    <cellStyle name="Comma 4 2 6 4" xfId="1548" xr:uid="{00000000-0005-0000-0000-000002090000}"/>
    <cellStyle name="Comma 4 2 6 4 2" xfId="3778" xr:uid="{00000000-0005-0000-0000-000003090000}"/>
    <cellStyle name="Comma 4 2 6 4 2 2" xfId="8000" xr:uid="{00000000-0005-0000-0000-000004090000}"/>
    <cellStyle name="Comma 4 2 6 4 2 2 2" xfId="33339" xr:uid="{1E7E7062-F550-4F7D-BE2D-72E686C0C43E}"/>
    <cellStyle name="Comma 4 2 6 4 2 2 3" xfId="24898" xr:uid="{15CD1460-E33A-4829-BAB0-6777E5A2E929}"/>
    <cellStyle name="Comma 4 2 6 4 2 2 4" xfId="16450" xr:uid="{526BE97E-7503-4FE5-9A37-661AF5A5F9A4}"/>
    <cellStyle name="Comma 4 2 6 4 2 3" xfId="29121" xr:uid="{1E707995-FB73-476D-B730-E4EB818F53C9}"/>
    <cellStyle name="Comma 4 2 6 4 2 4" xfId="20680" xr:uid="{29DF5A26-F74F-43F8-9B70-CD30DB1704F6}"/>
    <cellStyle name="Comma 4 2 6 4 2 5" xfId="12232" xr:uid="{B887079D-F15F-4F57-9553-7009E70A07AD}"/>
    <cellStyle name="Comma 4 2 6 4 3" xfId="5855" xr:uid="{00000000-0005-0000-0000-000005090000}"/>
    <cellStyle name="Comma 4 2 6 4 3 2" xfId="31194" xr:uid="{61DB266E-CE17-4926-A3C2-ACC21590971A}"/>
    <cellStyle name="Comma 4 2 6 4 3 3" xfId="22753" xr:uid="{DB87B9B9-79F1-4D33-AAF1-3839EF96DA41}"/>
    <cellStyle name="Comma 4 2 6 4 3 4" xfId="14305" xr:uid="{070104A8-B2BE-4294-823D-8037439D460F}"/>
    <cellStyle name="Comma 4 2 6 4 4" xfId="26976" xr:uid="{E5FA5FA4-5199-46EA-B2BF-129CA4F6D07D}"/>
    <cellStyle name="Comma 4 2 6 4 5" xfId="18535" xr:uid="{2701D1F7-0175-460C-8306-356D3ABE2EBC}"/>
    <cellStyle name="Comma 4 2 6 4 6" xfId="10087" xr:uid="{563B5AA9-41FB-4DEB-BAAB-7C8B30F040D1}"/>
    <cellStyle name="Comma 4 2 6 5" xfId="1962" xr:uid="{00000000-0005-0000-0000-000006090000}"/>
    <cellStyle name="Comma 4 2 6 5 2" xfId="4191" xr:uid="{00000000-0005-0000-0000-000007090000}"/>
    <cellStyle name="Comma 4 2 6 5 2 2" xfId="8413" xr:uid="{00000000-0005-0000-0000-000008090000}"/>
    <cellStyle name="Comma 4 2 6 5 2 2 2" xfId="33752" xr:uid="{E905DF43-D48A-4B3A-805C-BF6B1D99706F}"/>
    <cellStyle name="Comma 4 2 6 5 2 2 3" xfId="25311" xr:uid="{78A08E21-89EB-446D-B989-7502AD70DB3E}"/>
    <cellStyle name="Comma 4 2 6 5 2 2 4" xfId="16863" xr:uid="{7CE16D7F-990D-45E7-8631-849AFDA9469A}"/>
    <cellStyle name="Comma 4 2 6 5 2 3" xfId="29534" xr:uid="{82533F71-4DDC-4635-A7AB-66DB15B739E4}"/>
    <cellStyle name="Comma 4 2 6 5 2 4" xfId="21093" xr:uid="{22C83053-C994-4830-BCDD-682A9B19BDB1}"/>
    <cellStyle name="Comma 4 2 6 5 2 5" xfId="12645" xr:uid="{A21ECB63-D5E1-4DD2-870B-14347EEED4BD}"/>
    <cellStyle name="Comma 4 2 6 5 3" xfId="6268" xr:uid="{00000000-0005-0000-0000-000009090000}"/>
    <cellStyle name="Comma 4 2 6 5 3 2" xfId="31607" xr:uid="{000D50B9-57E5-4E47-BA98-317DEA3B1A6F}"/>
    <cellStyle name="Comma 4 2 6 5 3 3" xfId="23166" xr:uid="{2A18CC58-8415-46A9-831D-7758D0E08146}"/>
    <cellStyle name="Comma 4 2 6 5 3 4" xfId="14718" xr:uid="{8B353F9C-CCAF-4867-889E-BC285B0177D0}"/>
    <cellStyle name="Comma 4 2 6 5 4" xfId="27389" xr:uid="{FC1CBE03-37E4-4A30-BED9-D99E7C804FA9}"/>
    <cellStyle name="Comma 4 2 6 5 5" xfId="18948" xr:uid="{E37B2E3A-A3D3-471A-90FC-9F672B2A1353}"/>
    <cellStyle name="Comma 4 2 6 5 6" xfId="10500" xr:uid="{3CD1805B-43E8-4340-8353-89D434145F32}"/>
    <cellStyle name="Comma 4 2 6 6" xfId="2397" xr:uid="{00000000-0005-0000-0000-00000A090000}"/>
    <cellStyle name="Comma 4 2 6 6 2" xfId="6681" xr:uid="{00000000-0005-0000-0000-00000B090000}"/>
    <cellStyle name="Comma 4 2 6 6 2 2" xfId="32020" xr:uid="{DC65A5D2-3C97-4456-BF1F-243F74D261D3}"/>
    <cellStyle name="Comma 4 2 6 6 2 3" xfId="23579" xr:uid="{7791FE41-7CA6-4FFC-8BB8-CFDDB37B8B60}"/>
    <cellStyle name="Comma 4 2 6 6 2 4" xfId="15131" xr:uid="{80C176FD-D85C-4CAB-AE15-A9D62061ED4A}"/>
    <cellStyle name="Comma 4 2 6 6 3" xfId="27802" xr:uid="{C4A85CF6-8657-49D8-8E80-28816E531420}"/>
    <cellStyle name="Comma 4 2 6 6 4" xfId="19361" xr:uid="{1C0800F0-2572-43FE-96D2-D4451311DF6C}"/>
    <cellStyle name="Comma 4 2 6 6 5" xfId="10913" xr:uid="{7B28FD54-17E3-4807-AD55-63108D162141}"/>
    <cellStyle name="Comma 4 2 6 7" xfId="2366" xr:uid="{00000000-0005-0000-0000-00000C090000}"/>
    <cellStyle name="Comma 4 2 6 8" xfId="2775" xr:uid="{00000000-0005-0000-0000-00000D090000}"/>
    <cellStyle name="Comma 4 2 6 8 2" xfId="6998" xr:uid="{00000000-0005-0000-0000-00000E090000}"/>
    <cellStyle name="Comma 4 2 6 8 2 2" xfId="32337" xr:uid="{1020B95F-ACC9-4F2F-BD1D-FE41A3F0B792}"/>
    <cellStyle name="Comma 4 2 6 8 2 3" xfId="23896" xr:uid="{AE576F3C-2AE6-46FA-8C4B-055835AFEA02}"/>
    <cellStyle name="Comma 4 2 6 8 2 4" xfId="15448" xr:uid="{2A1A839F-61DD-479F-827B-27F5ABF06F09}"/>
    <cellStyle name="Comma 4 2 6 8 3" xfId="28119" xr:uid="{8109D6B3-9674-45C4-B9D8-7231569DC102}"/>
    <cellStyle name="Comma 4 2 6 8 4" xfId="19678" xr:uid="{74AF995F-AAF5-4D84-9732-150798B05F6B}"/>
    <cellStyle name="Comma 4 2 6 8 5" xfId="11230" xr:uid="{30886EDB-BE2D-4EF9-A0C4-99AE33A92E4F}"/>
    <cellStyle name="Comma 4 2 6 9" xfId="4615" xr:uid="{00000000-0005-0000-0000-00000F090000}"/>
    <cellStyle name="Comma 4 2 6 9 2" xfId="29954" xr:uid="{1724E3A8-ACF1-4F36-96EF-BB008D12518D}"/>
    <cellStyle name="Comma 4 2 6 9 3" xfId="21513" xr:uid="{746F2382-92F3-40B8-A45B-CDF109ABEAC0}"/>
    <cellStyle name="Comma 4 2 6 9 4" xfId="13065" xr:uid="{DCCD44E5-4C62-4011-A735-2E5DA54DB18B}"/>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32338" xr:uid="{65CE3429-2CA2-4090-B249-DC21DC22EC32}"/>
    <cellStyle name="Comma 4 3 2 10 2 3" xfId="23897" xr:uid="{769C52A3-AC96-489E-B8AA-5ED73C8D53B2}"/>
    <cellStyle name="Comma 4 3 2 10 2 4" xfId="15449" xr:uid="{2903488C-C59C-4257-8A07-C169E3A9D107}"/>
    <cellStyle name="Comma 4 3 2 10 3" xfId="28120" xr:uid="{BE39971C-EE69-4017-9AD1-21DC60CBBCCA}"/>
    <cellStyle name="Comma 4 3 2 10 4" xfId="19679" xr:uid="{2A39EF50-DBAC-4A45-838C-C48A455CD794}"/>
    <cellStyle name="Comma 4 3 2 10 5" xfId="11231" xr:uid="{F660ED13-CB6A-48C9-AC19-CC009A57046C}"/>
    <cellStyle name="Comma 4 3 2 11" xfId="4616" xr:uid="{00000000-0005-0000-0000-000014090000}"/>
    <cellStyle name="Comma 4 3 2 11 2" xfId="29955" xr:uid="{11906D85-1F1E-405F-BCB0-3EE1D92EAB3C}"/>
    <cellStyle name="Comma 4 3 2 11 3" xfId="21514" xr:uid="{6D114908-B721-4792-9161-139BD818B11E}"/>
    <cellStyle name="Comma 4 3 2 11 4" xfId="13066" xr:uid="{A8DD0CF5-54FF-4736-AC5C-F82C8A1D7C52}"/>
    <cellStyle name="Comma 4 3 2 12" xfId="25737" xr:uid="{CA9E23FE-E439-490B-B208-86126664E995}"/>
    <cellStyle name="Comma 4 3 2 13" xfId="17296" xr:uid="{571AC9B6-4983-45DE-8A31-DAD2E4DCD125}"/>
    <cellStyle name="Comma 4 3 2 14" xfId="8848" xr:uid="{1F145EEC-E5D5-4C10-8A37-629618FC51AC}"/>
    <cellStyle name="Comma 4 3 2 2" xfId="146" xr:uid="{00000000-0005-0000-0000-000015090000}"/>
    <cellStyle name="Comma 4 3 2 2 10" xfId="4617" xr:uid="{00000000-0005-0000-0000-000016090000}"/>
    <cellStyle name="Comma 4 3 2 2 10 2" xfId="29956" xr:uid="{7A581120-ACB3-474E-BB35-58F36C01177B}"/>
    <cellStyle name="Comma 4 3 2 2 10 3" xfId="21515" xr:uid="{5FC644E9-7367-4182-9156-EBDB84C1A133}"/>
    <cellStyle name="Comma 4 3 2 2 10 4" xfId="13067" xr:uid="{57891441-18F7-4802-BC87-02720090AEA2}"/>
    <cellStyle name="Comma 4 3 2 2 11" xfId="25738" xr:uid="{C85126EA-10DC-4E9E-BCE1-9F5671769BD1}"/>
    <cellStyle name="Comma 4 3 2 2 12" xfId="17297" xr:uid="{A26F054C-7A36-4153-B63A-D9A5164204B8}"/>
    <cellStyle name="Comma 4 3 2 2 13" xfId="8849" xr:uid="{11701FA3-D7CA-49FE-9379-3F0EC0C62427}"/>
    <cellStyle name="Comma 4 3 2 2 2" xfId="147" xr:uid="{00000000-0005-0000-0000-000017090000}"/>
    <cellStyle name="Comma 4 3 2 2 2 10" xfId="25739" xr:uid="{3EA9A698-2E61-429F-8841-25C0FE7C306F}"/>
    <cellStyle name="Comma 4 3 2 2 2 11" xfId="17298" xr:uid="{27488E92-9D18-466E-A718-C9A6D388D658}"/>
    <cellStyle name="Comma 4 3 2 2 2 12" xfId="8850" xr:uid="{DDF7EDE8-3CEF-44BE-8B82-8EFF79B46E20}"/>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32516" xr:uid="{FE669DED-5CBF-4D4D-B69A-F781FC0CACFB}"/>
    <cellStyle name="Comma 4 3 2 2 2 2 2 2 3" xfId="24075" xr:uid="{9D543B42-36BD-4B93-B28B-6FA9790699D4}"/>
    <cellStyle name="Comma 4 3 2 2 2 2 2 2 4" xfId="15627" xr:uid="{C4DCB907-DA1E-46DB-8828-55C18C6F3775}"/>
    <cellStyle name="Comma 4 3 2 2 2 2 2 3" xfId="28298" xr:uid="{2C2F8048-754C-4B58-912C-297618BFAE01}"/>
    <cellStyle name="Comma 4 3 2 2 2 2 2 4" xfId="19857" xr:uid="{879DFB89-3BED-4BC4-85FC-D66353B0FBE2}"/>
    <cellStyle name="Comma 4 3 2 2 2 2 2 5" xfId="11409" xr:uid="{E42E062E-AE4C-46A4-B5E4-38FDD54A6917}"/>
    <cellStyle name="Comma 4 3 2 2 2 2 3" xfId="5032" xr:uid="{00000000-0005-0000-0000-00001B090000}"/>
    <cellStyle name="Comma 4 3 2 2 2 2 3 2" xfId="30371" xr:uid="{0EC72EE0-C7DB-45DD-96F4-0C2927DD939F}"/>
    <cellStyle name="Comma 4 3 2 2 2 2 3 3" xfId="21930" xr:uid="{7C6B58A9-48D9-4517-9340-94C9827B5498}"/>
    <cellStyle name="Comma 4 3 2 2 2 2 3 4" xfId="13482" xr:uid="{2AB8CB9F-D496-4E1B-9250-BC6E8B42DCFA}"/>
    <cellStyle name="Comma 4 3 2 2 2 2 4" xfId="26153" xr:uid="{D8E56A16-A709-4045-ABB2-0D567080F680}"/>
    <cellStyle name="Comma 4 3 2 2 2 2 5" xfId="17712" xr:uid="{CEF734F3-DFD6-43E4-A55D-B58714051D6E}"/>
    <cellStyle name="Comma 4 3 2 2 2 2 6" xfId="9264" xr:uid="{0C393AB6-FD7A-478B-ACBB-D8FF03A39362}"/>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32929" xr:uid="{3853C2C7-D3C9-4D4C-8FDD-84312B67AD08}"/>
    <cellStyle name="Comma 4 3 2 2 2 3 2 2 3" xfId="24488" xr:uid="{53523EE9-9B12-4292-AEB5-9BA08B39162D}"/>
    <cellStyle name="Comma 4 3 2 2 2 3 2 2 4" xfId="16040" xr:uid="{05CDE349-001B-4045-B42A-2B719460AACB}"/>
    <cellStyle name="Comma 4 3 2 2 2 3 2 3" xfId="28711" xr:uid="{9FEBF24F-6883-4A06-9649-B43F45623C24}"/>
    <cellStyle name="Comma 4 3 2 2 2 3 2 4" xfId="20270" xr:uid="{2306FA2D-42DE-4331-AF0A-B41C4E587252}"/>
    <cellStyle name="Comma 4 3 2 2 2 3 2 5" xfId="11822" xr:uid="{7067440C-A5E1-4387-8964-5C0D871FBDAC}"/>
    <cellStyle name="Comma 4 3 2 2 2 3 3" xfId="5445" xr:uid="{00000000-0005-0000-0000-00001F090000}"/>
    <cellStyle name="Comma 4 3 2 2 2 3 3 2" xfId="30784" xr:uid="{381ECD78-4584-46B5-A0EB-52BA2EE6CC83}"/>
    <cellStyle name="Comma 4 3 2 2 2 3 3 3" xfId="22343" xr:uid="{2B6510D5-D280-4AA2-8CAB-8BD7672BAC48}"/>
    <cellStyle name="Comma 4 3 2 2 2 3 3 4" xfId="13895" xr:uid="{330A8C57-736B-4895-9254-F602C8588BD3}"/>
    <cellStyle name="Comma 4 3 2 2 2 3 4" xfId="26566" xr:uid="{4E22657E-4ACE-46F5-BA42-5C9855EB7545}"/>
    <cellStyle name="Comma 4 3 2 2 2 3 5" xfId="18125" xr:uid="{F348E5F5-7D1E-4D12-8A44-CB56CE7B82CD}"/>
    <cellStyle name="Comma 4 3 2 2 2 3 6" xfId="9677" xr:uid="{C6674E0E-7FDC-4C5C-A625-48F057A2B61A}"/>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33342" xr:uid="{8502708C-C12F-4188-88FC-809882CE3BD4}"/>
    <cellStyle name="Comma 4 3 2 2 2 4 2 2 3" xfId="24901" xr:uid="{1FB3E3E5-9811-41CB-A234-9B1B0DD77E1F}"/>
    <cellStyle name="Comma 4 3 2 2 2 4 2 2 4" xfId="16453" xr:uid="{0202560D-E447-41BE-8F58-CA495C98B2E3}"/>
    <cellStyle name="Comma 4 3 2 2 2 4 2 3" xfId="29124" xr:uid="{D80030CA-D70D-4C23-B55C-160F5EFF0F0D}"/>
    <cellStyle name="Comma 4 3 2 2 2 4 2 4" xfId="20683" xr:uid="{E9721EC6-B04B-4947-8FCC-425E1E35E432}"/>
    <cellStyle name="Comma 4 3 2 2 2 4 2 5" xfId="12235" xr:uid="{E27D451A-F96C-4DED-ABC9-198CBFE53EFA}"/>
    <cellStyle name="Comma 4 3 2 2 2 4 3" xfId="5858" xr:uid="{00000000-0005-0000-0000-000023090000}"/>
    <cellStyle name="Comma 4 3 2 2 2 4 3 2" xfId="31197" xr:uid="{FEC2C3FA-8F24-4E05-A7DE-6CC1641DECA1}"/>
    <cellStyle name="Comma 4 3 2 2 2 4 3 3" xfId="22756" xr:uid="{687C2492-5443-4D7C-A612-E23DB5BE571C}"/>
    <cellStyle name="Comma 4 3 2 2 2 4 3 4" xfId="14308" xr:uid="{2B93BD3F-603E-4CC7-9874-E29F15D89385}"/>
    <cellStyle name="Comma 4 3 2 2 2 4 4" xfId="26979" xr:uid="{4F532A3E-9A4B-4600-A139-3A2D15D1EDAC}"/>
    <cellStyle name="Comma 4 3 2 2 2 4 5" xfId="18538" xr:uid="{C4CBA5AE-54E2-44BE-BE93-0AD693F91194}"/>
    <cellStyle name="Comma 4 3 2 2 2 4 6" xfId="10090" xr:uid="{F9DEE6E0-5665-405D-A235-F238D7A4FF4A}"/>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33755" xr:uid="{C54BC339-DEDD-4079-840B-014442EBE0BA}"/>
    <cellStyle name="Comma 4 3 2 2 2 5 2 2 3" xfId="25314" xr:uid="{D670A933-AE9F-430E-87A9-B78927F4345E}"/>
    <cellStyle name="Comma 4 3 2 2 2 5 2 2 4" xfId="16866" xr:uid="{358384AD-E1BB-46B2-89CD-789E5BE06E2D}"/>
    <cellStyle name="Comma 4 3 2 2 2 5 2 3" xfId="29537" xr:uid="{6305190E-FF1B-45BE-BE29-F07715B5E14A}"/>
    <cellStyle name="Comma 4 3 2 2 2 5 2 4" xfId="21096" xr:uid="{384862C3-2FE4-4BF2-B2EB-0D4623C38B29}"/>
    <cellStyle name="Comma 4 3 2 2 2 5 2 5" xfId="12648" xr:uid="{C3F4D2C4-D40D-4F78-BF75-BB58E9F9B36F}"/>
    <cellStyle name="Comma 4 3 2 2 2 5 3" xfId="6271" xr:uid="{00000000-0005-0000-0000-000027090000}"/>
    <cellStyle name="Comma 4 3 2 2 2 5 3 2" xfId="31610" xr:uid="{4663EB04-1383-4D21-ADBF-AA0BDABFC161}"/>
    <cellStyle name="Comma 4 3 2 2 2 5 3 3" xfId="23169" xr:uid="{D6BB8A62-35A3-4A04-8B15-EF35F6352569}"/>
    <cellStyle name="Comma 4 3 2 2 2 5 3 4" xfId="14721" xr:uid="{EDD5EBF9-EDBD-49F1-80E1-EFCD7187C302}"/>
    <cellStyle name="Comma 4 3 2 2 2 5 4" xfId="27392" xr:uid="{4EB6635A-FA93-476C-A224-04F81FDDA2C0}"/>
    <cellStyle name="Comma 4 3 2 2 2 5 5" xfId="18951" xr:uid="{757E86AE-8D92-45F1-9BDB-27DB4248D857}"/>
    <cellStyle name="Comma 4 3 2 2 2 5 6" xfId="10503" xr:uid="{58F149F4-4A22-487A-9106-9947B1CABD54}"/>
    <cellStyle name="Comma 4 3 2 2 2 6" xfId="2400" xr:uid="{00000000-0005-0000-0000-000028090000}"/>
    <cellStyle name="Comma 4 3 2 2 2 6 2" xfId="6684" xr:uid="{00000000-0005-0000-0000-000029090000}"/>
    <cellStyle name="Comma 4 3 2 2 2 6 2 2" xfId="32023" xr:uid="{CF17735E-B059-4B3A-BD5D-93D3D25FD300}"/>
    <cellStyle name="Comma 4 3 2 2 2 6 2 3" xfId="23582" xr:uid="{1F8D1510-F1B7-45AD-93D5-00D22C462DD9}"/>
    <cellStyle name="Comma 4 3 2 2 2 6 2 4" xfId="15134" xr:uid="{55C1DFAC-6D3D-4DB3-A65C-3D6304339672}"/>
    <cellStyle name="Comma 4 3 2 2 2 6 3" xfId="27805" xr:uid="{7472B953-355A-40D7-8373-DEF4E4D269BA}"/>
    <cellStyle name="Comma 4 3 2 2 2 6 4" xfId="19364" xr:uid="{7A5039D9-FC44-483D-ACC5-71230450A4C8}"/>
    <cellStyle name="Comma 4 3 2 2 2 6 5" xfId="10916" xr:uid="{EECFA5E4-20A7-4360-B632-ABAAA2B73F04}"/>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32340" xr:uid="{ACE47EDE-51EC-4AE3-BFD6-EC46AF0B10A9}"/>
    <cellStyle name="Comma 4 3 2 2 2 8 2 3" xfId="23899" xr:uid="{96FF1FE7-6471-4E6D-A14E-6C23FD576578}"/>
    <cellStyle name="Comma 4 3 2 2 2 8 2 4" xfId="15451" xr:uid="{8144FBD2-87B1-4A14-BAD8-28BC9DC2C0DB}"/>
    <cellStyle name="Comma 4 3 2 2 2 8 3" xfId="28122" xr:uid="{09D36973-369E-4CEA-8379-B0DAF65A8E02}"/>
    <cellStyle name="Comma 4 3 2 2 2 8 4" xfId="19681" xr:uid="{73048819-70B1-47D1-AD59-B793429BB0AD}"/>
    <cellStyle name="Comma 4 3 2 2 2 8 5" xfId="11233" xr:uid="{1D0AAC99-D0B5-4A8A-90F4-EE415E6511A6}"/>
    <cellStyle name="Comma 4 3 2 2 2 9" xfId="4618" xr:uid="{00000000-0005-0000-0000-00002D090000}"/>
    <cellStyle name="Comma 4 3 2 2 2 9 2" xfId="29957" xr:uid="{CC96E662-078C-410B-BABC-ECAA3E301BE4}"/>
    <cellStyle name="Comma 4 3 2 2 2 9 3" xfId="21516" xr:uid="{07D76EB3-C8F3-4B94-ABED-B25F5E8BDB2F}"/>
    <cellStyle name="Comma 4 3 2 2 2 9 4" xfId="13068" xr:uid="{BD7FF248-75D2-489D-8C26-BA32306A3908}"/>
    <cellStyle name="Comma 4 3 2 2 3" xfId="683" xr:uid="{00000000-0005-0000-0000-00002E090000}"/>
    <cellStyle name="Comma 4 3 2 2 3 2" xfId="2954" xr:uid="{00000000-0005-0000-0000-00002F090000}"/>
    <cellStyle name="Comma 4 3 2 2 3 2 2" xfId="7176" xr:uid="{00000000-0005-0000-0000-000030090000}"/>
    <cellStyle name="Comma 4 3 2 2 3 2 2 2" xfId="32515" xr:uid="{5343D3E6-5CE8-4E04-8FB3-DD2447899015}"/>
    <cellStyle name="Comma 4 3 2 2 3 2 2 3" xfId="24074" xr:uid="{CB9AEA4C-D414-4511-94A5-EDDD34A222C6}"/>
    <cellStyle name="Comma 4 3 2 2 3 2 2 4" xfId="15626" xr:uid="{AB9778AA-D50C-4A40-9972-21578CC238C2}"/>
    <cellStyle name="Comma 4 3 2 2 3 2 3" xfId="28297" xr:uid="{6BB2D2B1-6964-4F5A-8023-06AEF88DA366}"/>
    <cellStyle name="Comma 4 3 2 2 3 2 4" xfId="19856" xr:uid="{7121B179-66FF-4FE1-A8EE-9884246F5875}"/>
    <cellStyle name="Comma 4 3 2 2 3 2 5" xfId="11408" xr:uid="{AAA3AEDF-68A7-41D7-83B2-8978E30765B0}"/>
    <cellStyle name="Comma 4 3 2 2 3 3" xfId="5031" xr:uid="{00000000-0005-0000-0000-000031090000}"/>
    <cellStyle name="Comma 4 3 2 2 3 3 2" xfId="30370" xr:uid="{3DB84AAB-BAB3-4FB8-A847-FD9D43E8B6B0}"/>
    <cellStyle name="Comma 4 3 2 2 3 3 3" xfId="21929" xr:uid="{3F7C307E-06A6-42CF-BD21-C0C9C9735BF2}"/>
    <cellStyle name="Comma 4 3 2 2 3 3 4" xfId="13481" xr:uid="{D625419A-48C8-4BB2-9BE1-923256393348}"/>
    <cellStyle name="Comma 4 3 2 2 3 4" xfId="26152" xr:uid="{D59239C3-668D-4637-83AD-A190079A344F}"/>
    <cellStyle name="Comma 4 3 2 2 3 5" xfId="17711" xr:uid="{FE14C009-ED4E-47B1-9AA5-15BB75D59B9A}"/>
    <cellStyle name="Comma 4 3 2 2 3 6" xfId="9263" xr:uid="{407FF423-A7C5-4837-9E6E-B8A350163EE4}"/>
    <cellStyle name="Comma 4 3 2 2 4" xfId="1136" xr:uid="{00000000-0005-0000-0000-000032090000}"/>
    <cellStyle name="Comma 4 3 2 2 4 2" xfId="3367" xr:uid="{00000000-0005-0000-0000-000033090000}"/>
    <cellStyle name="Comma 4 3 2 2 4 2 2" xfId="7589" xr:uid="{00000000-0005-0000-0000-000034090000}"/>
    <cellStyle name="Comma 4 3 2 2 4 2 2 2" xfId="32928" xr:uid="{2E0C924D-AEDE-4ED0-BA22-98A03ED3A97C}"/>
    <cellStyle name="Comma 4 3 2 2 4 2 2 3" xfId="24487" xr:uid="{7727B663-44EF-4680-8B65-DFC711CC9B57}"/>
    <cellStyle name="Comma 4 3 2 2 4 2 2 4" xfId="16039" xr:uid="{31A4DD8C-EEA9-4C7C-9F6F-83FAEF1E2080}"/>
    <cellStyle name="Comma 4 3 2 2 4 2 3" xfId="28710" xr:uid="{086AA42C-1A20-497B-9D79-2BA99A92EE69}"/>
    <cellStyle name="Comma 4 3 2 2 4 2 4" xfId="20269" xr:uid="{FFF43DC4-10EE-45CB-AC31-44BB01AF8F2F}"/>
    <cellStyle name="Comma 4 3 2 2 4 2 5" xfId="11821" xr:uid="{DDC38D69-DAAE-4F87-93FD-D53BBACDBC6E}"/>
    <cellStyle name="Comma 4 3 2 2 4 3" xfId="5444" xr:uid="{00000000-0005-0000-0000-000035090000}"/>
    <cellStyle name="Comma 4 3 2 2 4 3 2" xfId="30783" xr:uid="{B49194E2-9C80-4F77-A2CF-C2DE72733A17}"/>
    <cellStyle name="Comma 4 3 2 2 4 3 3" xfId="22342" xr:uid="{7E1651B6-7126-40DF-B2D7-F9C33AD60C52}"/>
    <cellStyle name="Comma 4 3 2 2 4 3 4" xfId="13894" xr:uid="{05774C6C-F5DC-4D70-B399-7468A3122C2A}"/>
    <cellStyle name="Comma 4 3 2 2 4 4" xfId="26565" xr:uid="{865F9780-CC83-4BB8-9BF6-3E52CE373C96}"/>
    <cellStyle name="Comma 4 3 2 2 4 5" xfId="18124" xr:uid="{6F4455FC-9D1D-4782-95AC-BE617C2C7748}"/>
    <cellStyle name="Comma 4 3 2 2 4 6" xfId="9676" xr:uid="{52A0D835-33A9-42ED-8CE6-9BB62CE07E0B}"/>
    <cellStyle name="Comma 4 3 2 2 5" xfId="1550" xr:uid="{00000000-0005-0000-0000-000036090000}"/>
    <cellStyle name="Comma 4 3 2 2 5 2" xfId="3780" xr:uid="{00000000-0005-0000-0000-000037090000}"/>
    <cellStyle name="Comma 4 3 2 2 5 2 2" xfId="8002" xr:uid="{00000000-0005-0000-0000-000038090000}"/>
    <cellStyle name="Comma 4 3 2 2 5 2 2 2" xfId="33341" xr:uid="{3F24A0D4-0E4C-4A9F-BADE-9C28C30EBB60}"/>
    <cellStyle name="Comma 4 3 2 2 5 2 2 3" xfId="24900" xr:uid="{288F560A-FB1C-4F23-860C-457EC6F71125}"/>
    <cellStyle name="Comma 4 3 2 2 5 2 2 4" xfId="16452" xr:uid="{23BAE9DC-774E-4D8F-BDD8-6029E870E9FF}"/>
    <cellStyle name="Comma 4 3 2 2 5 2 3" xfId="29123" xr:uid="{91331159-EC74-4DB2-9793-455D59F06B71}"/>
    <cellStyle name="Comma 4 3 2 2 5 2 4" xfId="20682" xr:uid="{B6D77F0A-6E25-4B3C-B78A-097E8EEDD197}"/>
    <cellStyle name="Comma 4 3 2 2 5 2 5" xfId="12234" xr:uid="{2E6BD8F2-7492-41DE-9B44-6FC2A6826AF4}"/>
    <cellStyle name="Comma 4 3 2 2 5 3" xfId="5857" xr:uid="{00000000-0005-0000-0000-000039090000}"/>
    <cellStyle name="Comma 4 3 2 2 5 3 2" xfId="31196" xr:uid="{FF601D9E-596D-43F4-B3EE-800687CCE4F6}"/>
    <cellStyle name="Comma 4 3 2 2 5 3 3" xfId="22755" xr:uid="{E8CD15DF-82F8-4EF2-B6AF-0F874CFBF785}"/>
    <cellStyle name="Comma 4 3 2 2 5 3 4" xfId="14307" xr:uid="{81409904-F206-4B4D-9599-0A7B7C1C8D01}"/>
    <cellStyle name="Comma 4 3 2 2 5 4" xfId="26978" xr:uid="{EAF7A20F-6351-4385-9A38-D81FBDC5427F}"/>
    <cellStyle name="Comma 4 3 2 2 5 5" xfId="18537" xr:uid="{89E2DD7F-F5D3-4B39-9EDB-6AAC1055EDD0}"/>
    <cellStyle name="Comma 4 3 2 2 5 6" xfId="10089" xr:uid="{9F65E915-1BA4-44D4-B6F9-A3B9CAC8830D}"/>
    <cellStyle name="Comma 4 3 2 2 6" xfId="1964" xr:uid="{00000000-0005-0000-0000-00003A090000}"/>
    <cellStyle name="Comma 4 3 2 2 6 2" xfId="4193" xr:uid="{00000000-0005-0000-0000-00003B090000}"/>
    <cellStyle name="Comma 4 3 2 2 6 2 2" xfId="8415" xr:uid="{00000000-0005-0000-0000-00003C090000}"/>
    <cellStyle name="Comma 4 3 2 2 6 2 2 2" xfId="33754" xr:uid="{0FD74152-8D40-4F51-A6CC-90A842D4B62E}"/>
    <cellStyle name="Comma 4 3 2 2 6 2 2 3" xfId="25313" xr:uid="{46DB4820-1A8E-49D8-A3EE-18227EE7D1A9}"/>
    <cellStyle name="Comma 4 3 2 2 6 2 2 4" xfId="16865" xr:uid="{F8210EDE-D4A1-4641-8A4B-9188677D12C3}"/>
    <cellStyle name="Comma 4 3 2 2 6 2 3" xfId="29536" xr:uid="{D9CFBE68-3F27-472B-866C-4F94A4D4641E}"/>
    <cellStyle name="Comma 4 3 2 2 6 2 4" xfId="21095" xr:uid="{1CA85FB9-9E17-40A1-BEF9-7C3C0D4EE18A}"/>
    <cellStyle name="Comma 4 3 2 2 6 2 5" xfId="12647" xr:uid="{D7C388BF-3341-4D35-AB02-B68434346691}"/>
    <cellStyle name="Comma 4 3 2 2 6 3" xfId="6270" xr:uid="{00000000-0005-0000-0000-00003D090000}"/>
    <cellStyle name="Comma 4 3 2 2 6 3 2" xfId="31609" xr:uid="{1747409B-9243-4606-AC6E-76A7996E91E7}"/>
    <cellStyle name="Comma 4 3 2 2 6 3 3" xfId="23168" xr:uid="{EF3FD046-72FB-47FF-86C9-DB25742FDA63}"/>
    <cellStyle name="Comma 4 3 2 2 6 3 4" xfId="14720" xr:uid="{6E576190-0608-4089-831B-79FB032AB98E}"/>
    <cellStyle name="Comma 4 3 2 2 6 4" xfId="27391" xr:uid="{824D8B0B-6034-46C6-9E06-AD7275796B9F}"/>
    <cellStyle name="Comma 4 3 2 2 6 5" xfId="18950" xr:uid="{DCBD42FC-6A7E-473F-A43B-1A9085DD4AC4}"/>
    <cellStyle name="Comma 4 3 2 2 6 6" xfId="10502" xr:uid="{EBEDBB84-5F25-492C-AA34-CF4D37D0F87C}"/>
    <cellStyle name="Comma 4 3 2 2 7" xfId="2399" xr:uid="{00000000-0005-0000-0000-00003E090000}"/>
    <cellStyle name="Comma 4 3 2 2 7 2" xfId="6683" xr:uid="{00000000-0005-0000-0000-00003F090000}"/>
    <cellStyle name="Comma 4 3 2 2 7 2 2" xfId="32022" xr:uid="{FBF1878E-1B93-4184-95AF-CCAD3B20447B}"/>
    <cellStyle name="Comma 4 3 2 2 7 2 3" xfId="23581" xr:uid="{FC1948E5-47A1-481B-9E60-3741FF525B8B}"/>
    <cellStyle name="Comma 4 3 2 2 7 2 4" xfId="15133" xr:uid="{364329BF-2641-4122-ABF4-8D85519A4289}"/>
    <cellStyle name="Comma 4 3 2 2 7 3" xfId="27804" xr:uid="{EE1BD09F-5BF7-43EF-AA38-1D87B91F1D7B}"/>
    <cellStyle name="Comma 4 3 2 2 7 4" xfId="19363" xr:uid="{D12F9C7D-9BCE-49BB-B069-1BFDD40959EE}"/>
    <cellStyle name="Comma 4 3 2 2 7 5" xfId="10915" xr:uid="{052DA21D-2E0B-4C2F-9C21-DBC2183439C3}"/>
    <cellStyle name="Comma 4 3 2 2 8" xfId="2364" xr:uid="{00000000-0005-0000-0000-000040090000}"/>
    <cellStyle name="Comma 4 3 2 2 9" xfId="2777" xr:uid="{00000000-0005-0000-0000-000041090000}"/>
    <cellStyle name="Comma 4 3 2 2 9 2" xfId="7000" xr:uid="{00000000-0005-0000-0000-000042090000}"/>
    <cellStyle name="Comma 4 3 2 2 9 2 2" xfId="32339" xr:uid="{F1C444D7-7B66-4DC6-9DCE-1EF6F847A862}"/>
    <cellStyle name="Comma 4 3 2 2 9 2 3" xfId="23898" xr:uid="{BB38BBA4-05CB-422F-AF7F-A410F4DA9F47}"/>
    <cellStyle name="Comma 4 3 2 2 9 2 4" xfId="15450" xr:uid="{11C892FF-D4E0-4EBB-837B-93976414CC2E}"/>
    <cellStyle name="Comma 4 3 2 2 9 3" xfId="28121" xr:uid="{CFAD883B-B95C-4B4D-B6C0-7E9A9C6E02D4}"/>
    <cellStyle name="Comma 4 3 2 2 9 4" xfId="19680" xr:uid="{216A8ECD-98E7-4017-9893-B73A1A744B04}"/>
    <cellStyle name="Comma 4 3 2 2 9 5" xfId="11232" xr:uid="{9C5C3000-D40D-440F-ABB2-D371D404BA68}"/>
    <cellStyle name="Comma 4 3 2 3" xfId="148" xr:uid="{00000000-0005-0000-0000-000043090000}"/>
    <cellStyle name="Comma 4 3 2 3 10" xfId="25740" xr:uid="{3F99AA70-E432-4C0E-A813-6E18436AE4A0}"/>
    <cellStyle name="Comma 4 3 2 3 11" xfId="17299" xr:uid="{28B61C65-7993-48EC-A920-F45A630EF286}"/>
    <cellStyle name="Comma 4 3 2 3 12" xfId="8851" xr:uid="{97D3A0D8-6066-455A-98E3-B05D6883F2F4}"/>
    <cellStyle name="Comma 4 3 2 3 2" xfId="685" xr:uid="{00000000-0005-0000-0000-000044090000}"/>
    <cellStyle name="Comma 4 3 2 3 2 2" xfId="2956" xr:uid="{00000000-0005-0000-0000-000045090000}"/>
    <cellStyle name="Comma 4 3 2 3 2 2 2" xfId="7178" xr:uid="{00000000-0005-0000-0000-000046090000}"/>
    <cellStyle name="Comma 4 3 2 3 2 2 2 2" xfId="32517" xr:uid="{EC77B174-D470-468A-92CC-E126E4D97A5C}"/>
    <cellStyle name="Comma 4 3 2 3 2 2 2 3" xfId="24076" xr:uid="{8A3680E4-E577-4F7F-8415-5D0C5B9E56BF}"/>
    <cellStyle name="Comma 4 3 2 3 2 2 2 4" xfId="15628" xr:uid="{5C7789E9-2552-4566-A6B5-61A4CF39C45D}"/>
    <cellStyle name="Comma 4 3 2 3 2 2 3" xfId="28299" xr:uid="{BF5FEC21-BF35-4361-9AA7-9D581D76DABB}"/>
    <cellStyle name="Comma 4 3 2 3 2 2 4" xfId="19858" xr:uid="{E9A7D240-E266-4434-9439-FC4D54E1B5A5}"/>
    <cellStyle name="Comma 4 3 2 3 2 2 5" xfId="11410" xr:uid="{5576A83E-F05E-4C91-80C2-E02375616AFA}"/>
    <cellStyle name="Comma 4 3 2 3 2 3" xfId="5033" xr:uid="{00000000-0005-0000-0000-000047090000}"/>
    <cellStyle name="Comma 4 3 2 3 2 3 2" xfId="30372" xr:uid="{747B30CC-57C4-4181-B02E-ED01C3A39679}"/>
    <cellStyle name="Comma 4 3 2 3 2 3 3" xfId="21931" xr:uid="{FA2CE90F-E620-4B9E-8940-6EDB1DF03905}"/>
    <cellStyle name="Comma 4 3 2 3 2 3 4" xfId="13483" xr:uid="{DA5EA237-FC31-4C49-8182-879F4DF1AF92}"/>
    <cellStyle name="Comma 4 3 2 3 2 4" xfId="26154" xr:uid="{FF4F8E05-CFD4-442E-91E3-8D0D1A792A0B}"/>
    <cellStyle name="Comma 4 3 2 3 2 5" xfId="17713" xr:uid="{A48FA992-187F-4281-9D78-953ECF671029}"/>
    <cellStyle name="Comma 4 3 2 3 2 6" xfId="9265" xr:uid="{A43C8EDF-0640-40B4-A294-724C4C807005}"/>
    <cellStyle name="Comma 4 3 2 3 3" xfId="1138" xr:uid="{00000000-0005-0000-0000-000048090000}"/>
    <cellStyle name="Comma 4 3 2 3 3 2" xfId="3369" xr:uid="{00000000-0005-0000-0000-000049090000}"/>
    <cellStyle name="Comma 4 3 2 3 3 2 2" xfId="7591" xr:uid="{00000000-0005-0000-0000-00004A090000}"/>
    <cellStyle name="Comma 4 3 2 3 3 2 2 2" xfId="32930" xr:uid="{1C012180-D225-4688-AFF0-EE10DBDFCC21}"/>
    <cellStyle name="Comma 4 3 2 3 3 2 2 3" xfId="24489" xr:uid="{6A322C4D-347F-48A5-B228-4AA409EBCBE4}"/>
    <cellStyle name="Comma 4 3 2 3 3 2 2 4" xfId="16041" xr:uid="{775447EA-76A4-444D-8BE0-669D75AF4250}"/>
    <cellStyle name="Comma 4 3 2 3 3 2 3" xfId="28712" xr:uid="{7A202090-949E-44C1-8594-59C8C8AED1C0}"/>
    <cellStyle name="Comma 4 3 2 3 3 2 4" xfId="20271" xr:uid="{17D73927-B6A8-41FF-8AB7-8FCBFC8210AC}"/>
    <cellStyle name="Comma 4 3 2 3 3 2 5" xfId="11823" xr:uid="{C2650F6B-958F-4A36-9A25-E6009F12A111}"/>
    <cellStyle name="Comma 4 3 2 3 3 3" xfId="5446" xr:uid="{00000000-0005-0000-0000-00004B090000}"/>
    <cellStyle name="Comma 4 3 2 3 3 3 2" xfId="30785" xr:uid="{AF0C7A0F-2401-4E09-BAEE-A1A092679747}"/>
    <cellStyle name="Comma 4 3 2 3 3 3 3" xfId="22344" xr:uid="{CB4B1BB8-42FF-4002-BF5C-547D92423E5B}"/>
    <cellStyle name="Comma 4 3 2 3 3 3 4" xfId="13896" xr:uid="{C4DD68CD-52FA-4656-B9D5-689ABC0C2C88}"/>
    <cellStyle name="Comma 4 3 2 3 3 4" xfId="26567" xr:uid="{0485ED6D-6CE1-4847-B5FE-82D9769153AC}"/>
    <cellStyle name="Comma 4 3 2 3 3 5" xfId="18126" xr:uid="{7CEE34A4-1FA5-4E08-BDCA-AACE9466C4E4}"/>
    <cellStyle name="Comma 4 3 2 3 3 6" xfId="9678" xr:uid="{1F4C22AF-1EFC-4B3D-BD4D-149AFC55DC68}"/>
    <cellStyle name="Comma 4 3 2 3 4" xfId="1552" xr:uid="{00000000-0005-0000-0000-00004C090000}"/>
    <cellStyle name="Comma 4 3 2 3 4 2" xfId="3782" xr:uid="{00000000-0005-0000-0000-00004D090000}"/>
    <cellStyle name="Comma 4 3 2 3 4 2 2" xfId="8004" xr:uid="{00000000-0005-0000-0000-00004E090000}"/>
    <cellStyle name="Comma 4 3 2 3 4 2 2 2" xfId="33343" xr:uid="{547D3042-F386-49FD-95AF-9795ABC99CBB}"/>
    <cellStyle name="Comma 4 3 2 3 4 2 2 3" xfId="24902" xr:uid="{B89B5D24-B739-4275-9588-91327F322B58}"/>
    <cellStyle name="Comma 4 3 2 3 4 2 2 4" xfId="16454" xr:uid="{06DB6A82-41D2-4C33-8C7D-4E3F87FE1E9F}"/>
    <cellStyle name="Comma 4 3 2 3 4 2 3" xfId="29125" xr:uid="{F56D9B44-8312-47A1-8776-E13E189986C1}"/>
    <cellStyle name="Comma 4 3 2 3 4 2 4" xfId="20684" xr:uid="{871ACEEA-1C45-40BC-8EC3-29CA7722757A}"/>
    <cellStyle name="Comma 4 3 2 3 4 2 5" xfId="12236" xr:uid="{C427692E-023C-4E36-8958-1F8155355B67}"/>
    <cellStyle name="Comma 4 3 2 3 4 3" xfId="5859" xr:uid="{00000000-0005-0000-0000-00004F090000}"/>
    <cellStyle name="Comma 4 3 2 3 4 3 2" xfId="31198" xr:uid="{EFEDD0A3-E5CB-46DB-AE91-28AB967924F7}"/>
    <cellStyle name="Comma 4 3 2 3 4 3 3" xfId="22757" xr:uid="{45564D42-E1CC-443F-A63D-C7401B7B752B}"/>
    <cellStyle name="Comma 4 3 2 3 4 3 4" xfId="14309" xr:uid="{3A5849E0-DB1A-4E91-811E-6AC4F1D92F6D}"/>
    <cellStyle name="Comma 4 3 2 3 4 4" xfId="26980" xr:uid="{3B103F9A-953B-4B39-BA5F-FA933A5B0999}"/>
    <cellStyle name="Comma 4 3 2 3 4 5" xfId="18539" xr:uid="{18648BC9-C690-4204-AE28-949E95E46684}"/>
    <cellStyle name="Comma 4 3 2 3 4 6" xfId="10091" xr:uid="{7DB8FACF-50FF-426E-A92E-DD8970DDD8DD}"/>
    <cellStyle name="Comma 4 3 2 3 5" xfId="1966" xr:uid="{00000000-0005-0000-0000-000050090000}"/>
    <cellStyle name="Comma 4 3 2 3 5 2" xfId="4195" xr:uid="{00000000-0005-0000-0000-000051090000}"/>
    <cellStyle name="Comma 4 3 2 3 5 2 2" xfId="8417" xr:uid="{00000000-0005-0000-0000-000052090000}"/>
    <cellStyle name="Comma 4 3 2 3 5 2 2 2" xfId="33756" xr:uid="{3F9CD637-0311-4DA9-A8BF-89895F26C33C}"/>
    <cellStyle name="Comma 4 3 2 3 5 2 2 3" xfId="25315" xr:uid="{F28ACB2A-8BF2-434A-A5EF-AC4F648A97F0}"/>
    <cellStyle name="Comma 4 3 2 3 5 2 2 4" xfId="16867" xr:uid="{4F9BC588-0CC2-4A7A-AC4F-3A2B1A7C6CA5}"/>
    <cellStyle name="Comma 4 3 2 3 5 2 3" xfId="29538" xr:uid="{D209DA3D-0790-4785-9BAA-587E88E183BF}"/>
    <cellStyle name="Comma 4 3 2 3 5 2 4" xfId="21097" xr:uid="{5A41AFA0-F414-4842-B77C-A2CC3555B4DC}"/>
    <cellStyle name="Comma 4 3 2 3 5 2 5" xfId="12649" xr:uid="{DDFAB429-365C-4317-A17F-EA3D3D78F480}"/>
    <cellStyle name="Comma 4 3 2 3 5 3" xfId="6272" xr:uid="{00000000-0005-0000-0000-000053090000}"/>
    <cellStyle name="Comma 4 3 2 3 5 3 2" xfId="31611" xr:uid="{5F720F4F-2715-4D56-92D1-F73D471635C9}"/>
    <cellStyle name="Comma 4 3 2 3 5 3 3" xfId="23170" xr:uid="{4695C86D-6B13-4958-ABD6-00D5C79B5C4C}"/>
    <cellStyle name="Comma 4 3 2 3 5 3 4" xfId="14722" xr:uid="{2940A96B-92DC-478D-8219-9E12770C35C0}"/>
    <cellStyle name="Comma 4 3 2 3 5 4" xfId="27393" xr:uid="{8B0C05BD-9FE2-43C6-8C61-F90D246CBC76}"/>
    <cellStyle name="Comma 4 3 2 3 5 5" xfId="18952" xr:uid="{2F154AA3-43E9-4C1F-B77C-76DADE848F10}"/>
    <cellStyle name="Comma 4 3 2 3 5 6" xfId="10504" xr:uid="{FBF8DCEE-CB17-4D14-9E96-7D11A2FE0342}"/>
    <cellStyle name="Comma 4 3 2 3 6" xfId="2401" xr:uid="{00000000-0005-0000-0000-000054090000}"/>
    <cellStyle name="Comma 4 3 2 3 6 2" xfId="6685" xr:uid="{00000000-0005-0000-0000-000055090000}"/>
    <cellStyle name="Comma 4 3 2 3 6 2 2" xfId="32024" xr:uid="{30855779-69A8-4578-A4E4-C60978302CE2}"/>
    <cellStyle name="Comma 4 3 2 3 6 2 3" xfId="23583" xr:uid="{30F92E4B-063B-482C-A953-0C97A2F06F3C}"/>
    <cellStyle name="Comma 4 3 2 3 6 2 4" xfId="15135" xr:uid="{AA02E03E-35CE-4C44-BBAD-FAFA7E4BD940}"/>
    <cellStyle name="Comma 4 3 2 3 6 3" xfId="27806" xr:uid="{D255E84A-A4A5-4DF5-B968-4539F8E65677}"/>
    <cellStyle name="Comma 4 3 2 3 6 4" xfId="19365" xr:uid="{A69274D7-781F-4DA2-A72C-34256400B2D9}"/>
    <cellStyle name="Comma 4 3 2 3 6 5" xfId="10917" xr:uid="{04482FD5-4F73-4CAF-B79A-8A09145A97B1}"/>
    <cellStyle name="Comma 4 3 2 3 7" xfId="2362" xr:uid="{00000000-0005-0000-0000-000056090000}"/>
    <cellStyle name="Comma 4 3 2 3 8" xfId="2779" xr:uid="{00000000-0005-0000-0000-000057090000}"/>
    <cellStyle name="Comma 4 3 2 3 8 2" xfId="7002" xr:uid="{00000000-0005-0000-0000-000058090000}"/>
    <cellStyle name="Comma 4 3 2 3 8 2 2" xfId="32341" xr:uid="{2C3A2F3C-578A-400F-B361-ABF85AA5F4B7}"/>
    <cellStyle name="Comma 4 3 2 3 8 2 3" xfId="23900" xr:uid="{3810712F-512F-4C09-8D13-D67A78EC78E5}"/>
    <cellStyle name="Comma 4 3 2 3 8 2 4" xfId="15452" xr:uid="{C9548992-4B31-4366-8A21-3DA184372ABA}"/>
    <cellStyle name="Comma 4 3 2 3 8 3" xfId="28123" xr:uid="{5FC54EA3-CB35-4474-9878-3FD0A40A01BE}"/>
    <cellStyle name="Comma 4 3 2 3 8 4" xfId="19682" xr:uid="{9F6ECC06-EB54-4E0A-B367-3898ECAEF3E7}"/>
    <cellStyle name="Comma 4 3 2 3 8 5" xfId="11234" xr:uid="{F06E7A09-14D6-4E9A-934D-F1FCB8897B56}"/>
    <cellStyle name="Comma 4 3 2 3 9" xfId="4619" xr:uid="{00000000-0005-0000-0000-000059090000}"/>
    <cellStyle name="Comma 4 3 2 3 9 2" xfId="29958" xr:uid="{897EC300-5221-45CA-8CC7-22D5F1349802}"/>
    <cellStyle name="Comma 4 3 2 3 9 3" xfId="21517" xr:uid="{096CE489-562D-465D-BCD1-D4043CD65CF2}"/>
    <cellStyle name="Comma 4 3 2 3 9 4" xfId="13069" xr:uid="{14572E4F-7A57-48F8-8396-3CCFF052FCD8}"/>
    <cellStyle name="Comma 4 3 2 4" xfId="682" xr:uid="{00000000-0005-0000-0000-00005A090000}"/>
    <cellStyle name="Comma 4 3 2 4 2" xfId="2953" xr:uid="{00000000-0005-0000-0000-00005B090000}"/>
    <cellStyle name="Comma 4 3 2 4 2 2" xfId="7175" xr:uid="{00000000-0005-0000-0000-00005C090000}"/>
    <cellStyle name="Comma 4 3 2 4 2 2 2" xfId="32514" xr:uid="{D084F25A-FAA3-4EED-866B-BDCD6C845241}"/>
    <cellStyle name="Comma 4 3 2 4 2 2 3" xfId="24073" xr:uid="{96681D80-FE48-4143-BBDA-3E5988F5A89F}"/>
    <cellStyle name="Comma 4 3 2 4 2 2 4" xfId="15625" xr:uid="{E0B30DC1-BD2D-4BB2-BBC0-0957FDE04AD3}"/>
    <cellStyle name="Comma 4 3 2 4 2 3" xfId="28296" xr:uid="{1D332ADD-562C-47BD-885C-D4B570FAE227}"/>
    <cellStyle name="Comma 4 3 2 4 2 4" xfId="19855" xr:uid="{5268F0C0-7C48-4DDF-BD52-774730DA8300}"/>
    <cellStyle name="Comma 4 3 2 4 2 5" xfId="11407" xr:uid="{D111DEC8-0EDC-4D7A-85F3-041DC04B0A58}"/>
    <cellStyle name="Comma 4 3 2 4 3" xfId="5030" xr:uid="{00000000-0005-0000-0000-00005D090000}"/>
    <cellStyle name="Comma 4 3 2 4 3 2" xfId="30369" xr:uid="{808295AB-BCD7-4C8F-9889-5385A38D1E92}"/>
    <cellStyle name="Comma 4 3 2 4 3 3" xfId="21928" xr:uid="{C6238680-D1F1-4C87-A82C-DB4ED1874579}"/>
    <cellStyle name="Comma 4 3 2 4 3 4" xfId="13480" xr:uid="{91F24F4B-F3A6-4D5E-8458-76654E12DF0D}"/>
    <cellStyle name="Comma 4 3 2 4 4" xfId="26151" xr:uid="{BFA1274E-33EA-4A43-9781-A7E1C24B5C44}"/>
    <cellStyle name="Comma 4 3 2 4 5" xfId="17710" xr:uid="{6A7F26B7-7648-4919-B970-7E89E314C357}"/>
    <cellStyle name="Comma 4 3 2 4 6" xfId="9262" xr:uid="{1BBDC2F0-3824-4842-ABB0-B529E884AB34}"/>
    <cellStyle name="Comma 4 3 2 5" xfId="1135" xr:uid="{00000000-0005-0000-0000-00005E090000}"/>
    <cellStyle name="Comma 4 3 2 5 2" xfId="3366" xr:uid="{00000000-0005-0000-0000-00005F090000}"/>
    <cellStyle name="Comma 4 3 2 5 2 2" xfId="7588" xr:uid="{00000000-0005-0000-0000-000060090000}"/>
    <cellStyle name="Comma 4 3 2 5 2 2 2" xfId="32927" xr:uid="{0A5CFA95-C254-4888-B064-93E287775A8A}"/>
    <cellStyle name="Comma 4 3 2 5 2 2 3" xfId="24486" xr:uid="{AC793D49-7211-4D16-B1E1-BF9E614C3E52}"/>
    <cellStyle name="Comma 4 3 2 5 2 2 4" xfId="16038" xr:uid="{F08E9E0E-6EA6-4363-A475-E5CC6ACC0633}"/>
    <cellStyle name="Comma 4 3 2 5 2 3" xfId="28709" xr:uid="{FB873DED-4E0C-4208-B513-64043DD84F41}"/>
    <cellStyle name="Comma 4 3 2 5 2 4" xfId="20268" xr:uid="{48B8F1D8-EFDF-47AD-B73B-387F808F95A0}"/>
    <cellStyle name="Comma 4 3 2 5 2 5" xfId="11820" xr:uid="{99303C7E-E3B2-4C64-AA89-E2DC06852FF2}"/>
    <cellStyle name="Comma 4 3 2 5 3" xfId="5443" xr:uid="{00000000-0005-0000-0000-000061090000}"/>
    <cellStyle name="Comma 4 3 2 5 3 2" xfId="30782" xr:uid="{57CA4EF9-45FC-404A-944F-B44D05B0689E}"/>
    <cellStyle name="Comma 4 3 2 5 3 3" xfId="22341" xr:uid="{FD09A1E0-0BC4-4D1B-B5ED-15F5E461DA46}"/>
    <cellStyle name="Comma 4 3 2 5 3 4" xfId="13893" xr:uid="{66A8C4E9-353E-4827-882C-69B33F5A7D63}"/>
    <cellStyle name="Comma 4 3 2 5 4" xfId="26564" xr:uid="{E9C6CE80-E859-418D-8121-E80C99E149B4}"/>
    <cellStyle name="Comma 4 3 2 5 5" xfId="18123" xr:uid="{8FD5BB5F-D341-40F7-863B-7827DC94B72F}"/>
    <cellStyle name="Comma 4 3 2 5 6" xfId="9675" xr:uid="{FC88D05E-0609-4AC1-9F67-B83A6EAEBA8B}"/>
    <cellStyle name="Comma 4 3 2 6" xfId="1549" xr:uid="{00000000-0005-0000-0000-000062090000}"/>
    <cellStyle name="Comma 4 3 2 6 2" xfId="3779" xr:uid="{00000000-0005-0000-0000-000063090000}"/>
    <cellStyle name="Comma 4 3 2 6 2 2" xfId="8001" xr:uid="{00000000-0005-0000-0000-000064090000}"/>
    <cellStyle name="Comma 4 3 2 6 2 2 2" xfId="33340" xr:uid="{B3DA5AA7-12DE-4DD0-A5C5-E759CE41A10B}"/>
    <cellStyle name="Comma 4 3 2 6 2 2 3" xfId="24899" xr:uid="{A3E335B7-C9D2-45F0-A829-D4FC13603EE3}"/>
    <cellStyle name="Comma 4 3 2 6 2 2 4" xfId="16451" xr:uid="{22289789-5B71-48F5-9501-1E038AF66606}"/>
    <cellStyle name="Comma 4 3 2 6 2 3" xfId="29122" xr:uid="{7E26F969-1297-4D99-B466-3395D6225637}"/>
    <cellStyle name="Comma 4 3 2 6 2 4" xfId="20681" xr:uid="{F1590FE9-1BEE-4CC7-A809-8F09619CB1C5}"/>
    <cellStyle name="Comma 4 3 2 6 2 5" xfId="12233" xr:uid="{E92CCB46-9245-431B-9D7C-84A504F5A762}"/>
    <cellStyle name="Comma 4 3 2 6 3" xfId="5856" xr:uid="{00000000-0005-0000-0000-000065090000}"/>
    <cellStyle name="Comma 4 3 2 6 3 2" xfId="31195" xr:uid="{EB09D902-35B5-476E-A25A-A2B30690D8E9}"/>
    <cellStyle name="Comma 4 3 2 6 3 3" xfId="22754" xr:uid="{AAAF6566-3207-458D-AD6F-DBEC67AC0F15}"/>
    <cellStyle name="Comma 4 3 2 6 3 4" xfId="14306" xr:uid="{4B32309E-0772-4476-A23D-BA62531DAFA6}"/>
    <cellStyle name="Comma 4 3 2 6 4" xfId="26977" xr:uid="{235427AD-0CD7-40D4-9ADE-13B562CBA622}"/>
    <cellStyle name="Comma 4 3 2 6 5" xfId="18536" xr:uid="{2BFD27EA-8EBB-499C-A408-3B2A3634FFFF}"/>
    <cellStyle name="Comma 4 3 2 6 6" xfId="10088" xr:uid="{8C5CD29F-A7A1-494D-8DA8-A484CB4617D7}"/>
    <cellStyle name="Comma 4 3 2 7" xfId="1963" xr:uid="{00000000-0005-0000-0000-000066090000}"/>
    <cellStyle name="Comma 4 3 2 7 2" xfId="4192" xr:uid="{00000000-0005-0000-0000-000067090000}"/>
    <cellStyle name="Comma 4 3 2 7 2 2" xfId="8414" xr:uid="{00000000-0005-0000-0000-000068090000}"/>
    <cellStyle name="Comma 4 3 2 7 2 2 2" xfId="33753" xr:uid="{C69CFC1E-7A3D-471E-A858-1F3D60D020EC}"/>
    <cellStyle name="Comma 4 3 2 7 2 2 3" xfId="25312" xr:uid="{3DEF7F26-3D19-4D11-8C9B-013347BAC19E}"/>
    <cellStyle name="Comma 4 3 2 7 2 2 4" xfId="16864" xr:uid="{1BFCC777-9A15-413E-B79C-82CA8115C979}"/>
    <cellStyle name="Comma 4 3 2 7 2 3" xfId="29535" xr:uid="{8ADDC6B0-CE5B-469D-92CC-025D7C4C61FE}"/>
    <cellStyle name="Comma 4 3 2 7 2 4" xfId="21094" xr:uid="{120E2097-D671-4B84-AB9C-5E023D5F167A}"/>
    <cellStyle name="Comma 4 3 2 7 2 5" xfId="12646" xr:uid="{C100D73F-F232-45DF-838F-F330C6DB314D}"/>
    <cellStyle name="Comma 4 3 2 7 3" xfId="6269" xr:uid="{00000000-0005-0000-0000-000069090000}"/>
    <cellStyle name="Comma 4 3 2 7 3 2" xfId="31608" xr:uid="{0D7C97DD-909D-44FD-82ED-14942B0CFA11}"/>
    <cellStyle name="Comma 4 3 2 7 3 3" xfId="23167" xr:uid="{FAE326A6-A00A-4B00-B13B-C0966340F3B5}"/>
    <cellStyle name="Comma 4 3 2 7 3 4" xfId="14719" xr:uid="{0B9DECFA-2720-4F72-AF12-C89C5418F723}"/>
    <cellStyle name="Comma 4 3 2 7 4" xfId="27390" xr:uid="{7A13F485-0D00-4C49-8C65-EE8B46052595}"/>
    <cellStyle name="Comma 4 3 2 7 5" xfId="18949" xr:uid="{057D5AB6-4768-469E-B9F5-459008F35A7A}"/>
    <cellStyle name="Comma 4 3 2 7 6" xfId="10501" xr:uid="{F62F35C9-749D-4E54-B698-2A6758FB6490}"/>
    <cellStyle name="Comma 4 3 2 8" xfId="2398" xr:uid="{00000000-0005-0000-0000-00006A090000}"/>
    <cellStyle name="Comma 4 3 2 8 2" xfId="6682" xr:uid="{00000000-0005-0000-0000-00006B090000}"/>
    <cellStyle name="Comma 4 3 2 8 2 2" xfId="32021" xr:uid="{59AE340D-D7D4-4EC4-B9D4-C1DB8EDC8AA0}"/>
    <cellStyle name="Comma 4 3 2 8 2 3" xfId="23580" xr:uid="{E530B68C-A4C9-4BA5-864E-A463F48BC660}"/>
    <cellStyle name="Comma 4 3 2 8 2 4" xfId="15132" xr:uid="{4C73EB01-9776-4108-87CE-4C287561A7BF}"/>
    <cellStyle name="Comma 4 3 2 8 3" xfId="27803" xr:uid="{6ADB0FB4-D38A-4302-B7E8-656BF39A6A6E}"/>
    <cellStyle name="Comma 4 3 2 8 4" xfId="19362" xr:uid="{92835E41-337D-400F-80F3-15B941C29A87}"/>
    <cellStyle name="Comma 4 3 2 8 5" xfId="10914" xr:uid="{2070DAE9-223D-4F1F-A950-9A13922A95F8}"/>
    <cellStyle name="Comma 4 3 2 9" xfId="2365" xr:uid="{00000000-0005-0000-0000-00006C090000}"/>
    <cellStyle name="Comma 4 3 3" xfId="149" xr:uid="{00000000-0005-0000-0000-00006D090000}"/>
    <cellStyle name="Comma 4 3 3 10" xfId="4620" xr:uid="{00000000-0005-0000-0000-00006E090000}"/>
    <cellStyle name="Comma 4 3 3 10 2" xfId="29959" xr:uid="{5ABB68B0-D600-47DA-8564-DBA9E7FFC423}"/>
    <cellStyle name="Comma 4 3 3 10 3" xfId="21518" xr:uid="{F1683A3C-6941-4BC7-93BA-68CA9777D8BD}"/>
    <cellStyle name="Comma 4 3 3 10 4" xfId="13070" xr:uid="{F77A1912-96B7-4119-923C-A80D903902B1}"/>
    <cellStyle name="Comma 4 3 3 11" xfId="25741" xr:uid="{5D6FC794-CF02-402E-A313-2EA386951320}"/>
    <cellStyle name="Comma 4 3 3 12" xfId="17300" xr:uid="{543867E5-99EE-447B-BC53-6DB65AB89BB1}"/>
    <cellStyle name="Comma 4 3 3 13" xfId="8852" xr:uid="{30B2E26A-7AD0-4467-81EC-146AD0237AEC}"/>
    <cellStyle name="Comma 4 3 3 2" xfId="150" xr:uid="{00000000-0005-0000-0000-00006F090000}"/>
    <cellStyle name="Comma 4 3 3 2 10" xfId="25742" xr:uid="{29810F48-549B-44B2-9F3C-99F7298CC54C}"/>
    <cellStyle name="Comma 4 3 3 2 11" xfId="17301" xr:uid="{043959F5-21AC-4B04-97A6-4D47D15E1E08}"/>
    <cellStyle name="Comma 4 3 3 2 12" xfId="8853" xr:uid="{68C4D4CA-F3BE-46E5-B856-DE1350F6CB12}"/>
    <cellStyle name="Comma 4 3 3 2 2" xfId="687" xr:uid="{00000000-0005-0000-0000-000070090000}"/>
    <cellStyle name="Comma 4 3 3 2 2 2" xfId="2958" xr:uid="{00000000-0005-0000-0000-000071090000}"/>
    <cellStyle name="Comma 4 3 3 2 2 2 2" xfId="7180" xr:uid="{00000000-0005-0000-0000-000072090000}"/>
    <cellStyle name="Comma 4 3 3 2 2 2 2 2" xfId="32519" xr:uid="{BE8475C8-C561-4EC0-A965-BDE53D002C06}"/>
    <cellStyle name="Comma 4 3 3 2 2 2 2 3" xfId="24078" xr:uid="{246152BA-64C0-414F-BC5E-761418BA3E46}"/>
    <cellStyle name="Comma 4 3 3 2 2 2 2 4" xfId="15630" xr:uid="{0CBC5B53-7BA5-4953-BDD8-94F13CA23CFE}"/>
    <cellStyle name="Comma 4 3 3 2 2 2 3" xfId="28301" xr:uid="{DD9B597E-9675-4A3D-8D73-169083743E96}"/>
    <cellStyle name="Comma 4 3 3 2 2 2 4" xfId="19860" xr:uid="{65C97D2B-03B8-4472-8D1B-E9850540DA05}"/>
    <cellStyle name="Comma 4 3 3 2 2 2 5" xfId="11412" xr:uid="{627A1754-0F66-422E-AFAC-8EFB21B80854}"/>
    <cellStyle name="Comma 4 3 3 2 2 3" xfId="5035" xr:uid="{00000000-0005-0000-0000-000073090000}"/>
    <cellStyle name="Comma 4 3 3 2 2 3 2" xfId="30374" xr:uid="{1111A4B9-2C42-436D-AA90-D992A2EBF965}"/>
    <cellStyle name="Comma 4 3 3 2 2 3 3" xfId="21933" xr:uid="{E42E2ABB-00B8-4727-AD5E-8E15263AA1B8}"/>
    <cellStyle name="Comma 4 3 3 2 2 3 4" xfId="13485" xr:uid="{DF3240F2-381F-4134-BAD8-9DF03C64DE58}"/>
    <cellStyle name="Comma 4 3 3 2 2 4" xfId="26156" xr:uid="{BBF7B26A-72A5-4967-8B7A-3046893C27EF}"/>
    <cellStyle name="Comma 4 3 3 2 2 5" xfId="17715" xr:uid="{1188138C-C433-4861-918C-81A93F50C4C8}"/>
    <cellStyle name="Comma 4 3 3 2 2 6" xfId="9267" xr:uid="{DB9FFDE7-1E6D-4385-AA1A-ACE610D07EBD}"/>
    <cellStyle name="Comma 4 3 3 2 3" xfId="1140" xr:uid="{00000000-0005-0000-0000-000074090000}"/>
    <cellStyle name="Comma 4 3 3 2 3 2" xfId="3371" xr:uid="{00000000-0005-0000-0000-000075090000}"/>
    <cellStyle name="Comma 4 3 3 2 3 2 2" xfId="7593" xr:uid="{00000000-0005-0000-0000-000076090000}"/>
    <cellStyle name="Comma 4 3 3 2 3 2 2 2" xfId="32932" xr:uid="{86E2C411-0FEB-40B9-9E0A-68CC87654461}"/>
    <cellStyle name="Comma 4 3 3 2 3 2 2 3" xfId="24491" xr:uid="{470C4230-7E4A-423C-B2D4-E2DDAA11E7C9}"/>
    <cellStyle name="Comma 4 3 3 2 3 2 2 4" xfId="16043" xr:uid="{0BF7899C-3F9F-498A-8A98-35AA465BD47B}"/>
    <cellStyle name="Comma 4 3 3 2 3 2 3" xfId="28714" xr:uid="{38B7B086-1941-42DA-9EB4-8F7C60A0B02B}"/>
    <cellStyle name="Comma 4 3 3 2 3 2 4" xfId="20273" xr:uid="{292E9A01-E493-42D5-B60C-1AF7992CDB37}"/>
    <cellStyle name="Comma 4 3 3 2 3 2 5" xfId="11825" xr:uid="{28411DF5-CDDA-42EA-B43E-719DE8DEDFB8}"/>
    <cellStyle name="Comma 4 3 3 2 3 3" xfId="5448" xr:uid="{00000000-0005-0000-0000-000077090000}"/>
    <cellStyle name="Comma 4 3 3 2 3 3 2" xfId="30787" xr:uid="{777407F1-9415-4BE0-8ABC-ACB991ED2C16}"/>
    <cellStyle name="Comma 4 3 3 2 3 3 3" xfId="22346" xr:uid="{800CF11F-B3D1-4107-B084-768CF6D0A73A}"/>
    <cellStyle name="Comma 4 3 3 2 3 3 4" xfId="13898" xr:uid="{35EF7BC8-5C3B-49BF-A624-3DF54CC696C5}"/>
    <cellStyle name="Comma 4 3 3 2 3 4" xfId="26569" xr:uid="{926873E8-4529-4E9D-8C04-AE087F16AFD3}"/>
    <cellStyle name="Comma 4 3 3 2 3 5" xfId="18128" xr:uid="{AC7E0ABF-38BB-498D-862E-0BCC8046F716}"/>
    <cellStyle name="Comma 4 3 3 2 3 6" xfId="9680" xr:uid="{67288975-E66A-488B-9B30-FB3759112E86}"/>
    <cellStyle name="Comma 4 3 3 2 4" xfId="1554" xr:uid="{00000000-0005-0000-0000-000078090000}"/>
    <cellStyle name="Comma 4 3 3 2 4 2" xfId="3784" xr:uid="{00000000-0005-0000-0000-000079090000}"/>
    <cellStyle name="Comma 4 3 3 2 4 2 2" xfId="8006" xr:uid="{00000000-0005-0000-0000-00007A090000}"/>
    <cellStyle name="Comma 4 3 3 2 4 2 2 2" xfId="33345" xr:uid="{2EDFB682-CACA-4D87-9B99-47DD123052E6}"/>
    <cellStyle name="Comma 4 3 3 2 4 2 2 3" xfId="24904" xr:uid="{43B1DEE4-D64C-4753-8248-469AF9A26B77}"/>
    <cellStyle name="Comma 4 3 3 2 4 2 2 4" xfId="16456" xr:uid="{73041AEC-4723-4416-9E22-DE6BCA7BC6D2}"/>
    <cellStyle name="Comma 4 3 3 2 4 2 3" xfId="29127" xr:uid="{EC528CF0-338D-4DAF-B05A-97B14D8A4BEA}"/>
    <cellStyle name="Comma 4 3 3 2 4 2 4" xfId="20686" xr:uid="{8C5FED94-5A4D-49A6-9C3A-6ECEB1466FA9}"/>
    <cellStyle name="Comma 4 3 3 2 4 2 5" xfId="12238" xr:uid="{D4E7BCA5-ADC9-47D9-88EA-F6E46CFE9EE4}"/>
    <cellStyle name="Comma 4 3 3 2 4 3" xfId="5861" xr:uid="{00000000-0005-0000-0000-00007B090000}"/>
    <cellStyle name="Comma 4 3 3 2 4 3 2" xfId="31200" xr:uid="{8AE6CD56-C649-4794-9C86-1A803B961606}"/>
    <cellStyle name="Comma 4 3 3 2 4 3 3" xfId="22759" xr:uid="{E40983D1-C244-40E0-A302-34449BC06D52}"/>
    <cellStyle name="Comma 4 3 3 2 4 3 4" xfId="14311" xr:uid="{C7F84A75-1674-46BC-AFBF-68E7F5DC64CF}"/>
    <cellStyle name="Comma 4 3 3 2 4 4" xfId="26982" xr:uid="{8252D16A-9430-4745-A035-26D3E0A86585}"/>
    <cellStyle name="Comma 4 3 3 2 4 5" xfId="18541" xr:uid="{79EEDF94-E04B-4A00-A68D-52919FADE67A}"/>
    <cellStyle name="Comma 4 3 3 2 4 6" xfId="10093" xr:uid="{27B11885-7D00-4EC8-ADE3-11693F0BEBEF}"/>
    <cellStyle name="Comma 4 3 3 2 5" xfId="1968" xr:uid="{00000000-0005-0000-0000-00007C090000}"/>
    <cellStyle name="Comma 4 3 3 2 5 2" xfId="4197" xr:uid="{00000000-0005-0000-0000-00007D090000}"/>
    <cellStyle name="Comma 4 3 3 2 5 2 2" xfId="8419" xr:uid="{00000000-0005-0000-0000-00007E090000}"/>
    <cellStyle name="Comma 4 3 3 2 5 2 2 2" xfId="33758" xr:uid="{F0EC16E3-7CB3-4379-8635-15B5833F52A3}"/>
    <cellStyle name="Comma 4 3 3 2 5 2 2 3" xfId="25317" xr:uid="{C7E8D223-66C3-4C3A-9E0F-5B2E2FF6DC7D}"/>
    <cellStyle name="Comma 4 3 3 2 5 2 2 4" xfId="16869" xr:uid="{5D09497B-985F-4C2D-857A-AEB5CFAABCEE}"/>
    <cellStyle name="Comma 4 3 3 2 5 2 3" xfId="29540" xr:uid="{00A11620-1BDE-482B-A080-08BF3F976B7A}"/>
    <cellStyle name="Comma 4 3 3 2 5 2 4" xfId="21099" xr:uid="{C7C972EA-CD78-44E2-9EAF-FF81D92C14DC}"/>
    <cellStyle name="Comma 4 3 3 2 5 2 5" xfId="12651" xr:uid="{D1CFD90C-0DE8-4F4A-B376-9063C52237BB}"/>
    <cellStyle name="Comma 4 3 3 2 5 3" xfId="6274" xr:uid="{00000000-0005-0000-0000-00007F090000}"/>
    <cellStyle name="Comma 4 3 3 2 5 3 2" xfId="31613" xr:uid="{5FB5D9AE-D03D-4F8D-8446-9D0186FD4236}"/>
    <cellStyle name="Comma 4 3 3 2 5 3 3" xfId="23172" xr:uid="{705A39A0-A2AC-4A81-AC8E-B751AD9AD538}"/>
    <cellStyle name="Comma 4 3 3 2 5 3 4" xfId="14724" xr:uid="{D0DA889E-D1DA-456B-8D11-98B82C5657DF}"/>
    <cellStyle name="Comma 4 3 3 2 5 4" xfId="27395" xr:uid="{437927A8-F01C-4B21-A7F2-446D7429DA4A}"/>
    <cellStyle name="Comma 4 3 3 2 5 5" xfId="18954" xr:uid="{8E2A1626-544F-4444-BFF4-2AB39F24C122}"/>
    <cellStyle name="Comma 4 3 3 2 5 6" xfId="10506" xr:uid="{59FFE134-DD65-4265-B726-9D35339F5713}"/>
    <cellStyle name="Comma 4 3 3 2 6" xfId="2403" xr:uid="{00000000-0005-0000-0000-000080090000}"/>
    <cellStyle name="Comma 4 3 3 2 6 2" xfId="6687" xr:uid="{00000000-0005-0000-0000-000081090000}"/>
    <cellStyle name="Comma 4 3 3 2 6 2 2" xfId="32026" xr:uid="{3A32DC9B-EB87-445C-B25D-F9590E2857AE}"/>
    <cellStyle name="Comma 4 3 3 2 6 2 3" xfId="23585" xr:uid="{23318E48-5127-4CCA-9538-C619429E9363}"/>
    <cellStyle name="Comma 4 3 3 2 6 2 4" xfId="15137" xr:uid="{80562730-506F-48D6-8E4B-0FCEF5B96372}"/>
    <cellStyle name="Comma 4 3 3 2 6 3" xfId="27808" xr:uid="{718F17D1-B210-466A-A5E8-8B3AE1675FAB}"/>
    <cellStyle name="Comma 4 3 3 2 6 4" xfId="19367" xr:uid="{77B6A565-24FC-4B40-A8BC-156C940AEB16}"/>
    <cellStyle name="Comma 4 3 3 2 6 5" xfId="10919" xr:uid="{E146FB17-C091-45C1-9BBC-A43EDE9AE28C}"/>
    <cellStyle name="Comma 4 3 3 2 7" xfId="2360" xr:uid="{00000000-0005-0000-0000-000082090000}"/>
    <cellStyle name="Comma 4 3 3 2 8" xfId="2781" xr:uid="{00000000-0005-0000-0000-000083090000}"/>
    <cellStyle name="Comma 4 3 3 2 8 2" xfId="7004" xr:uid="{00000000-0005-0000-0000-000084090000}"/>
    <cellStyle name="Comma 4 3 3 2 8 2 2" xfId="32343" xr:uid="{39E36A51-3090-4DC5-AC25-4427C62F8612}"/>
    <cellStyle name="Comma 4 3 3 2 8 2 3" xfId="23902" xr:uid="{78DA14C8-A4C1-49B3-8826-D0B9124AFF4C}"/>
    <cellStyle name="Comma 4 3 3 2 8 2 4" xfId="15454" xr:uid="{33918859-2CC6-466B-9CA9-54586AACE4EA}"/>
    <cellStyle name="Comma 4 3 3 2 8 3" xfId="28125" xr:uid="{1FEC7F5A-59C7-4028-A2C4-6F6F6F31A8DF}"/>
    <cellStyle name="Comma 4 3 3 2 8 4" xfId="19684" xr:uid="{C2CB0469-DE4D-49A1-9B40-D7323DEBC1AF}"/>
    <cellStyle name="Comma 4 3 3 2 8 5" xfId="11236" xr:uid="{0A1A2CDA-D454-42DB-8068-BFF64570E63F}"/>
    <cellStyle name="Comma 4 3 3 2 9" xfId="4621" xr:uid="{00000000-0005-0000-0000-000085090000}"/>
    <cellStyle name="Comma 4 3 3 2 9 2" xfId="29960" xr:uid="{7ECA9571-0503-4E5D-84FE-EC3188790C3A}"/>
    <cellStyle name="Comma 4 3 3 2 9 3" xfId="21519" xr:uid="{D708DF9D-232A-4E45-9A4E-ECBDB64F95DD}"/>
    <cellStyle name="Comma 4 3 3 2 9 4" xfId="13071" xr:uid="{6AC404E7-2EF7-445F-9122-FD273341F92E}"/>
    <cellStyle name="Comma 4 3 3 3" xfId="686" xr:uid="{00000000-0005-0000-0000-000086090000}"/>
    <cellStyle name="Comma 4 3 3 3 2" xfId="2957" xr:uid="{00000000-0005-0000-0000-000087090000}"/>
    <cellStyle name="Comma 4 3 3 3 2 2" xfId="7179" xr:uid="{00000000-0005-0000-0000-000088090000}"/>
    <cellStyle name="Comma 4 3 3 3 2 2 2" xfId="32518" xr:uid="{2FE12644-7168-41DA-8D3F-7503DE0768C5}"/>
    <cellStyle name="Comma 4 3 3 3 2 2 3" xfId="24077" xr:uid="{65EC196B-90F1-4F8C-B8B2-497A5C5E8549}"/>
    <cellStyle name="Comma 4 3 3 3 2 2 4" xfId="15629" xr:uid="{215846BE-0041-4769-ACDB-B02C09B88323}"/>
    <cellStyle name="Comma 4 3 3 3 2 3" xfId="28300" xr:uid="{D5EA8850-5D31-47D4-B6EC-0CD524B9D393}"/>
    <cellStyle name="Comma 4 3 3 3 2 4" xfId="19859" xr:uid="{FFC1962D-9D11-4C82-A298-C700410A0B4E}"/>
    <cellStyle name="Comma 4 3 3 3 2 5" xfId="11411" xr:uid="{FBBB4CB0-75FF-4666-BAA7-E44A951D9D88}"/>
    <cellStyle name="Comma 4 3 3 3 3" xfId="5034" xr:uid="{00000000-0005-0000-0000-000089090000}"/>
    <cellStyle name="Comma 4 3 3 3 3 2" xfId="30373" xr:uid="{52AA5F41-D9BB-42BC-B0A0-646599CA59C7}"/>
    <cellStyle name="Comma 4 3 3 3 3 3" xfId="21932" xr:uid="{F2BB90AE-7154-46D6-A3F6-87960E0C2802}"/>
    <cellStyle name="Comma 4 3 3 3 3 4" xfId="13484" xr:uid="{BF7AA407-110E-4C21-B9FB-D4CDC27054C5}"/>
    <cellStyle name="Comma 4 3 3 3 4" xfId="26155" xr:uid="{7A0A03FB-90C9-41FD-8687-9ECC2F4CE2F8}"/>
    <cellStyle name="Comma 4 3 3 3 5" xfId="17714" xr:uid="{414810AC-6334-4CF2-B088-6237E6FB7826}"/>
    <cellStyle name="Comma 4 3 3 3 6" xfId="9266" xr:uid="{396004DA-E927-4D75-9EC4-FCF362438326}"/>
    <cellStyle name="Comma 4 3 3 4" xfId="1139" xr:uid="{00000000-0005-0000-0000-00008A090000}"/>
    <cellStyle name="Comma 4 3 3 4 2" xfId="3370" xr:uid="{00000000-0005-0000-0000-00008B090000}"/>
    <cellStyle name="Comma 4 3 3 4 2 2" xfId="7592" xr:uid="{00000000-0005-0000-0000-00008C090000}"/>
    <cellStyle name="Comma 4 3 3 4 2 2 2" xfId="32931" xr:uid="{EC1FD7C3-7ADF-42AC-9856-A60AB42D1224}"/>
    <cellStyle name="Comma 4 3 3 4 2 2 3" xfId="24490" xr:uid="{B87B5758-BB90-413D-BB9E-19AF6257029C}"/>
    <cellStyle name="Comma 4 3 3 4 2 2 4" xfId="16042" xr:uid="{88AAF9E9-B375-4B51-8DDA-4F3422AC6EDA}"/>
    <cellStyle name="Comma 4 3 3 4 2 3" xfId="28713" xr:uid="{30C0F5FE-1EA8-4B12-865C-2EE5E601A084}"/>
    <cellStyle name="Comma 4 3 3 4 2 4" xfId="20272" xr:uid="{60E3B2DE-524D-4A77-9B22-F51F9481DBD6}"/>
    <cellStyle name="Comma 4 3 3 4 2 5" xfId="11824" xr:uid="{F5F1BA1C-F764-4306-8B10-B0C5B5E0BAEE}"/>
    <cellStyle name="Comma 4 3 3 4 3" xfId="5447" xr:uid="{00000000-0005-0000-0000-00008D090000}"/>
    <cellStyle name="Comma 4 3 3 4 3 2" xfId="30786" xr:uid="{E03DA7D5-6137-46BE-ABA4-A99EFA984535}"/>
    <cellStyle name="Comma 4 3 3 4 3 3" xfId="22345" xr:uid="{433F4013-3CE5-4F51-8D75-D4F995DDD6F0}"/>
    <cellStyle name="Comma 4 3 3 4 3 4" xfId="13897" xr:uid="{C6C95E08-E86B-4C87-818A-758EC47661AC}"/>
    <cellStyle name="Comma 4 3 3 4 4" xfId="26568" xr:uid="{08397BAC-00B9-4568-8B70-9459D75F3FBB}"/>
    <cellStyle name="Comma 4 3 3 4 5" xfId="18127" xr:uid="{1A66E424-30F3-4FD1-83B3-9A66F294D3BC}"/>
    <cellStyle name="Comma 4 3 3 4 6" xfId="9679" xr:uid="{3793EC27-9F55-4197-9E10-0E9F8772922B}"/>
    <cellStyle name="Comma 4 3 3 5" xfId="1553" xr:uid="{00000000-0005-0000-0000-00008E090000}"/>
    <cellStyle name="Comma 4 3 3 5 2" xfId="3783" xr:uid="{00000000-0005-0000-0000-00008F090000}"/>
    <cellStyle name="Comma 4 3 3 5 2 2" xfId="8005" xr:uid="{00000000-0005-0000-0000-000090090000}"/>
    <cellStyle name="Comma 4 3 3 5 2 2 2" xfId="33344" xr:uid="{B89FB153-AC4E-405B-B596-7A7224F22773}"/>
    <cellStyle name="Comma 4 3 3 5 2 2 3" xfId="24903" xr:uid="{CA0D53C0-D729-4FBD-A696-46B7090229AD}"/>
    <cellStyle name="Comma 4 3 3 5 2 2 4" xfId="16455" xr:uid="{E3BA4597-6DC8-4198-811B-7561616DBD92}"/>
    <cellStyle name="Comma 4 3 3 5 2 3" xfId="29126" xr:uid="{474B704B-AB33-4C55-A39A-CE5044C47D47}"/>
    <cellStyle name="Comma 4 3 3 5 2 4" xfId="20685" xr:uid="{54ADEBBA-E2F6-4E58-9D39-18C0BF6FE5F9}"/>
    <cellStyle name="Comma 4 3 3 5 2 5" xfId="12237" xr:uid="{D4880265-39D6-4AF6-8224-E21090B7CF2B}"/>
    <cellStyle name="Comma 4 3 3 5 3" xfId="5860" xr:uid="{00000000-0005-0000-0000-000091090000}"/>
    <cellStyle name="Comma 4 3 3 5 3 2" xfId="31199" xr:uid="{8BD9E458-81AD-42D3-B468-09804A5101D9}"/>
    <cellStyle name="Comma 4 3 3 5 3 3" xfId="22758" xr:uid="{4B485138-0BA4-427C-ABF4-D6DFB0FAC26D}"/>
    <cellStyle name="Comma 4 3 3 5 3 4" xfId="14310" xr:uid="{56F1E59A-E76D-498F-B1F5-688F6E6F1C04}"/>
    <cellStyle name="Comma 4 3 3 5 4" xfId="26981" xr:uid="{5BB212F9-518C-48F0-AF93-739AA1E89260}"/>
    <cellStyle name="Comma 4 3 3 5 5" xfId="18540" xr:uid="{2B817E01-3581-47C7-BC00-92057B4787FF}"/>
    <cellStyle name="Comma 4 3 3 5 6" xfId="10092" xr:uid="{EA029492-14EF-4931-8B2B-051D6CE19E60}"/>
    <cellStyle name="Comma 4 3 3 6" xfId="1967" xr:uid="{00000000-0005-0000-0000-000092090000}"/>
    <cellStyle name="Comma 4 3 3 6 2" xfId="4196" xr:uid="{00000000-0005-0000-0000-000093090000}"/>
    <cellStyle name="Comma 4 3 3 6 2 2" xfId="8418" xr:uid="{00000000-0005-0000-0000-000094090000}"/>
    <cellStyle name="Comma 4 3 3 6 2 2 2" xfId="33757" xr:uid="{28212AA7-CD4D-4A19-8378-B6DC0B08F71C}"/>
    <cellStyle name="Comma 4 3 3 6 2 2 3" xfId="25316" xr:uid="{7C1852B0-A9FC-47B5-B444-0FFB3120EB8D}"/>
    <cellStyle name="Comma 4 3 3 6 2 2 4" xfId="16868" xr:uid="{6A4622E7-A02F-4517-9F87-A065B9DFF89A}"/>
    <cellStyle name="Comma 4 3 3 6 2 3" xfId="29539" xr:uid="{756C4604-068E-4DE6-98F6-A6144355DFB9}"/>
    <cellStyle name="Comma 4 3 3 6 2 4" xfId="21098" xr:uid="{1AAFFEB5-330C-4A3A-9DE2-D2FA9255B3D5}"/>
    <cellStyle name="Comma 4 3 3 6 2 5" xfId="12650" xr:uid="{02215A03-6D34-4AB7-AFEC-35A3936AA287}"/>
    <cellStyle name="Comma 4 3 3 6 3" xfId="6273" xr:uid="{00000000-0005-0000-0000-000095090000}"/>
    <cellStyle name="Comma 4 3 3 6 3 2" xfId="31612" xr:uid="{0ED15B7D-EB6B-4202-B0D2-F007C2489E58}"/>
    <cellStyle name="Comma 4 3 3 6 3 3" xfId="23171" xr:uid="{F94B9C1E-BE22-486E-9B0E-1987B3011E79}"/>
    <cellStyle name="Comma 4 3 3 6 3 4" xfId="14723" xr:uid="{E2A16306-19E6-4983-A4CB-E15A8FBEA421}"/>
    <cellStyle name="Comma 4 3 3 6 4" xfId="27394" xr:uid="{987BAF9F-ABF5-4794-89FF-CDE46A033AEA}"/>
    <cellStyle name="Comma 4 3 3 6 5" xfId="18953" xr:uid="{CD9648EE-2646-4979-954D-D95DC5B77CFB}"/>
    <cellStyle name="Comma 4 3 3 6 6" xfId="10505" xr:uid="{7395DC80-7E13-4E2C-B86A-D2F77AD71086}"/>
    <cellStyle name="Comma 4 3 3 7" xfId="2402" xr:uid="{00000000-0005-0000-0000-000096090000}"/>
    <cellStyle name="Comma 4 3 3 7 2" xfId="6686" xr:uid="{00000000-0005-0000-0000-000097090000}"/>
    <cellStyle name="Comma 4 3 3 7 2 2" xfId="32025" xr:uid="{E2A29876-FBE7-4854-8AEE-79658847CF25}"/>
    <cellStyle name="Comma 4 3 3 7 2 3" xfId="23584" xr:uid="{4461A1AE-539D-412A-9017-9C7AF91BB04A}"/>
    <cellStyle name="Comma 4 3 3 7 2 4" xfId="15136" xr:uid="{F45E1ED1-0C94-4CB9-B6DF-864820FDC0CD}"/>
    <cellStyle name="Comma 4 3 3 7 3" xfId="27807" xr:uid="{32FCC975-8B18-442A-906C-C10FA0FE1094}"/>
    <cellStyle name="Comma 4 3 3 7 4" xfId="19366" xr:uid="{9C7DDE3C-C451-440A-8042-8C996F942776}"/>
    <cellStyle name="Comma 4 3 3 7 5" xfId="10918" xr:uid="{E1CE1719-1D06-43E6-953D-4DE7CB608927}"/>
    <cellStyle name="Comma 4 3 3 8" xfId="2361" xr:uid="{00000000-0005-0000-0000-000098090000}"/>
    <cellStyle name="Comma 4 3 3 9" xfId="2780" xr:uid="{00000000-0005-0000-0000-000099090000}"/>
    <cellStyle name="Comma 4 3 3 9 2" xfId="7003" xr:uid="{00000000-0005-0000-0000-00009A090000}"/>
    <cellStyle name="Comma 4 3 3 9 2 2" xfId="32342" xr:uid="{DED87FAE-6312-49EC-BE5D-406A93778047}"/>
    <cellStyle name="Comma 4 3 3 9 2 3" xfId="23901" xr:uid="{84AEF87D-B36F-4B66-97DE-20FFE547AB6E}"/>
    <cellStyle name="Comma 4 3 3 9 2 4" xfId="15453" xr:uid="{5968D2D4-6557-4E70-8B5A-5DF17B3264EF}"/>
    <cellStyle name="Comma 4 3 3 9 3" xfId="28124" xr:uid="{7CFC2E1E-18A3-45B6-AE29-A209F38A843A}"/>
    <cellStyle name="Comma 4 3 3 9 4" xfId="19683" xr:uid="{87B5CF82-9610-4DCD-98B7-30328CD6C426}"/>
    <cellStyle name="Comma 4 3 3 9 5" xfId="11235" xr:uid="{E9F69DAE-53EF-4332-8EAF-B17513DAAA6F}"/>
    <cellStyle name="Comma 4 3 4" xfId="151" xr:uid="{00000000-0005-0000-0000-00009B090000}"/>
    <cellStyle name="Comma 4 3 4 10" xfId="25743" xr:uid="{06FD1DCC-B35E-4D89-8820-E7987495360F}"/>
    <cellStyle name="Comma 4 3 4 11" xfId="17302" xr:uid="{86B480D7-A225-44E2-88FC-EF82C6C7B596}"/>
    <cellStyle name="Comma 4 3 4 12" xfId="8854" xr:uid="{6B409A55-C426-4D0F-A78C-7381895DB9DC}"/>
    <cellStyle name="Comma 4 3 4 2" xfId="688" xr:uid="{00000000-0005-0000-0000-00009C090000}"/>
    <cellStyle name="Comma 4 3 4 2 2" xfId="2959" xr:uid="{00000000-0005-0000-0000-00009D090000}"/>
    <cellStyle name="Comma 4 3 4 2 2 2" xfId="7181" xr:uid="{00000000-0005-0000-0000-00009E090000}"/>
    <cellStyle name="Comma 4 3 4 2 2 2 2" xfId="32520" xr:uid="{A92543CD-412D-45C4-B1A5-E027ACE36E74}"/>
    <cellStyle name="Comma 4 3 4 2 2 2 3" xfId="24079" xr:uid="{5606E88A-AAD6-421B-B363-BF12BF8619F2}"/>
    <cellStyle name="Comma 4 3 4 2 2 2 4" xfId="15631" xr:uid="{FBE794EE-16A1-44B5-B2AB-6F8FAA9405C3}"/>
    <cellStyle name="Comma 4 3 4 2 2 3" xfId="28302" xr:uid="{C6EA7FEB-903F-4399-8D5A-7A75DCCAE50C}"/>
    <cellStyle name="Comma 4 3 4 2 2 4" xfId="19861" xr:uid="{42739F51-606C-43F9-B394-C690FD718B3E}"/>
    <cellStyle name="Comma 4 3 4 2 2 5" xfId="11413" xr:uid="{90C72FA3-2F28-4A84-8A41-4CFC9E929BFC}"/>
    <cellStyle name="Comma 4 3 4 2 3" xfId="5036" xr:uid="{00000000-0005-0000-0000-00009F090000}"/>
    <cellStyle name="Comma 4 3 4 2 3 2" xfId="30375" xr:uid="{BACE6027-EFFE-4E4B-9633-6AFE0EBCBC8D}"/>
    <cellStyle name="Comma 4 3 4 2 3 3" xfId="21934" xr:uid="{6F32E22F-B7CF-46F1-B82F-8481C20D6C03}"/>
    <cellStyle name="Comma 4 3 4 2 3 4" xfId="13486" xr:uid="{4E192B93-5F17-4B36-8FE1-65A564B76BBF}"/>
    <cellStyle name="Comma 4 3 4 2 4" xfId="26157" xr:uid="{0BC4B65E-055B-417D-AAF1-69A98659D1EF}"/>
    <cellStyle name="Comma 4 3 4 2 5" xfId="17716" xr:uid="{E7E3251A-58C1-4B44-ABC8-871340EF7977}"/>
    <cellStyle name="Comma 4 3 4 2 6" xfId="9268" xr:uid="{CC834C87-ED75-4206-8173-156BE52D5BC0}"/>
    <cellStyle name="Comma 4 3 4 3" xfId="1141" xr:uid="{00000000-0005-0000-0000-0000A0090000}"/>
    <cellStyle name="Comma 4 3 4 3 2" xfId="3372" xr:uid="{00000000-0005-0000-0000-0000A1090000}"/>
    <cellStyle name="Comma 4 3 4 3 2 2" xfId="7594" xr:uid="{00000000-0005-0000-0000-0000A2090000}"/>
    <cellStyle name="Comma 4 3 4 3 2 2 2" xfId="32933" xr:uid="{5F2D49EA-5D93-4A5B-A8DF-B4940EBD9406}"/>
    <cellStyle name="Comma 4 3 4 3 2 2 3" xfId="24492" xr:uid="{5B71E106-5217-45E9-9CA0-BF8D7E029EE2}"/>
    <cellStyle name="Comma 4 3 4 3 2 2 4" xfId="16044" xr:uid="{256C0C9B-5F5B-4FF6-8D68-5CB1E5EC6DE9}"/>
    <cellStyle name="Comma 4 3 4 3 2 3" xfId="28715" xr:uid="{78D8A807-2AA8-40AC-B765-39A0B5F3DA73}"/>
    <cellStyle name="Comma 4 3 4 3 2 4" xfId="20274" xr:uid="{3EB7FB1C-07D9-47F0-A1EB-9B2D8903C963}"/>
    <cellStyle name="Comma 4 3 4 3 2 5" xfId="11826" xr:uid="{7CB8F9F8-3A08-433B-ADD0-3CB3D1A811F3}"/>
    <cellStyle name="Comma 4 3 4 3 3" xfId="5449" xr:uid="{00000000-0005-0000-0000-0000A3090000}"/>
    <cellStyle name="Comma 4 3 4 3 3 2" xfId="30788" xr:uid="{789C92E8-E3A2-4620-973E-024F40080BEA}"/>
    <cellStyle name="Comma 4 3 4 3 3 3" xfId="22347" xr:uid="{A71A2D15-07B8-4AE5-ABD7-6B022DE7FD51}"/>
    <cellStyle name="Comma 4 3 4 3 3 4" xfId="13899" xr:uid="{D753B4F3-1777-43FC-8456-63824C385D41}"/>
    <cellStyle name="Comma 4 3 4 3 4" xfId="26570" xr:uid="{97D56962-2D35-4FDB-8114-3C22466A5FE8}"/>
    <cellStyle name="Comma 4 3 4 3 5" xfId="18129" xr:uid="{E5E8FF31-844A-4356-B453-7BD5B08A16CB}"/>
    <cellStyle name="Comma 4 3 4 3 6" xfId="9681" xr:uid="{8A7B3CC1-AC61-42B8-B1BA-8AC7E1FA4955}"/>
    <cellStyle name="Comma 4 3 4 4" xfId="1555" xr:uid="{00000000-0005-0000-0000-0000A4090000}"/>
    <cellStyle name="Comma 4 3 4 4 2" xfId="3785" xr:uid="{00000000-0005-0000-0000-0000A5090000}"/>
    <cellStyle name="Comma 4 3 4 4 2 2" xfId="8007" xr:uid="{00000000-0005-0000-0000-0000A6090000}"/>
    <cellStyle name="Comma 4 3 4 4 2 2 2" xfId="33346" xr:uid="{F6AF2522-928D-43C7-9D5B-0E06D121F565}"/>
    <cellStyle name="Comma 4 3 4 4 2 2 3" xfId="24905" xr:uid="{C8D392E9-F5BE-4C5B-A90A-99B3076CEC6A}"/>
    <cellStyle name="Comma 4 3 4 4 2 2 4" xfId="16457" xr:uid="{83FD02A7-91E8-4B9A-A3F8-D049DC073175}"/>
    <cellStyle name="Comma 4 3 4 4 2 3" xfId="29128" xr:uid="{5DB7C2F0-FF78-4659-A106-6E135C1094ED}"/>
    <cellStyle name="Comma 4 3 4 4 2 4" xfId="20687" xr:uid="{D9B7DFCE-E0F3-4070-B16A-ED4CBA7E9BFE}"/>
    <cellStyle name="Comma 4 3 4 4 2 5" xfId="12239" xr:uid="{C568066E-F615-4A2D-82DE-C7B26ED776B6}"/>
    <cellStyle name="Comma 4 3 4 4 3" xfId="5862" xr:uid="{00000000-0005-0000-0000-0000A7090000}"/>
    <cellStyle name="Comma 4 3 4 4 3 2" xfId="31201" xr:uid="{29875DA1-E795-4E44-869D-C17EF3B7D26E}"/>
    <cellStyle name="Comma 4 3 4 4 3 3" xfId="22760" xr:uid="{DCA80A64-041E-4DF6-B338-877A6C852DBD}"/>
    <cellStyle name="Comma 4 3 4 4 3 4" xfId="14312" xr:uid="{AA462703-E7F0-4A59-BAD9-CB6950A1AB01}"/>
    <cellStyle name="Comma 4 3 4 4 4" xfId="26983" xr:uid="{C58AEAF8-F8A0-4110-BD74-C242059A6180}"/>
    <cellStyle name="Comma 4 3 4 4 5" xfId="18542" xr:uid="{893779A9-0AED-43DA-9FE6-BFA87F8B66E5}"/>
    <cellStyle name="Comma 4 3 4 4 6" xfId="10094" xr:uid="{E3BFD6E1-DA4D-40C7-B24C-26F24DEF8C74}"/>
    <cellStyle name="Comma 4 3 4 5" xfId="1969" xr:uid="{00000000-0005-0000-0000-0000A8090000}"/>
    <cellStyle name="Comma 4 3 4 5 2" xfId="4198" xr:uid="{00000000-0005-0000-0000-0000A9090000}"/>
    <cellStyle name="Comma 4 3 4 5 2 2" xfId="8420" xr:uid="{00000000-0005-0000-0000-0000AA090000}"/>
    <cellStyle name="Comma 4 3 4 5 2 2 2" xfId="33759" xr:uid="{44E49B20-6411-4378-A771-8DC77E44A101}"/>
    <cellStyle name="Comma 4 3 4 5 2 2 3" xfId="25318" xr:uid="{5114F9E6-ABEF-4A18-9603-19D659503B06}"/>
    <cellStyle name="Comma 4 3 4 5 2 2 4" xfId="16870" xr:uid="{EAB1BFD7-4CF7-4D2A-8A9B-A73C0B826D46}"/>
    <cellStyle name="Comma 4 3 4 5 2 3" xfId="29541" xr:uid="{23FC7F6A-9A95-4A31-A2E9-FAD02380FEBB}"/>
    <cellStyle name="Comma 4 3 4 5 2 4" xfId="21100" xr:uid="{815C9C84-F627-46B2-AB9F-F77CFBEDCBE6}"/>
    <cellStyle name="Comma 4 3 4 5 2 5" xfId="12652" xr:uid="{6959B73D-B0D3-4F80-9227-175790A66AD3}"/>
    <cellStyle name="Comma 4 3 4 5 3" xfId="6275" xr:uid="{00000000-0005-0000-0000-0000AB090000}"/>
    <cellStyle name="Comma 4 3 4 5 3 2" xfId="31614" xr:uid="{A514169F-75A0-48C4-8A8D-EBBDD8CA46F5}"/>
    <cellStyle name="Comma 4 3 4 5 3 3" xfId="23173" xr:uid="{F6E804EF-D7E8-46B8-BDAD-61100A4E85CC}"/>
    <cellStyle name="Comma 4 3 4 5 3 4" xfId="14725" xr:uid="{D4CDDE72-A692-4394-A118-E2E0FCFA885D}"/>
    <cellStyle name="Comma 4 3 4 5 4" xfId="27396" xr:uid="{36715376-5250-44BE-BF16-4B2733B594B1}"/>
    <cellStyle name="Comma 4 3 4 5 5" xfId="18955" xr:uid="{2A2623AB-B0A1-4CC5-B057-F91AD7497AD0}"/>
    <cellStyle name="Comma 4 3 4 5 6" xfId="10507" xr:uid="{FE73C59A-E262-41A8-8785-A627D64D04E8}"/>
    <cellStyle name="Comma 4 3 4 6" xfId="2404" xr:uid="{00000000-0005-0000-0000-0000AC090000}"/>
    <cellStyle name="Comma 4 3 4 6 2" xfId="6688" xr:uid="{00000000-0005-0000-0000-0000AD090000}"/>
    <cellStyle name="Comma 4 3 4 6 2 2" xfId="32027" xr:uid="{938F0BB7-BBA2-4653-9AAA-277AA47DD7D1}"/>
    <cellStyle name="Comma 4 3 4 6 2 3" xfId="23586" xr:uid="{EF6DF684-9ECB-4CC1-88A8-322510013F78}"/>
    <cellStyle name="Comma 4 3 4 6 2 4" xfId="15138" xr:uid="{DDB04853-3373-401A-9E33-9C4212544D6D}"/>
    <cellStyle name="Comma 4 3 4 6 3" xfId="27809" xr:uid="{46D12572-DDF5-4C7F-8539-6CAAAB2CE160}"/>
    <cellStyle name="Comma 4 3 4 6 4" xfId="19368" xr:uid="{1615721D-01D9-448E-8CE4-2C8073739B1C}"/>
    <cellStyle name="Comma 4 3 4 6 5" xfId="10920" xr:uid="{F4DDFAB3-D04B-4CBB-AE2F-DADB8950FCDE}"/>
    <cellStyle name="Comma 4 3 4 7" xfId="2700" xr:uid="{00000000-0005-0000-0000-0000AE090000}"/>
    <cellStyle name="Comma 4 3 4 8" xfId="2782" xr:uid="{00000000-0005-0000-0000-0000AF090000}"/>
    <cellStyle name="Comma 4 3 4 8 2" xfId="7005" xr:uid="{00000000-0005-0000-0000-0000B0090000}"/>
    <cellStyle name="Comma 4 3 4 8 2 2" xfId="32344" xr:uid="{2B294141-BBC2-41AE-8A4C-6F8A2BF5FC36}"/>
    <cellStyle name="Comma 4 3 4 8 2 3" xfId="23903" xr:uid="{F4D5348B-8798-494C-8D7D-7FFD0AB89324}"/>
    <cellStyle name="Comma 4 3 4 8 2 4" xfId="15455" xr:uid="{67E0260A-77F2-4496-8C75-5030EADA77D8}"/>
    <cellStyle name="Comma 4 3 4 8 3" xfId="28126" xr:uid="{32C7661A-736C-4F58-BBCA-457B5C6B0389}"/>
    <cellStyle name="Comma 4 3 4 8 4" xfId="19685" xr:uid="{61DE5379-E8EA-4DCF-9C57-ACD2FA0FB01E}"/>
    <cellStyle name="Comma 4 3 4 8 5" xfId="11237" xr:uid="{A34223D4-1E98-4E4A-B9D0-2B93E05A0F84}"/>
    <cellStyle name="Comma 4 3 4 9" xfId="4622" xr:uid="{00000000-0005-0000-0000-0000B1090000}"/>
    <cellStyle name="Comma 4 3 4 9 2" xfId="29961" xr:uid="{9FC50DFF-9396-49ED-BC36-AF6ED73A89FD}"/>
    <cellStyle name="Comma 4 3 4 9 3" xfId="21520" xr:uid="{E22858B1-AB72-4607-AA33-E5DBBE8AA746}"/>
    <cellStyle name="Comma 4 3 4 9 4" xfId="13072" xr:uid="{F744CF8E-18C4-4CEB-8600-2DF93C679ED7}"/>
    <cellStyle name="Comma 4 3 5" xfId="152" xr:uid="{00000000-0005-0000-0000-0000B2090000}"/>
    <cellStyle name="Comma 4 3 5 10" xfId="25744" xr:uid="{B8E2BAEF-B9FD-4649-B506-5D9B6943E985}"/>
    <cellStyle name="Comma 4 3 5 11" xfId="17303" xr:uid="{3C76E96D-62F9-44CF-A840-05724867E99B}"/>
    <cellStyle name="Comma 4 3 5 12" xfId="8855" xr:uid="{89BA3135-ED68-4F6C-A932-B66424DC669D}"/>
    <cellStyle name="Comma 4 3 5 2" xfId="689" xr:uid="{00000000-0005-0000-0000-0000B3090000}"/>
    <cellStyle name="Comma 4 3 5 2 2" xfId="2960" xr:uid="{00000000-0005-0000-0000-0000B4090000}"/>
    <cellStyle name="Comma 4 3 5 2 2 2" xfId="7182" xr:uid="{00000000-0005-0000-0000-0000B5090000}"/>
    <cellStyle name="Comma 4 3 5 2 2 2 2" xfId="32521" xr:uid="{566F2B62-B58A-4382-82F1-3B0D7F8460BF}"/>
    <cellStyle name="Comma 4 3 5 2 2 2 3" xfId="24080" xr:uid="{B890E382-AE32-4461-873B-161B840359E5}"/>
    <cellStyle name="Comma 4 3 5 2 2 2 4" xfId="15632" xr:uid="{0B683C42-65D0-499B-A990-551EF709E64C}"/>
    <cellStyle name="Comma 4 3 5 2 2 3" xfId="28303" xr:uid="{85584D3C-7724-44DC-A3CD-4E980C0A51B7}"/>
    <cellStyle name="Comma 4 3 5 2 2 4" xfId="19862" xr:uid="{AEE502C0-E99F-497A-90A4-FCC3BA637BCE}"/>
    <cellStyle name="Comma 4 3 5 2 2 5" xfId="11414" xr:uid="{B94E299A-1F63-4C34-9A4C-9520A5AC79D6}"/>
    <cellStyle name="Comma 4 3 5 2 3" xfId="5037" xr:uid="{00000000-0005-0000-0000-0000B6090000}"/>
    <cellStyle name="Comma 4 3 5 2 3 2" xfId="30376" xr:uid="{597937E9-45A6-45AE-960C-B1AC0651C4F9}"/>
    <cellStyle name="Comma 4 3 5 2 3 3" xfId="21935" xr:uid="{855544D5-DFD4-4188-A1CE-BDFAF763483F}"/>
    <cellStyle name="Comma 4 3 5 2 3 4" xfId="13487" xr:uid="{F96DB6DB-9A34-4B3C-B556-C6A85CEBD218}"/>
    <cellStyle name="Comma 4 3 5 2 4" xfId="26158" xr:uid="{5EA1DAF6-9DFE-49C3-8146-B8F57B3DC35E}"/>
    <cellStyle name="Comma 4 3 5 2 5" xfId="17717" xr:uid="{0B38DEEC-F375-4B75-92C5-F6396CB743C4}"/>
    <cellStyle name="Comma 4 3 5 2 6" xfId="9269" xr:uid="{4EC26C89-20EF-4E61-B477-6F5810AB1EE3}"/>
    <cellStyle name="Comma 4 3 5 3" xfId="1142" xr:uid="{00000000-0005-0000-0000-0000B7090000}"/>
    <cellStyle name="Comma 4 3 5 3 2" xfId="3373" xr:uid="{00000000-0005-0000-0000-0000B8090000}"/>
    <cellStyle name="Comma 4 3 5 3 2 2" xfId="7595" xr:uid="{00000000-0005-0000-0000-0000B9090000}"/>
    <cellStyle name="Comma 4 3 5 3 2 2 2" xfId="32934" xr:uid="{0CB20B94-E51F-4A5E-B925-13A361D1E89C}"/>
    <cellStyle name="Comma 4 3 5 3 2 2 3" xfId="24493" xr:uid="{E170787A-5998-4355-AE1E-7C23B2B6B74B}"/>
    <cellStyle name="Comma 4 3 5 3 2 2 4" xfId="16045" xr:uid="{D0D28345-931A-48EF-9147-8B54E1E5F2DE}"/>
    <cellStyle name="Comma 4 3 5 3 2 3" xfId="28716" xr:uid="{9F76BC7D-B9CE-496E-8854-F973149C0E54}"/>
    <cellStyle name="Comma 4 3 5 3 2 4" xfId="20275" xr:uid="{39D57E6E-FBE4-4999-9CFC-F9A3946D68C4}"/>
    <cellStyle name="Comma 4 3 5 3 2 5" xfId="11827" xr:uid="{397023DB-47FA-44BF-A012-86EEE6026473}"/>
    <cellStyle name="Comma 4 3 5 3 3" xfId="5450" xr:uid="{00000000-0005-0000-0000-0000BA090000}"/>
    <cellStyle name="Comma 4 3 5 3 3 2" xfId="30789" xr:uid="{643BE690-1857-458C-9C37-F20FFAA41475}"/>
    <cellStyle name="Comma 4 3 5 3 3 3" xfId="22348" xr:uid="{72E3B72B-43E0-4106-B831-E7EC3AA882F9}"/>
    <cellStyle name="Comma 4 3 5 3 3 4" xfId="13900" xr:uid="{4F6F6420-A8CB-48DB-ADA2-8DA8F1E6420F}"/>
    <cellStyle name="Comma 4 3 5 3 4" xfId="26571" xr:uid="{E26E69EA-620A-4526-91DA-D140B86EC238}"/>
    <cellStyle name="Comma 4 3 5 3 5" xfId="18130" xr:uid="{7C2A2B76-98A4-45F5-9D5F-97F548740BB0}"/>
    <cellStyle name="Comma 4 3 5 3 6" xfId="9682" xr:uid="{3B2B8779-B836-404B-9055-D77FFE57B15E}"/>
    <cellStyle name="Comma 4 3 5 4" xfId="1556" xr:uid="{00000000-0005-0000-0000-0000BB090000}"/>
    <cellStyle name="Comma 4 3 5 4 2" xfId="3786" xr:uid="{00000000-0005-0000-0000-0000BC090000}"/>
    <cellStyle name="Comma 4 3 5 4 2 2" xfId="8008" xr:uid="{00000000-0005-0000-0000-0000BD090000}"/>
    <cellStyle name="Comma 4 3 5 4 2 2 2" xfId="33347" xr:uid="{A98CC75E-D835-4461-B807-810D803BB0A6}"/>
    <cellStyle name="Comma 4 3 5 4 2 2 3" xfId="24906" xr:uid="{466C5FA0-8702-4873-89BF-EBE6E7AC98AC}"/>
    <cellStyle name="Comma 4 3 5 4 2 2 4" xfId="16458" xr:uid="{F77A238B-6C2A-47DF-80E4-41192830BD4D}"/>
    <cellStyle name="Comma 4 3 5 4 2 3" xfId="29129" xr:uid="{12926076-6AF9-404D-846F-1E736ED84138}"/>
    <cellStyle name="Comma 4 3 5 4 2 4" xfId="20688" xr:uid="{F04EE1EC-5089-4E6B-8C7C-C71B38B7FC95}"/>
    <cellStyle name="Comma 4 3 5 4 2 5" xfId="12240" xr:uid="{3EF1A99D-6BB6-4096-8CB2-F61FF7ADD0C9}"/>
    <cellStyle name="Comma 4 3 5 4 3" xfId="5863" xr:uid="{00000000-0005-0000-0000-0000BE090000}"/>
    <cellStyle name="Comma 4 3 5 4 3 2" xfId="31202" xr:uid="{C1C9983F-7B09-4A25-A93D-BAE9E2810DB9}"/>
    <cellStyle name="Comma 4 3 5 4 3 3" xfId="22761" xr:uid="{20FEAD45-28B9-40FA-BC69-894A729BF7CB}"/>
    <cellStyle name="Comma 4 3 5 4 3 4" xfId="14313" xr:uid="{6195A0F5-DDCD-4058-92D2-793DB8BEFD35}"/>
    <cellStyle name="Comma 4 3 5 4 4" xfId="26984" xr:uid="{BDDA674A-DD4C-4E29-A8C6-CBF25A0C7A86}"/>
    <cellStyle name="Comma 4 3 5 4 5" xfId="18543" xr:uid="{C3B3D67C-EC89-4337-8935-4334DC03BBEE}"/>
    <cellStyle name="Comma 4 3 5 4 6" xfId="10095" xr:uid="{B0CBFEAD-1831-4E4C-9309-195BD5C26045}"/>
    <cellStyle name="Comma 4 3 5 5" xfId="1970" xr:uid="{00000000-0005-0000-0000-0000BF090000}"/>
    <cellStyle name="Comma 4 3 5 5 2" xfId="4199" xr:uid="{00000000-0005-0000-0000-0000C0090000}"/>
    <cellStyle name="Comma 4 3 5 5 2 2" xfId="8421" xr:uid="{00000000-0005-0000-0000-0000C1090000}"/>
    <cellStyle name="Comma 4 3 5 5 2 2 2" xfId="33760" xr:uid="{4F4114DC-A887-42C0-832C-B248659D272D}"/>
    <cellStyle name="Comma 4 3 5 5 2 2 3" xfId="25319" xr:uid="{CBD206CA-ED2D-42FB-8B4A-39D8968E5B3A}"/>
    <cellStyle name="Comma 4 3 5 5 2 2 4" xfId="16871" xr:uid="{851DA143-E738-4232-B7F5-548FCA4E917B}"/>
    <cellStyle name="Comma 4 3 5 5 2 3" xfId="29542" xr:uid="{ED4584A5-9F62-43D9-877C-F0325536ED64}"/>
    <cellStyle name="Comma 4 3 5 5 2 4" xfId="21101" xr:uid="{950B6A50-96C7-4536-9444-35719B1ECB08}"/>
    <cellStyle name="Comma 4 3 5 5 2 5" xfId="12653" xr:uid="{179FE027-55CC-4AF9-8D29-39AEB431F241}"/>
    <cellStyle name="Comma 4 3 5 5 3" xfId="6276" xr:uid="{00000000-0005-0000-0000-0000C2090000}"/>
    <cellStyle name="Comma 4 3 5 5 3 2" xfId="31615" xr:uid="{FBA19777-B77C-4607-BB3D-5C95E3029CC1}"/>
    <cellStyle name="Comma 4 3 5 5 3 3" xfId="23174" xr:uid="{DADC94BD-0464-4C89-8BD3-C7B83018F663}"/>
    <cellStyle name="Comma 4 3 5 5 3 4" xfId="14726" xr:uid="{871A25D6-1AC0-4FC8-A0C0-FD91DC9CF849}"/>
    <cellStyle name="Comma 4 3 5 5 4" xfId="27397" xr:uid="{725E5A1B-3EAF-4449-874F-5975F55EC351}"/>
    <cellStyle name="Comma 4 3 5 5 5" xfId="18956" xr:uid="{37B41862-545D-4979-BF26-8052B7AFB554}"/>
    <cellStyle name="Comma 4 3 5 5 6" xfId="10508" xr:uid="{6F0A4362-5DA8-45C3-A72A-287E2E1C21F2}"/>
    <cellStyle name="Comma 4 3 5 6" xfId="2405" xr:uid="{00000000-0005-0000-0000-0000C3090000}"/>
    <cellStyle name="Comma 4 3 5 6 2" xfId="6689" xr:uid="{00000000-0005-0000-0000-0000C4090000}"/>
    <cellStyle name="Comma 4 3 5 6 2 2" xfId="32028" xr:uid="{097F4F97-77A1-440F-A97B-8DD3C06CD9A8}"/>
    <cellStyle name="Comma 4 3 5 6 2 3" xfId="23587" xr:uid="{6E1B61B9-D905-42E5-A856-58ED4020FE23}"/>
    <cellStyle name="Comma 4 3 5 6 2 4" xfId="15139" xr:uid="{5358EBC1-F983-4115-A7A7-38C65EC06D2D}"/>
    <cellStyle name="Comma 4 3 5 6 3" xfId="27810" xr:uid="{BFB9BA59-91B8-493D-A97B-5215BDC5FF31}"/>
    <cellStyle name="Comma 4 3 5 6 4" xfId="19369" xr:uid="{9AAF6D4A-3F38-4319-B562-8AAF022EC9F0}"/>
    <cellStyle name="Comma 4 3 5 6 5" xfId="10921" xr:uid="{44AE02C0-65B2-4028-84CC-3C1B49C5A123}"/>
    <cellStyle name="Comma 4 3 5 7" xfId="2701" xr:uid="{00000000-0005-0000-0000-0000C5090000}"/>
    <cellStyle name="Comma 4 3 5 8" xfId="2783" xr:uid="{00000000-0005-0000-0000-0000C6090000}"/>
    <cellStyle name="Comma 4 3 5 8 2" xfId="7006" xr:uid="{00000000-0005-0000-0000-0000C7090000}"/>
    <cellStyle name="Comma 4 3 5 8 2 2" xfId="32345" xr:uid="{68FF6801-79D9-4A53-A0D5-7E57B803B180}"/>
    <cellStyle name="Comma 4 3 5 8 2 3" xfId="23904" xr:uid="{5D4A5B03-3B5D-4467-A227-5FA91137E800}"/>
    <cellStyle name="Comma 4 3 5 8 2 4" xfId="15456" xr:uid="{833EE1AD-7692-4A2A-99F5-811F8E97EC47}"/>
    <cellStyle name="Comma 4 3 5 8 3" xfId="28127" xr:uid="{42709B5F-ED45-4C35-AA3A-017A291A8326}"/>
    <cellStyle name="Comma 4 3 5 8 4" xfId="19686" xr:uid="{0525C499-C0E9-47E4-BA44-5772190471BE}"/>
    <cellStyle name="Comma 4 3 5 8 5" xfId="11238" xr:uid="{4C6C575B-4322-49AE-8849-6B52A5D7EA9F}"/>
    <cellStyle name="Comma 4 3 5 9" xfId="4623" xr:uid="{00000000-0005-0000-0000-0000C8090000}"/>
    <cellStyle name="Comma 4 3 5 9 2" xfId="29962" xr:uid="{75A3B3A5-89A0-40B7-94EB-53A018035C83}"/>
    <cellStyle name="Comma 4 3 5 9 3" xfId="21521" xr:uid="{04F17F5E-3D97-432E-A05E-06300E28E4C9}"/>
    <cellStyle name="Comma 4 3 5 9 4" xfId="13073" xr:uid="{6EDBEE2E-9244-4FD8-9E6B-5030790CD9B1}"/>
    <cellStyle name="Comma 4 4" xfId="153" xr:uid="{00000000-0005-0000-0000-0000C9090000}"/>
    <cellStyle name="Comma 4 4 10" xfId="2784" xr:uid="{00000000-0005-0000-0000-0000CA090000}"/>
    <cellStyle name="Comma 4 4 10 2" xfId="7007" xr:uid="{00000000-0005-0000-0000-0000CB090000}"/>
    <cellStyle name="Comma 4 4 10 2 2" xfId="32346" xr:uid="{C7AB4DAB-6547-413A-8BA9-FB908F11C6B7}"/>
    <cellStyle name="Comma 4 4 10 2 3" xfId="23905" xr:uid="{A31E9747-780C-4AA9-9A55-E12BACE110D3}"/>
    <cellStyle name="Comma 4 4 10 2 4" xfId="15457" xr:uid="{C428711F-30C7-43E0-AC86-1DB60202252D}"/>
    <cellStyle name="Comma 4 4 10 3" xfId="28128" xr:uid="{FD0D5A23-2173-4AA7-854B-DB4CFB580104}"/>
    <cellStyle name="Comma 4 4 10 4" xfId="19687" xr:uid="{9EFE062E-9712-4562-BA83-3240D73EB05C}"/>
    <cellStyle name="Comma 4 4 10 5" xfId="11239" xr:uid="{923B82FD-5F8B-4A67-A1AA-14C28D258617}"/>
    <cellStyle name="Comma 4 4 11" xfId="4624" xr:uid="{00000000-0005-0000-0000-0000CC090000}"/>
    <cellStyle name="Comma 4 4 11 2" xfId="29963" xr:uid="{D374D00F-6440-484C-B628-B1625CF466F3}"/>
    <cellStyle name="Comma 4 4 11 3" xfId="21522" xr:uid="{C9C3FDDE-76FC-4B3B-8B71-899DB5560446}"/>
    <cellStyle name="Comma 4 4 11 4" xfId="13074" xr:uid="{63DA80E6-FECE-448F-8B77-FFD98B4F607D}"/>
    <cellStyle name="Comma 4 4 12" xfId="25745" xr:uid="{D07891C0-663A-4EAC-8B1E-3DDBC3A65A76}"/>
    <cellStyle name="Comma 4 4 13" xfId="17304" xr:uid="{86095ACD-1F0E-4411-811B-CD1E14FA8B79}"/>
    <cellStyle name="Comma 4 4 14" xfId="8856" xr:uid="{44124420-84DA-4D1A-B636-84D2550155F7}"/>
    <cellStyle name="Comma 4 4 2" xfId="154" xr:uid="{00000000-0005-0000-0000-0000CD090000}"/>
    <cellStyle name="Comma 4 4 2 10" xfId="4625" xr:uid="{00000000-0005-0000-0000-0000CE090000}"/>
    <cellStyle name="Comma 4 4 2 10 2" xfId="29964" xr:uid="{EC4C3CB5-9385-4F20-8579-CA1EC9924263}"/>
    <cellStyle name="Comma 4 4 2 10 3" xfId="21523" xr:uid="{964B6EF7-E906-46EA-8747-D0EAAA00F687}"/>
    <cellStyle name="Comma 4 4 2 10 4" xfId="13075" xr:uid="{FBC26E82-D71B-4102-AA63-38B2F591104A}"/>
    <cellStyle name="Comma 4 4 2 11" xfId="25746" xr:uid="{C8B5264F-1850-4F95-B9A8-575E79609085}"/>
    <cellStyle name="Comma 4 4 2 12" xfId="17305" xr:uid="{EC8DC25F-0697-4BA9-B524-5716BC3F6B59}"/>
    <cellStyle name="Comma 4 4 2 13" xfId="8857" xr:uid="{A067A5D2-8B41-4881-A8EF-34B093C41AD2}"/>
    <cellStyle name="Comma 4 4 2 2" xfId="155" xr:uid="{00000000-0005-0000-0000-0000CF090000}"/>
    <cellStyle name="Comma 4 4 2 2 10" xfId="25747" xr:uid="{A4FA4EFF-8F16-42DE-A470-0872E809FE92}"/>
    <cellStyle name="Comma 4 4 2 2 11" xfId="17306" xr:uid="{83B8E18F-C820-46F8-B8C3-6641310EAA58}"/>
    <cellStyle name="Comma 4 4 2 2 12" xfId="8858" xr:uid="{45D66E1B-2F62-4DBC-8AB4-1902525078DA}"/>
    <cellStyle name="Comma 4 4 2 2 2" xfId="692" xr:uid="{00000000-0005-0000-0000-0000D0090000}"/>
    <cellStyle name="Comma 4 4 2 2 2 2" xfId="2963" xr:uid="{00000000-0005-0000-0000-0000D1090000}"/>
    <cellStyle name="Comma 4 4 2 2 2 2 2" xfId="7185" xr:uid="{00000000-0005-0000-0000-0000D2090000}"/>
    <cellStyle name="Comma 4 4 2 2 2 2 2 2" xfId="32524" xr:uid="{792E13F8-34A5-4577-AC36-911E319E7D4A}"/>
    <cellStyle name="Comma 4 4 2 2 2 2 2 3" xfId="24083" xr:uid="{3C5EBDC3-2122-4A15-965E-9E3B0F2518DA}"/>
    <cellStyle name="Comma 4 4 2 2 2 2 2 4" xfId="15635" xr:uid="{B112451D-6D4B-4A17-9CAD-3444522990F2}"/>
    <cellStyle name="Comma 4 4 2 2 2 2 3" xfId="28306" xr:uid="{E38322AB-C75C-4826-9C51-4973E02BD886}"/>
    <cellStyle name="Comma 4 4 2 2 2 2 4" xfId="19865" xr:uid="{B1AC13AF-A0DE-4156-B14B-1DF54AB7DFB4}"/>
    <cellStyle name="Comma 4 4 2 2 2 2 5" xfId="11417" xr:uid="{18EAA95C-E7EF-4E0B-81E9-98867E9AA97D}"/>
    <cellStyle name="Comma 4 4 2 2 2 3" xfId="5040" xr:uid="{00000000-0005-0000-0000-0000D3090000}"/>
    <cellStyle name="Comma 4 4 2 2 2 3 2" xfId="30379" xr:uid="{3572A6A5-0F95-450B-911A-0B8D077C2664}"/>
    <cellStyle name="Comma 4 4 2 2 2 3 3" xfId="21938" xr:uid="{28A5AFF5-1679-495F-A430-2E5B1291192E}"/>
    <cellStyle name="Comma 4 4 2 2 2 3 4" xfId="13490" xr:uid="{F6EE8C25-02E0-441C-8397-7288F6269E6B}"/>
    <cellStyle name="Comma 4 4 2 2 2 4" xfId="26161" xr:uid="{0C76861E-2D88-461B-8C9A-0221DB65BFFB}"/>
    <cellStyle name="Comma 4 4 2 2 2 5" xfId="17720" xr:uid="{946A1336-2051-410A-A982-35EA53C38D22}"/>
    <cellStyle name="Comma 4 4 2 2 2 6" xfId="9272" xr:uid="{29A164A3-7662-482A-B0E3-E60740BC9853}"/>
    <cellStyle name="Comma 4 4 2 2 3" xfId="1145" xr:uid="{00000000-0005-0000-0000-0000D4090000}"/>
    <cellStyle name="Comma 4 4 2 2 3 2" xfId="3376" xr:uid="{00000000-0005-0000-0000-0000D5090000}"/>
    <cellStyle name="Comma 4 4 2 2 3 2 2" xfId="7598" xr:uid="{00000000-0005-0000-0000-0000D6090000}"/>
    <cellStyle name="Comma 4 4 2 2 3 2 2 2" xfId="32937" xr:uid="{1998E6F0-962C-4CA3-A2A8-184C6974E603}"/>
    <cellStyle name="Comma 4 4 2 2 3 2 2 3" xfId="24496" xr:uid="{6464C52B-45FF-4D72-B693-3DC4FFDE695F}"/>
    <cellStyle name="Comma 4 4 2 2 3 2 2 4" xfId="16048" xr:uid="{826CB39D-44F7-48E4-B911-25EDD5F0559F}"/>
    <cellStyle name="Comma 4 4 2 2 3 2 3" xfId="28719" xr:uid="{0FABEFE3-CF04-40B4-AD7A-48296B08BE41}"/>
    <cellStyle name="Comma 4 4 2 2 3 2 4" xfId="20278" xr:uid="{B18AE6B0-0BB0-459D-B6A7-09B0B3E017A3}"/>
    <cellStyle name="Comma 4 4 2 2 3 2 5" xfId="11830" xr:uid="{D3FCF80F-DBCC-4FF4-B117-533AF4FD5AB4}"/>
    <cellStyle name="Comma 4 4 2 2 3 3" xfId="5453" xr:uid="{00000000-0005-0000-0000-0000D7090000}"/>
    <cellStyle name="Comma 4 4 2 2 3 3 2" xfId="30792" xr:uid="{CE32AEFC-874B-4669-B95A-2D65DDA58740}"/>
    <cellStyle name="Comma 4 4 2 2 3 3 3" xfId="22351" xr:uid="{C66E62B1-E752-49D1-9B73-0C00AD52636A}"/>
    <cellStyle name="Comma 4 4 2 2 3 3 4" xfId="13903" xr:uid="{09A98C86-D7D5-4CDE-99F6-939BEE8ED053}"/>
    <cellStyle name="Comma 4 4 2 2 3 4" xfId="26574" xr:uid="{00FFC7B5-9AF1-481D-922E-2E3920809610}"/>
    <cellStyle name="Comma 4 4 2 2 3 5" xfId="18133" xr:uid="{67AB55EA-9853-46F6-93AB-C8809B776F7B}"/>
    <cellStyle name="Comma 4 4 2 2 3 6" xfId="9685" xr:uid="{D4464B6E-73C4-41D6-8DCF-D4D889642767}"/>
    <cellStyle name="Comma 4 4 2 2 4" xfId="1559" xr:uid="{00000000-0005-0000-0000-0000D8090000}"/>
    <cellStyle name="Comma 4 4 2 2 4 2" xfId="3789" xr:uid="{00000000-0005-0000-0000-0000D9090000}"/>
    <cellStyle name="Comma 4 4 2 2 4 2 2" xfId="8011" xr:uid="{00000000-0005-0000-0000-0000DA090000}"/>
    <cellStyle name="Comma 4 4 2 2 4 2 2 2" xfId="33350" xr:uid="{0743E61D-3CA9-44F2-BAAC-752319BFFD8F}"/>
    <cellStyle name="Comma 4 4 2 2 4 2 2 3" xfId="24909" xr:uid="{566E5AF1-95E2-4F80-855C-7B5C57E63BFF}"/>
    <cellStyle name="Comma 4 4 2 2 4 2 2 4" xfId="16461" xr:uid="{DC78F2E3-1565-4D3A-8DB5-91891292D23E}"/>
    <cellStyle name="Comma 4 4 2 2 4 2 3" xfId="29132" xr:uid="{FCC08CD2-1058-47F9-B041-CFD3AC36440C}"/>
    <cellStyle name="Comma 4 4 2 2 4 2 4" xfId="20691" xr:uid="{8136C13F-372D-4907-94E8-AE27D27EC615}"/>
    <cellStyle name="Comma 4 4 2 2 4 2 5" xfId="12243" xr:uid="{2B4CCB7C-0AD4-4D12-A26F-85A5A3283E3B}"/>
    <cellStyle name="Comma 4 4 2 2 4 3" xfId="5866" xr:uid="{00000000-0005-0000-0000-0000DB090000}"/>
    <cellStyle name="Comma 4 4 2 2 4 3 2" xfId="31205" xr:uid="{CCB27073-E153-491E-A159-E0A819CC23A6}"/>
    <cellStyle name="Comma 4 4 2 2 4 3 3" xfId="22764" xr:uid="{9C50381A-E18C-4F81-A781-1E1A50018B64}"/>
    <cellStyle name="Comma 4 4 2 2 4 3 4" xfId="14316" xr:uid="{5962C102-DEA0-406B-BFFE-A7A361AA99C7}"/>
    <cellStyle name="Comma 4 4 2 2 4 4" xfId="26987" xr:uid="{1FC02486-447F-4912-B1A4-1A4A8753E27C}"/>
    <cellStyle name="Comma 4 4 2 2 4 5" xfId="18546" xr:uid="{7B37C9B7-4FD2-44D4-9228-A9A0801D17A2}"/>
    <cellStyle name="Comma 4 4 2 2 4 6" xfId="10098" xr:uid="{92CA9459-C10C-4446-97F9-4534D52A7FA4}"/>
    <cellStyle name="Comma 4 4 2 2 5" xfId="1973" xr:uid="{00000000-0005-0000-0000-0000DC090000}"/>
    <cellStyle name="Comma 4 4 2 2 5 2" xfId="4202" xr:uid="{00000000-0005-0000-0000-0000DD090000}"/>
    <cellStyle name="Comma 4 4 2 2 5 2 2" xfId="8424" xr:uid="{00000000-0005-0000-0000-0000DE090000}"/>
    <cellStyle name="Comma 4 4 2 2 5 2 2 2" xfId="33763" xr:uid="{BBCCEA93-2AB9-47DB-934E-531A96AF1A67}"/>
    <cellStyle name="Comma 4 4 2 2 5 2 2 3" xfId="25322" xr:uid="{30C8D743-E6D3-4A74-834C-04BD128A4628}"/>
    <cellStyle name="Comma 4 4 2 2 5 2 2 4" xfId="16874" xr:uid="{EE13DC02-0F27-48F9-B98C-8C5FCF8170FB}"/>
    <cellStyle name="Comma 4 4 2 2 5 2 3" xfId="29545" xr:uid="{3060C883-CB87-4486-9CA1-43B7ABBF81D3}"/>
    <cellStyle name="Comma 4 4 2 2 5 2 4" xfId="21104" xr:uid="{C5C9AB5D-CC7A-480A-8A1B-CA5D54262CA8}"/>
    <cellStyle name="Comma 4 4 2 2 5 2 5" xfId="12656" xr:uid="{558BCDC3-9EBB-4027-8FEA-A87156DC9F51}"/>
    <cellStyle name="Comma 4 4 2 2 5 3" xfId="6279" xr:uid="{00000000-0005-0000-0000-0000DF090000}"/>
    <cellStyle name="Comma 4 4 2 2 5 3 2" xfId="31618" xr:uid="{6792527F-A141-49C0-9912-213DBE46148B}"/>
    <cellStyle name="Comma 4 4 2 2 5 3 3" xfId="23177" xr:uid="{18C3E119-6536-4002-9985-4A4F0B532B11}"/>
    <cellStyle name="Comma 4 4 2 2 5 3 4" xfId="14729" xr:uid="{2D127158-3D13-41B3-90D6-E577E544D083}"/>
    <cellStyle name="Comma 4 4 2 2 5 4" xfId="27400" xr:uid="{A69A6E6B-33E0-4184-8B24-09576C897180}"/>
    <cellStyle name="Comma 4 4 2 2 5 5" xfId="18959" xr:uid="{F29E602C-D59D-4C24-84B3-E55EAB8B6F18}"/>
    <cellStyle name="Comma 4 4 2 2 5 6" xfId="10511" xr:uid="{F816DD9A-1FB3-43A1-BA80-DAB40879EDD8}"/>
    <cellStyle name="Comma 4 4 2 2 6" xfId="2408" xr:uid="{00000000-0005-0000-0000-0000E0090000}"/>
    <cellStyle name="Comma 4 4 2 2 6 2" xfId="6692" xr:uid="{00000000-0005-0000-0000-0000E1090000}"/>
    <cellStyle name="Comma 4 4 2 2 6 2 2" xfId="32031" xr:uid="{404FBC95-71A6-41B9-9BDD-1AF909318FC6}"/>
    <cellStyle name="Comma 4 4 2 2 6 2 3" xfId="23590" xr:uid="{88F5E307-2D2A-4B34-ACFF-54AB1BC02FC7}"/>
    <cellStyle name="Comma 4 4 2 2 6 2 4" xfId="15142" xr:uid="{47008EA8-4C33-4FDB-9FC3-AAE74DE1DE13}"/>
    <cellStyle name="Comma 4 4 2 2 6 3" xfId="27813" xr:uid="{A46FF4A3-3E3E-46FD-8181-7F1080F80E5C}"/>
    <cellStyle name="Comma 4 4 2 2 6 4" xfId="19372" xr:uid="{29F34A5A-4866-4DC0-8ED2-88CD4891A31F}"/>
    <cellStyle name="Comma 4 4 2 2 6 5" xfId="10924" xr:uid="{3D57F03E-8354-4046-B4F4-1D5FCCC9CA7D}"/>
    <cellStyle name="Comma 4 4 2 2 7" xfId="2704" xr:uid="{00000000-0005-0000-0000-0000E2090000}"/>
    <cellStyle name="Comma 4 4 2 2 8" xfId="2786" xr:uid="{00000000-0005-0000-0000-0000E3090000}"/>
    <cellStyle name="Comma 4 4 2 2 8 2" xfId="7009" xr:uid="{00000000-0005-0000-0000-0000E4090000}"/>
    <cellStyle name="Comma 4 4 2 2 8 2 2" xfId="32348" xr:uid="{26991CAD-2A37-4A30-B45E-42572C69B942}"/>
    <cellStyle name="Comma 4 4 2 2 8 2 3" xfId="23907" xr:uid="{8A372CA2-8D94-4A90-B6BC-DA92BE02C7C0}"/>
    <cellStyle name="Comma 4 4 2 2 8 2 4" xfId="15459" xr:uid="{3D97340F-67B3-41E2-A691-9293B90AD2AD}"/>
    <cellStyle name="Comma 4 4 2 2 8 3" xfId="28130" xr:uid="{1CA2E876-C7D4-4B7C-8832-DBEF56649D78}"/>
    <cellStyle name="Comma 4 4 2 2 8 4" xfId="19689" xr:uid="{5E37BE7B-81BE-4B52-9E02-B662E05A9401}"/>
    <cellStyle name="Comma 4 4 2 2 8 5" xfId="11241" xr:uid="{3729B120-5858-4682-8478-FA7766191BFD}"/>
    <cellStyle name="Comma 4 4 2 2 9" xfId="4626" xr:uid="{00000000-0005-0000-0000-0000E5090000}"/>
    <cellStyle name="Comma 4 4 2 2 9 2" xfId="29965" xr:uid="{8C029891-CF27-4481-ABE3-5E6714824148}"/>
    <cellStyle name="Comma 4 4 2 2 9 3" xfId="21524" xr:uid="{0778AE32-1387-48D0-ADB0-C40C03687919}"/>
    <cellStyle name="Comma 4 4 2 2 9 4" xfId="13076" xr:uid="{1A8AD413-69D4-41E3-A16D-8C9F2014197E}"/>
    <cellStyle name="Comma 4 4 2 3" xfId="691" xr:uid="{00000000-0005-0000-0000-0000E6090000}"/>
    <cellStyle name="Comma 4 4 2 3 2" xfId="2962" xr:uid="{00000000-0005-0000-0000-0000E7090000}"/>
    <cellStyle name="Comma 4 4 2 3 2 2" xfId="7184" xr:uid="{00000000-0005-0000-0000-0000E8090000}"/>
    <cellStyle name="Comma 4 4 2 3 2 2 2" xfId="32523" xr:uid="{A088F43C-04C9-4C44-BADB-3E05B2A30426}"/>
    <cellStyle name="Comma 4 4 2 3 2 2 3" xfId="24082" xr:uid="{FCC08E2A-D3C9-4D8C-ADA8-6A1A5ECC2DCC}"/>
    <cellStyle name="Comma 4 4 2 3 2 2 4" xfId="15634" xr:uid="{6B2C36C2-9270-4ABC-BBBB-D880B0907D14}"/>
    <cellStyle name="Comma 4 4 2 3 2 3" xfId="28305" xr:uid="{E317BAD6-EE52-4D59-A731-309E93E24D92}"/>
    <cellStyle name="Comma 4 4 2 3 2 4" xfId="19864" xr:uid="{FAE2F908-7D57-4B1C-BCE4-DB2AD1570C63}"/>
    <cellStyle name="Comma 4 4 2 3 2 5" xfId="11416" xr:uid="{1AAEF4C1-71F4-4A7F-94AC-BEB3CF0427CF}"/>
    <cellStyle name="Comma 4 4 2 3 3" xfId="5039" xr:uid="{00000000-0005-0000-0000-0000E9090000}"/>
    <cellStyle name="Comma 4 4 2 3 3 2" xfId="30378" xr:uid="{84D0B487-0886-4449-A158-249F40620B23}"/>
    <cellStyle name="Comma 4 4 2 3 3 3" xfId="21937" xr:uid="{67BCEC11-4011-4402-B14A-7D17BC4583E9}"/>
    <cellStyle name="Comma 4 4 2 3 3 4" xfId="13489" xr:uid="{FD106E28-DF93-4095-B7EB-81CB47EEE6B1}"/>
    <cellStyle name="Comma 4 4 2 3 4" xfId="26160" xr:uid="{3F2E76C5-9B02-49B3-AD2D-7A438BC937F7}"/>
    <cellStyle name="Comma 4 4 2 3 5" xfId="17719" xr:uid="{1FDA4624-31D5-4612-A222-C1CD698155B3}"/>
    <cellStyle name="Comma 4 4 2 3 6" xfId="9271" xr:uid="{61BDFE01-9899-4211-882C-1B595ABDCE19}"/>
    <cellStyle name="Comma 4 4 2 4" xfId="1144" xr:uid="{00000000-0005-0000-0000-0000EA090000}"/>
    <cellStyle name="Comma 4 4 2 4 2" xfId="3375" xr:uid="{00000000-0005-0000-0000-0000EB090000}"/>
    <cellStyle name="Comma 4 4 2 4 2 2" xfId="7597" xr:uid="{00000000-0005-0000-0000-0000EC090000}"/>
    <cellStyle name="Comma 4 4 2 4 2 2 2" xfId="32936" xr:uid="{DF57FA9F-A70C-4943-8186-35003899B970}"/>
    <cellStyle name="Comma 4 4 2 4 2 2 3" xfId="24495" xr:uid="{65D1307F-6EFB-4FE9-8E66-113FD92338A2}"/>
    <cellStyle name="Comma 4 4 2 4 2 2 4" xfId="16047" xr:uid="{17846860-CCD6-4A5B-A300-813FAA1E7541}"/>
    <cellStyle name="Comma 4 4 2 4 2 3" xfId="28718" xr:uid="{4833E8B8-7B40-4429-BE29-242E4476CAA3}"/>
    <cellStyle name="Comma 4 4 2 4 2 4" xfId="20277" xr:uid="{7095BDF0-7B47-4BFC-9B0F-140A1491E603}"/>
    <cellStyle name="Comma 4 4 2 4 2 5" xfId="11829" xr:uid="{3B9DD3A3-0D40-4943-9327-E26CB8ADD2D6}"/>
    <cellStyle name="Comma 4 4 2 4 3" xfId="5452" xr:uid="{00000000-0005-0000-0000-0000ED090000}"/>
    <cellStyle name="Comma 4 4 2 4 3 2" xfId="30791" xr:uid="{AB75B5A8-ED8E-4DA6-9BC7-577882773D7B}"/>
    <cellStyle name="Comma 4 4 2 4 3 3" xfId="22350" xr:uid="{4ABBEFE1-DF9F-4F8E-A9BA-5815C8E0CC61}"/>
    <cellStyle name="Comma 4 4 2 4 3 4" xfId="13902" xr:uid="{03DF82A4-977A-4F8D-B291-D20762F9062C}"/>
    <cellStyle name="Comma 4 4 2 4 4" xfId="26573" xr:uid="{A6FDAC74-CB7A-41FE-9388-01B085192FDE}"/>
    <cellStyle name="Comma 4 4 2 4 5" xfId="18132" xr:uid="{FE3454B4-6814-441B-BF98-26B069D4CEC1}"/>
    <cellStyle name="Comma 4 4 2 4 6" xfId="9684" xr:uid="{8804D38A-B101-4D27-B83F-8B7BA19F1947}"/>
    <cellStyle name="Comma 4 4 2 5" xfId="1558" xr:uid="{00000000-0005-0000-0000-0000EE090000}"/>
    <cellStyle name="Comma 4 4 2 5 2" xfId="3788" xr:uid="{00000000-0005-0000-0000-0000EF090000}"/>
    <cellStyle name="Comma 4 4 2 5 2 2" xfId="8010" xr:uid="{00000000-0005-0000-0000-0000F0090000}"/>
    <cellStyle name="Comma 4 4 2 5 2 2 2" xfId="33349" xr:uid="{00EB9252-93F4-470B-A11A-BC9AA3DF0F4A}"/>
    <cellStyle name="Comma 4 4 2 5 2 2 3" xfId="24908" xr:uid="{FB51E8CA-093F-4480-ABD8-D6BA75B7D097}"/>
    <cellStyle name="Comma 4 4 2 5 2 2 4" xfId="16460" xr:uid="{6A58B0B5-8280-4E84-AD96-BC11CF9E2C7E}"/>
    <cellStyle name="Comma 4 4 2 5 2 3" xfId="29131" xr:uid="{6F2116BB-4834-4AC0-B426-8CAFE7B2DDAC}"/>
    <cellStyle name="Comma 4 4 2 5 2 4" xfId="20690" xr:uid="{4FBF07C8-8708-4BE4-98FB-7E2CBD8506AC}"/>
    <cellStyle name="Comma 4 4 2 5 2 5" xfId="12242" xr:uid="{35C3961E-AB05-4099-A5CB-D64A7BF610A0}"/>
    <cellStyle name="Comma 4 4 2 5 3" xfId="5865" xr:uid="{00000000-0005-0000-0000-0000F1090000}"/>
    <cellStyle name="Comma 4 4 2 5 3 2" xfId="31204" xr:uid="{CCB4BC14-879F-45C1-9A3A-69BF0BB56534}"/>
    <cellStyle name="Comma 4 4 2 5 3 3" xfId="22763" xr:uid="{6F41D893-343B-45AB-9E69-F4BA4A8B3F1F}"/>
    <cellStyle name="Comma 4 4 2 5 3 4" xfId="14315" xr:uid="{EA743A7F-A765-4F0E-8EAD-F273D3AD57F6}"/>
    <cellStyle name="Comma 4 4 2 5 4" xfId="26986" xr:uid="{412EB333-535E-480F-9738-A7AD22E4EA98}"/>
    <cellStyle name="Comma 4 4 2 5 5" xfId="18545" xr:uid="{BFE7CD04-C599-44CB-B35E-9E3B8B10C922}"/>
    <cellStyle name="Comma 4 4 2 5 6" xfId="10097" xr:uid="{C5CD3F23-3F6C-4D8C-9631-A4FA574497D1}"/>
    <cellStyle name="Comma 4 4 2 6" xfId="1972" xr:uid="{00000000-0005-0000-0000-0000F2090000}"/>
    <cellStyle name="Comma 4 4 2 6 2" xfId="4201" xr:uid="{00000000-0005-0000-0000-0000F3090000}"/>
    <cellStyle name="Comma 4 4 2 6 2 2" xfId="8423" xr:uid="{00000000-0005-0000-0000-0000F4090000}"/>
    <cellStyle name="Comma 4 4 2 6 2 2 2" xfId="33762" xr:uid="{42677D61-6735-4897-860B-A0CB88D3C5F6}"/>
    <cellStyle name="Comma 4 4 2 6 2 2 3" xfId="25321" xr:uid="{3CCE1AA6-47C4-4BAF-B25E-4D4D79F4AF00}"/>
    <cellStyle name="Comma 4 4 2 6 2 2 4" xfId="16873" xr:uid="{863DFF81-8C0D-4AF5-A065-AA13C44CDB1E}"/>
    <cellStyle name="Comma 4 4 2 6 2 3" xfId="29544" xr:uid="{5939C874-FCCD-4E01-8D0F-6422B711970A}"/>
    <cellStyle name="Comma 4 4 2 6 2 4" xfId="21103" xr:uid="{148250DD-D492-4C85-BA9B-10A25029FC06}"/>
    <cellStyle name="Comma 4 4 2 6 2 5" xfId="12655" xr:uid="{0A3A59D5-F3BA-4813-93E1-6CED0F23979D}"/>
    <cellStyle name="Comma 4 4 2 6 3" xfId="6278" xr:uid="{00000000-0005-0000-0000-0000F5090000}"/>
    <cellStyle name="Comma 4 4 2 6 3 2" xfId="31617" xr:uid="{A1527367-423E-4E5F-9266-7438FA6D9111}"/>
    <cellStyle name="Comma 4 4 2 6 3 3" xfId="23176" xr:uid="{7BF1DA9B-3AD0-4A60-B799-974727424376}"/>
    <cellStyle name="Comma 4 4 2 6 3 4" xfId="14728" xr:uid="{2CE16B6E-0D6F-4D61-A232-9FA69273887B}"/>
    <cellStyle name="Comma 4 4 2 6 4" xfId="27399" xr:uid="{B0775176-63B4-4BB6-A5F1-8A9C8360BC18}"/>
    <cellStyle name="Comma 4 4 2 6 5" xfId="18958" xr:uid="{A36D417B-2F2B-420E-91E4-7056E070EB79}"/>
    <cellStyle name="Comma 4 4 2 6 6" xfId="10510" xr:uid="{E60FD465-32EB-486F-AD3F-342DCB27CB18}"/>
    <cellStyle name="Comma 4 4 2 7" xfId="2407" xr:uid="{00000000-0005-0000-0000-0000F6090000}"/>
    <cellStyle name="Comma 4 4 2 7 2" xfId="6691" xr:uid="{00000000-0005-0000-0000-0000F7090000}"/>
    <cellStyle name="Comma 4 4 2 7 2 2" xfId="32030" xr:uid="{2FE8CB79-785C-4DC7-918A-05D27E1D3B9F}"/>
    <cellStyle name="Comma 4 4 2 7 2 3" xfId="23589" xr:uid="{4F8D9F29-6F9D-4C91-A2E0-064786610997}"/>
    <cellStyle name="Comma 4 4 2 7 2 4" xfId="15141" xr:uid="{DF16FC26-E00C-4F95-B87B-26A9C502C4D6}"/>
    <cellStyle name="Comma 4 4 2 7 3" xfId="27812" xr:uid="{2D114FFC-A941-4EB2-8B2A-DCEBDF0511CF}"/>
    <cellStyle name="Comma 4 4 2 7 4" xfId="19371" xr:uid="{C207B942-C3FA-4A96-8018-8B5DCED2AB37}"/>
    <cellStyle name="Comma 4 4 2 7 5" xfId="10923" xr:uid="{8FB316E0-62B1-4609-800C-2A54CBAFBE90}"/>
    <cellStyle name="Comma 4 4 2 8" xfId="2703" xr:uid="{00000000-0005-0000-0000-0000F8090000}"/>
    <cellStyle name="Comma 4 4 2 9" xfId="2785" xr:uid="{00000000-0005-0000-0000-0000F9090000}"/>
    <cellStyle name="Comma 4 4 2 9 2" xfId="7008" xr:uid="{00000000-0005-0000-0000-0000FA090000}"/>
    <cellStyle name="Comma 4 4 2 9 2 2" xfId="32347" xr:uid="{5DEB7BE2-0DC6-4C06-A36F-403F1625A856}"/>
    <cellStyle name="Comma 4 4 2 9 2 3" xfId="23906" xr:uid="{A5DD7B94-517F-470E-8460-8ACC2C23F93A}"/>
    <cellStyle name="Comma 4 4 2 9 2 4" xfId="15458" xr:uid="{085D048F-7B2D-4B93-83A1-873E6D585522}"/>
    <cellStyle name="Comma 4 4 2 9 3" xfId="28129" xr:uid="{213212FC-B9D1-4173-A230-9CB423C58138}"/>
    <cellStyle name="Comma 4 4 2 9 4" xfId="19688" xr:uid="{6E286C22-C400-4847-8C96-C8147FB6F992}"/>
    <cellStyle name="Comma 4 4 2 9 5" xfId="11240" xr:uid="{0A93297F-C9AE-48C7-95C4-59768AF1FF6B}"/>
    <cellStyle name="Comma 4 4 3" xfId="156" xr:uid="{00000000-0005-0000-0000-0000FB090000}"/>
    <cellStyle name="Comma 4 4 3 10" xfId="25748" xr:uid="{D3F3FECC-E8BA-43A2-ABDD-0E3AC8DEBA66}"/>
    <cellStyle name="Comma 4 4 3 11" xfId="17307" xr:uid="{78CCF311-88C0-4EFD-A9EE-611C3F8F06C8}"/>
    <cellStyle name="Comma 4 4 3 12" xfId="8859" xr:uid="{CE573912-22E9-4D4B-990F-97534D5A326C}"/>
    <cellStyle name="Comma 4 4 3 2" xfId="693" xr:uid="{00000000-0005-0000-0000-0000FC090000}"/>
    <cellStyle name="Comma 4 4 3 2 2" xfId="2964" xr:uid="{00000000-0005-0000-0000-0000FD090000}"/>
    <cellStyle name="Comma 4 4 3 2 2 2" xfId="7186" xr:uid="{00000000-0005-0000-0000-0000FE090000}"/>
    <cellStyle name="Comma 4 4 3 2 2 2 2" xfId="32525" xr:uid="{75B8E9A8-B740-4808-BD43-4C3E7E57580F}"/>
    <cellStyle name="Comma 4 4 3 2 2 2 3" xfId="24084" xr:uid="{4E0EDC93-15C6-409C-A91A-FE1AFE06B1C2}"/>
    <cellStyle name="Comma 4 4 3 2 2 2 4" xfId="15636" xr:uid="{247A0265-D230-4671-AB84-6C05F7EBAEA1}"/>
    <cellStyle name="Comma 4 4 3 2 2 3" xfId="28307" xr:uid="{F89B9FC9-A6DC-40A0-B1DE-7315EBD38737}"/>
    <cellStyle name="Comma 4 4 3 2 2 4" xfId="19866" xr:uid="{5155BA54-2D9F-4A4B-9C59-D93AF023ECAA}"/>
    <cellStyle name="Comma 4 4 3 2 2 5" xfId="11418" xr:uid="{22B3EFD7-EE94-4928-A0A0-4819FF94083B}"/>
    <cellStyle name="Comma 4 4 3 2 3" xfId="5041" xr:uid="{00000000-0005-0000-0000-0000FF090000}"/>
    <cellStyle name="Comma 4 4 3 2 3 2" xfId="30380" xr:uid="{130418F8-802B-461B-BBA4-942B145C48E1}"/>
    <cellStyle name="Comma 4 4 3 2 3 3" xfId="21939" xr:uid="{02E96D0B-AA08-4735-A05F-0CB6310B7FC9}"/>
    <cellStyle name="Comma 4 4 3 2 3 4" xfId="13491" xr:uid="{B109FF56-8405-4523-A0A0-56B26A5F6C1F}"/>
    <cellStyle name="Comma 4 4 3 2 4" xfId="26162" xr:uid="{C1C63E33-C515-45A2-A03C-18DBB8B4249F}"/>
    <cellStyle name="Comma 4 4 3 2 5" xfId="17721" xr:uid="{F278601A-4332-4DD1-A99A-6BCD087265CF}"/>
    <cellStyle name="Comma 4 4 3 2 6" xfId="9273" xr:uid="{D5629E19-D6F8-496A-8F80-A1233C7541EF}"/>
    <cellStyle name="Comma 4 4 3 3" xfId="1146" xr:uid="{00000000-0005-0000-0000-0000000A0000}"/>
    <cellStyle name="Comma 4 4 3 3 2" xfId="3377" xr:uid="{00000000-0005-0000-0000-0000010A0000}"/>
    <cellStyle name="Comma 4 4 3 3 2 2" xfId="7599" xr:uid="{00000000-0005-0000-0000-0000020A0000}"/>
    <cellStyle name="Comma 4 4 3 3 2 2 2" xfId="32938" xr:uid="{192F9C40-3D88-4763-9B97-0C08B4EBCAF9}"/>
    <cellStyle name="Comma 4 4 3 3 2 2 3" xfId="24497" xr:uid="{D15B5FAC-DA46-4D6B-94B2-7BA273A269F9}"/>
    <cellStyle name="Comma 4 4 3 3 2 2 4" xfId="16049" xr:uid="{8AFEF43C-0EB1-42C0-991F-99B91275F8D3}"/>
    <cellStyle name="Comma 4 4 3 3 2 3" xfId="28720" xr:uid="{D17DAD72-A7EB-4F60-8ED8-8A202C459740}"/>
    <cellStyle name="Comma 4 4 3 3 2 4" xfId="20279" xr:uid="{540CC9AC-173A-4105-A58D-FC5B3E196B44}"/>
    <cellStyle name="Comma 4 4 3 3 2 5" xfId="11831" xr:uid="{FB143722-B848-4531-B43B-6F6F23DE656A}"/>
    <cellStyle name="Comma 4 4 3 3 3" xfId="5454" xr:uid="{00000000-0005-0000-0000-0000030A0000}"/>
    <cellStyle name="Comma 4 4 3 3 3 2" xfId="30793" xr:uid="{7A6FC3CB-BF9C-467A-ACE6-7123F3A174A3}"/>
    <cellStyle name="Comma 4 4 3 3 3 3" xfId="22352" xr:uid="{8BAE7A10-4C93-4CA0-A834-EA58C307D33E}"/>
    <cellStyle name="Comma 4 4 3 3 3 4" xfId="13904" xr:uid="{7A5E807A-80C6-4193-91EA-0E942D66DF80}"/>
    <cellStyle name="Comma 4 4 3 3 4" xfId="26575" xr:uid="{D63C3A5F-7AB4-478E-A971-F63D22C6702D}"/>
    <cellStyle name="Comma 4 4 3 3 5" xfId="18134" xr:uid="{05587087-7B59-41A8-B191-65E6BE45BB37}"/>
    <cellStyle name="Comma 4 4 3 3 6" xfId="9686" xr:uid="{14C4240C-2D54-4DDF-B9CB-844C6B2A8367}"/>
    <cellStyle name="Comma 4 4 3 4" xfId="1560" xr:uid="{00000000-0005-0000-0000-0000040A0000}"/>
    <cellStyle name="Comma 4 4 3 4 2" xfId="3790" xr:uid="{00000000-0005-0000-0000-0000050A0000}"/>
    <cellStyle name="Comma 4 4 3 4 2 2" xfId="8012" xr:uid="{00000000-0005-0000-0000-0000060A0000}"/>
    <cellStyle name="Comma 4 4 3 4 2 2 2" xfId="33351" xr:uid="{C503D6FA-733D-4F90-9738-45B2C33288C0}"/>
    <cellStyle name="Comma 4 4 3 4 2 2 3" xfId="24910" xr:uid="{3003B2D3-6815-4EEF-8A52-86B0E7CFD0D1}"/>
    <cellStyle name="Comma 4 4 3 4 2 2 4" xfId="16462" xr:uid="{53AB81C9-5386-47B6-AEE5-1F22C5EDE76D}"/>
    <cellStyle name="Comma 4 4 3 4 2 3" xfId="29133" xr:uid="{89B9D48B-7ACD-4013-A91F-46C313B306AA}"/>
    <cellStyle name="Comma 4 4 3 4 2 4" xfId="20692" xr:uid="{75F4ACB6-2685-4435-855F-21693F42FE0D}"/>
    <cellStyle name="Comma 4 4 3 4 2 5" xfId="12244" xr:uid="{4E139E66-6D05-49BE-83FF-83EB87563DB8}"/>
    <cellStyle name="Comma 4 4 3 4 3" xfId="5867" xr:uid="{00000000-0005-0000-0000-0000070A0000}"/>
    <cellStyle name="Comma 4 4 3 4 3 2" xfId="31206" xr:uid="{1A819FC7-65D0-4828-9D38-5475CE84D195}"/>
    <cellStyle name="Comma 4 4 3 4 3 3" xfId="22765" xr:uid="{0D1D0563-F284-4074-905C-243351B79847}"/>
    <cellStyle name="Comma 4 4 3 4 3 4" xfId="14317" xr:uid="{9BDD39A1-FF1B-405D-9242-0B4D6BF81D33}"/>
    <cellStyle name="Comma 4 4 3 4 4" xfId="26988" xr:uid="{2DA6CFAC-6959-4626-A8F6-ABFD6B78B734}"/>
    <cellStyle name="Comma 4 4 3 4 5" xfId="18547" xr:uid="{EA3C7E33-CAE2-4687-8C35-C31F764DD554}"/>
    <cellStyle name="Comma 4 4 3 4 6" xfId="10099" xr:uid="{92D16076-E05B-45F5-B377-6447318EB762}"/>
    <cellStyle name="Comma 4 4 3 5" xfId="1974" xr:uid="{00000000-0005-0000-0000-0000080A0000}"/>
    <cellStyle name="Comma 4 4 3 5 2" xfId="4203" xr:uid="{00000000-0005-0000-0000-0000090A0000}"/>
    <cellStyle name="Comma 4 4 3 5 2 2" xfId="8425" xr:uid="{00000000-0005-0000-0000-00000A0A0000}"/>
    <cellStyle name="Comma 4 4 3 5 2 2 2" xfId="33764" xr:uid="{A81471A2-E6A8-4F72-A724-2CCBDDAD4158}"/>
    <cellStyle name="Comma 4 4 3 5 2 2 3" xfId="25323" xr:uid="{17CD42F4-B881-4BB4-9812-759918520744}"/>
    <cellStyle name="Comma 4 4 3 5 2 2 4" xfId="16875" xr:uid="{79DD8D89-1BFA-4048-8307-DEB61F465219}"/>
    <cellStyle name="Comma 4 4 3 5 2 3" xfId="29546" xr:uid="{BB3A122C-26D8-4217-9FBA-6EFE1A4E9DC3}"/>
    <cellStyle name="Comma 4 4 3 5 2 4" xfId="21105" xr:uid="{C7C639DE-ED81-458F-AB0D-A334B0CBF5A1}"/>
    <cellStyle name="Comma 4 4 3 5 2 5" xfId="12657" xr:uid="{E648B81B-01CD-4850-A8B0-3BE6476F96F3}"/>
    <cellStyle name="Comma 4 4 3 5 3" xfId="6280" xr:uid="{00000000-0005-0000-0000-00000B0A0000}"/>
    <cellStyle name="Comma 4 4 3 5 3 2" xfId="31619" xr:uid="{E8C64224-427E-46EC-9930-CEA38F7CA294}"/>
    <cellStyle name="Comma 4 4 3 5 3 3" xfId="23178" xr:uid="{F1A49CAD-2F9A-4F57-A890-94DC043C4346}"/>
    <cellStyle name="Comma 4 4 3 5 3 4" xfId="14730" xr:uid="{6F6456A1-E9C4-4884-994E-3613C6D9D096}"/>
    <cellStyle name="Comma 4 4 3 5 4" xfId="27401" xr:uid="{835DA1E4-C156-4901-9EA0-12818596AFF8}"/>
    <cellStyle name="Comma 4 4 3 5 5" xfId="18960" xr:uid="{C2CB7055-1A10-4D1B-B661-366E66DFEDCE}"/>
    <cellStyle name="Comma 4 4 3 5 6" xfId="10512" xr:uid="{AC58FDF0-6D11-422C-A21F-2EFA688FA3D3}"/>
    <cellStyle name="Comma 4 4 3 6" xfId="2409" xr:uid="{00000000-0005-0000-0000-00000C0A0000}"/>
    <cellStyle name="Comma 4 4 3 6 2" xfId="6693" xr:uid="{00000000-0005-0000-0000-00000D0A0000}"/>
    <cellStyle name="Comma 4 4 3 6 2 2" xfId="32032" xr:uid="{F64649A0-5C24-40DA-874C-A6F260CE446D}"/>
    <cellStyle name="Comma 4 4 3 6 2 3" xfId="23591" xr:uid="{6F6983F2-6468-4E55-A45D-B3E29BA56786}"/>
    <cellStyle name="Comma 4 4 3 6 2 4" xfId="15143" xr:uid="{432CE644-04AD-419F-8118-D33393E2FC15}"/>
    <cellStyle name="Comma 4 4 3 6 3" xfId="27814" xr:uid="{365AA9D3-9AF1-4B9C-B55B-6F5ADD6DB268}"/>
    <cellStyle name="Comma 4 4 3 6 4" xfId="19373" xr:uid="{E294BE64-3E01-44A8-A7BD-5AA6A7773144}"/>
    <cellStyle name="Comma 4 4 3 6 5" xfId="10925" xr:uid="{7EDE681C-7960-4A5D-9C1B-B465D209CDA0}"/>
    <cellStyle name="Comma 4 4 3 7" xfId="2705" xr:uid="{00000000-0005-0000-0000-00000E0A0000}"/>
    <cellStyle name="Comma 4 4 3 8" xfId="2787" xr:uid="{00000000-0005-0000-0000-00000F0A0000}"/>
    <cellStyle name="Comma 4 4 3 8 2" xfId="7010" xr:uid="{00000000-0005-0000-0000-0000100A0000}"/>
    <cellStyle name="Comma 4 4 3 8 2 2" xfId="32349" xr:uid="{9A377711-3CAA-4CC2-8880-24576DE01B3A}"/>
    <cellStyle name="Comma 4 4 3 8 2 3" xfId="23908" xr:uid="{9CC79F2D-0A3F-4984-8A20-4EC89197EEFA}"/>
    <cellStyle name="Comma 4 4 3 8 2 4" xfId="15460" xr:uid="{494CB3B1-F631-4E6D-8ED6-04EA01581745}"/>
    <cellStyle name="Comma 4 4 3 8 3" xfId="28131" xr:uid="{E4CCAF7E-966D-43ED-9AB1-83A9DAA113F1}"/>
    <cellStyle name="Comma 4 4 3 8 4" xfId="19690" xr:uid="{A1837069-ACA0-4B0D-B1F6-523A7E109D66}"/>
    <cellStyle name="Comma 4 4 3 8 5" xfId="11242" xr:uid="{EA54FBC0-20C9-4815-B48F-ED419DD30510}"/>
    <cellStyle name="Comma 4 4 3 9" xfId="4627" xr:uid="{00000000-0005-0000-0000-0000110A0000}"/>
    <cellStyle name="Comma 4 4 3 9 2" xfId="29966" xr:uid="{1C7DAD91-73C6-49E0-87A2-E7E9B20C64FA}"/>
    <cellStyle name="Comma 4 4 3 9 3" xfId="21525" xr:uid="{37621574-B014-47F5-B597-0232EF46E4A9}"/>
    <cellStyle name="Comma 4 4 3 9 4" xfId="13077" xr:uid="{A45A4DCA-90B0-4504-B533-B072F3672771}"/>
    <cellStyle name="Comma 4 4 4" xfId="690" xr:uid="{00000000-0005-0000-0000-0000120A0000}"/>
    <cellStyle name="Comma 4 4 4 2" xfId="2961" xr:uid="{00000000-0005-0000-0000-0000130A0000}"/>
    <cellStyle name="Comma 4 4 4 2 2" xfId="7183" xr:uid="{00000000-0005-0000-0000-0000140A0000}"/>
    <cellStyle name="Comma 4 4 4 2 2 2" xfId="32522" xr:uid="{E7C25A6A-B526-404D-A08D-0DD57F248706}"/>
    <cellStyle name="Comma 4 4 4 2 2 3" xfId="24081" xr:uid="{7D71FFC4-D95E-49AF-9BC7-DF7F369ABBD9}"/>
    <cellStyle name="Comma 4 4 4 2 2 4" xfId="15633" xr:uid="{8D11326C-09FD-4C56-A983-087A8A07EAC0}"/>
    <cellStyle name="Comma 4 4 4 2 3" xfId="28304" xr:uid="{3CD5D729-8F74-4488-86DA-C77AC7C993CD}"/>
    <cellStyle name="Comma 4 4 4 2 4" xfId="19863" xr:uid="{31821A9F-9EB8-481F-85EF-64D2ACF439F1}"/>
    <cellStyle name="Comma 4 4 4 2 5" xfId="11415" xr:uid="{D83CCFE3-42FD-46FC-BCA2-A032A32E46AF}"/>
    <cellStyle name="Comma 4 4 4 3" xfId="5038" xr:uid="{00000000-0005-0000-0000-0000150A0000}"/>
    <cellStyle name="Comma 4 4 4 3 2" xfId="30377" xr:uid="{25973EAE-F5DF-4F5D-A014-B002D4E99779}"/>
    <cellStyle name="Comma 4 4 4 3 3" xfId="21936" xr:uid="{FC565A47-D76C-4A61-9940-5D3860DCE12C}"/>
    <cellStyle name="Comma 4 4 4 3 4" xfId="13488" xr:uid="{6708B1C8-8783-492B-A6F8-A27704D3B2D5}"/>
    <cellStyle name="Comma 4 4 4 4" xfId="26159" xr:uid="{AA22E2CD-85F6-4429-8423-F16B596BCEF3}"/>
    <cellStyle name="Comma 4 4 4 5" xfId="17718" xr:uid="{1F057993-B6E7-45FF-B5F3-AFC0169C2180}"/>
    <cellStyle name="Comma 4 4 4 6" xfId="9270" xr:uid="{187137B4-F1E1-4252-A9AC-F76E7CF3A2DF}"/>
    <cellStyle name="Comma 4 4 5" xfId="1143" xr:uid="{00000000-0005-0000-0000-0000160A0000}"/>
    <cellStyle name="Comma 4 4 5 2" xfId="3374" xr:uid="{00000000-0005-0000-0000-0000170A0000}"/>
    <cellStyle name="Comma 4 4 5 2 2" xfId="7596" xr:uid="{00000000-0005-0000-0000-0000180A0000}"/>
    <cellStyle name="Comma 4 4 5 2 2 2" xfId="32935" xr:uid="{559AF2D4-6C8A-41F3-BA8B-EEE31261CF91}"/>
    <cellStyle name="Comma 4 4 5 2 2 3" xfId="24494" xr:uid="{1DDBD4D6-2C10-4CA1-870C-69A5191849A8}"/>
    <cellStyle name="Comma 4 4 5 2 2 4" xfId="16046" xr:uid="{E4DBEE5D-6389-4EDE-B3E7-273DDBE9CEA3}"/>
    <cellStyle name="Comma 4 4 5 2 3" xfId="28717" xr:uid="{06FB68AE-8B1E-452D-A113-99675FCD77D8}"/>
    <cellStyle name="Comma 4 4 5 2 4" xfId="20276" xr:uid="{D6F234BA-549D-48C3-97FA-A1BE747D3C16}"/>
    <cellStyle name="Comma 4 4 5 2 5" xfId="11828" xr:uid="{3A97A0FA-2AE7-48C5-AA47-C682546BE5AC}"/>
    <cellStyle name="Comma 4 4 5 3" xfId="5451" xr:uid="{00000000-0005-0000-0000-0000190A0000}"/>
    <cellStyle name="Comma 4 4 5 3 2" xfId="30790" xr:uid="{68E3D23E-479F-4E05-A205-73017F88FA6E}"/>
    <cellStyle name="Comma 4 4 5 3 3" xfId="22349" xr:uid="{3D298A60-AB53-4C1F-8901-F04BC4FE18AA}"/>
    <cellStyle name="Comma 4 4 5 3 4" xfId="13901" xr:uid="{A3ED9A30-BC25-467E-816E-88CDC5791CC8}"/>
    <cellStyle name="Comma 4 4 5 4" xfId="26572" xr:uid="{9FFBF9B7-0577-4F72-95EA-A36577CDABA6}"/>
    <cellStyle name="Comma 4 4 5 5" xfId="18131" xr:uid="{41D4F9D9-28A4-4CFF-AB8D-5E5E23BAC66B}"/>
    <cellStyle name="Comma 4 4 5 6" xfId="9683" xr:uid="{DEF52047-4A7F-4764-9066-BF4EBFD23456}"/>
    <cellStyle name="Comma 4 4 6" xfId="1557" xr:uid="{00000000-0005-0000-0000-00001A0A0000}"/>
    <cellStyle name="Comma 4 4 6 2" xfId="3787" xr:uid="{00000000-0005-0000-0000-00001B0A0000}"/>
    <cellStyle name="Comma 4 4 6 2 2" xfId="8009" xr:uid="{00000000-0005-0000-0000-00001C0A0000}"/>
    <cellStyle name="Comma 4 4 6 2 2 2" xfId="33348" xr:uid="{F96F5DB0-BFE9-417B-B33B-6EDD3EA19011}"/>
    <cellStyle name="Comma 4 4 6 2 2 3" xfId="24907" xr:uid="{1A7B9F5C-6BB3-42FE-87EF-51F4C6108509}"/>
    <cellStyle name="Comma 4 4 6 2 2 4" xfId="16459" xr:uid="{927960E0-6584-4E94-8508-BF7A419B1ACD}"/>
    <cellStyle name="Comma 4 4 6 2 3" xfId="29130" xr:uid="{AA2AC3C2-2386-4345-9BFE-36CAF3FC6864}"/>
    <cellStyle name="Comma 4 4 6 2 4" xfId="20689" xr:uid="{B767A381-5303-428B-B37F-5B63088DFE12}"/>
    <cellStyle name="Comma 4 4 6 2 5" xfId="12241" xr:uid="{C96BE17E-527F-4941-835D-902652C026BC}"/>
    <cellStyle name="Comma 4 4 6 3" xfId="5864" xr:uid="{00000000-0005-0000-0000-00001D0A0000}"/>
    <cellStyle name="Comma 4 4 6 3 2" xfId="31203" xr:uid="{4DA67AFD-5864-48BC-8CF7-D6F9898860E9}"/>
    <cellStyle name="Comma 4 4 6 3 3" xfId="22762" xr:uid="{08B30748-6816-4529-A852-DB5B570F7020}"/>
    <cellStyle name="Comma 4 4 6 3 4" xfId="14314" xr:uid="{76F3FF39-B4AB-454F-A0F0-08C3575AF592}"/>
    <cellStyle name="Comma 4 4 6 4" xfId="26985" xr:uid="{3C874670-35E9-490F-920A-8798080A0C18}"/>
    <cellStyle name="Comma 4 4 6 5" xfId="18544" xr:uid="{3884DEBC-522B-4F88-BB84-B696F488B8E9}"/>
    <cellStyle name="Comma 4 4 6 6" xfId="10096" xr:uid="{8C8137A0-ECB0-43CC-9271-216020E745CD}"/>
    <cellStyle name="Comma 4 4 7" xfId="1971" xr:uid="{00000000-0005-0000-0000-00001E0A0000}"/>
    <cellStyle name="Comma 4 4 7 2" xfId="4200" xr:uid="{00000000-0005-0000-0000-00001F0A0000}"/>
    <cellStyle name="Comma 4 4 7 2 2" xfId="8422" xr:uid="{00000000-0005-0000-0000-0000200A0000}"/>
    <cellStyle name="Comma 4 4 7 2 2 2" xfId="33761" xr:uid="{2C993F07-BB92-4190-9F85-33894CAAD8B6}"/>
    <cellStyle name="Comma 4 4 7 2 2 3" xfId="25320" xr:uid="{6CC49AD5-A24D-427E-9E85-3A44DBFF3299}"/>
    <cellStyle name="Comma 4 4 7 2 2 4" xfId="16872" xr:uid="{38AA8E68-0BCB-451D-B918-B90CC073CB3C}"/>
    <cellStyle name="Comma 4 4 7 2 3" xfId="29543" xr:uid="{4D847B68-8298-4150-9F35-13346978A222}"/>
    <cellStyle name="Comma 4 4 7 2 4" xfId="21102" xr:uid="{B40B9805-AF97-4550-8634-A23F94B536FB}"/>
    <cellStyle name="Comma 4 4 7 2 5" xfId="12654" xr:uid="{A2DCCB07-E9B5-41F6-9F4F-D9D77C5D0D17}"/>
    <cellStyle name="Comma 4 4 7 3" xfId="6277" xr:uid="{00000000-0005-0000-0000-0000210A0000}"/>
    <cellStyle name="Comma 4 4 7 3 2" xfId="31616" xr:uid="{92EAD51E-27A2-461E-836A-93F5DE935504}"/>
    <cellStyle name="Comma 4 4 7 3 3" xfId="23175" xr:uid="{A8336107-278B-4BFF-AFA8-FCEE1308A69F}"/>
    <cellStyle name="Comma 4 4 7 3 4" xfId="14727" xr:uid="{BD097B2B-D835-4BC0-ACC9-9A95FE656821}"/>
    <cellStyle name="Comma 4 4 7 4" xfId="27398" xr:uid="{68CFCF05-9139-4FA8-9E11-3749C6BBE01C}"/>
    <cellStyle name="Comma 4 4 7 5" xfId="18957" xr:uid="{190376EF-DB09-4E7F-BA1F-A669DA420D38}"/>
    <cellStyle name="Comma 4 4 7 6" xfId="10509" xr:uid="{86C61032-7494-41B2-BE2A-443592735BDB}"/>
    <cellStyle name="Comma 4 4 8" xfId="2406" xr:uid="{00000000-0005-0000-0000-0000220A0000}"/>
    <cellStyle name="Comma 4 4 8 2" xfId="6690" xr:uid="{00000000-0005-0000-0000-0000230A0000}"/>
    <cellStyle name="Comma 4 4 8 2 2" xfId="32029" xr:uid="{B16A095E-BBF2-42E6-81C0-C8E2E35C9826}"/>
    <cellStyle name="Comma 4 4 8 2 3" xfId="23588" xr:uid="{6708109A-4931-4754-A8D4-F2025A8764C4}"/>
    <cellStyle name="Comma 4 4 8 2 4" xfId="15140" xr:uid="{AF23A831-EDBC-4940-ACAC-8B8A929692C7}"/>
    <cellStyle name="Comma 4 4 8 3" xfId="27811" xr:uid="{5C633468-BE7B-442C-A7AA-06D1B28B5F53}"/>
    <cellStyle name="Comma 4 4 8 4" xfId="19370" xr:uid="{BD51CF12-B4B4-4623-A55C-8DE7BEF286DE}"/>
    <cellStyle name="Comma 4 4 8 5" xfId="10922" xr:uid="{502E8FEB-11D7-446E-B866-15A013D01348}"/>
    <cellStyle name="Comma 4 4 9" xfId="2702" xr:uid="{00000000-0005-0000-0000-0000240A0000}"/>
    <cellStyle name="Comma 4 5" xfId="157" xr:uid="{00000000-0005-0000-0000-0000250A0000}"/>
    <cellStyle name="Comma 4 5 10" xfId="4628" xr:uid="{00000000-0005-0000-0000-0000260A0000}"/>
    <cellStyle name="Comma 4 5 10 2" xfId="29967" xr:uid="{66C20297-1922-4F8E-8B15-9978BCC4D060}"/>
    <cellStyle name="Comma 4 5 10 3" xfId="21526" xr:uid="{8FA92371-7BD1-442E-822F-1317384A9092}"/>
    <cellStyle name="Comma 4 5 10 4" xfId="13078" xr:uid="{EF4965D7-A5C5-4D2C-A6D5-D02499CAC57F}"/>
    <cellStyle name="Comma 4 5 11" xfId="25749" xr:uid="{9AA544AE-EAAD-431D-8205-1E17427409C8}"/>
    <cellStyle name="Comma 4 5 12" xfId="17308" xr:uid="{AD01286F-C64D-4303-BB66-1D2792791CBB}"/>
    <cellStyle name="Comma 4 5 13" xfId="8860" xr:uid="{9C5C9E12-488C-4220-8386-F44C9C06E6EA}"/>
    <cellStyle name="Comma 4 5 2" xfId="158" xr:uid="{00000000-0005-0000-0000-0000270A0000}"/>
    <cellStyle name="Comma 4 5 2 10" xfId="25750" xr:uid="{79707401-8CAB-48EA-82F2-CC6EBC79231D}"/>
    <cellStyle name="Comma 4 5 2 11" xfId="17309" xr:uid="{5777A6E0-ADDF-4BD6-86BB-C334982AAC7C}"/>
    <cellStyle name="Comma 4 5 2 12" xfId="8861" xr:uid="{3B46D806-547C-4A54-B640-C8DADE76D7C9}"/>
    <cellStyle name="Comma 4 5 2 2" xfId="695" xr:uid="{00000000-0005-0000-0000-0000280A0000}"/>
    <cellStyle name="Comma 4 5 2 2 2" xfId="2966" xr:uid="{00000000-0005-0000-0000-0000290A0000}"/>
    <cellStyle name="Comma 4 5 2 2 2 2" xfId="7188" xr:uid="{00000000-0005-0000-0000-00002A0A0000}"/>
    <cellStyle name="Comma 4 5 2 2 2 2 2" xfId="32527" xr:uid="{5E9F32DB-FF43-4FE6-B7F9-4512ABB92167}"/>
    <cellStyle name="Comma 4 5 2 2 2 2 3" xfId="24086" xr:uid="{8D5076D5-E307-476B-B628-8A71CF40ABFF}"/>
    <cellStyle name="Comma 4 5 2 2 2 2 4" xfId="15638" xr:uid="{8B68A1B4-CADF-4FB9-BD1A-BFE6D165031D}"/>
    <cellStyle name="Comma 4 5 2 2 2 3" xfId="28309" xr:uid="{49DB7ACC-EDB4-4F04-AF31-395DE0AF72B0}"/>
    <cellStyle name="Comma 4 5 2 2 2 4" xfId="19868" xr:uid="{E78E35D0-912E-4672-9372-1F9EAB9E925F}"/>
    <cellStyle name="Comma 4 5 2 2 2 5" xfId="11420" xr:uid="{4C8FBF1C-4C20-4E4A-A9C6-85032A7B3677}"/>
    <cellStyle name="Comma 4 5 2 2 3" xfId="5043" xr:uid="{00000000-0005-0000-0000-00002B0A0000}"/>
    <cellStyle name="Comma 4 5 2 2 3 2" xfId="30382" xr:uid="{B727BFC7-9A89-4E82-A100-B670418F60A5}"/>
    <cellStyle name="Comma 4 5 2 2 3 3" xfId="21941" xr:uid="{7CA3E207-FD3D-4267-AF84-A2B455FB0682}"/>
    <cellStyle name="Comma 4 5 2 2 3 4" xfId="13493" xr:uid="{D7C4270E-73D0-4CC9-89B7-C7FB018DE126}"/>
    <cellStyle name="Comma 4 5 2 2 4" xfId="26164" xr:uid="{E98FA986-D59F-412B-870C-3CAAFFFCF57A}"/>
    <cellStyle name="Comma 4 5 2 2 5" xfId="17723" xr:uid="{503ECC6E-F9C0-47AF-9964-120635F42150}"/>
    <cellStyle name="Comma 4 5 2 2 6" xfId="9275" xr:uid="{8DDEC9DC-9C17-41A4-91AC-F30E7AEEA242}"/>
    <cellStyle name="Comma 4 5 2 3" xfId="1148" xr:uid="{00000000-0005-0000-0000-00002C0A0000}"/>
    <cellStyle name="Comma 4 5 2 3 2" xfId="3379" xr:uid="{00000000-0005-0000-0000-00002D0A0000}"/>
    <cellStyle name="Comma 4 5 2 3 2 2" xfId="7601" xr:uid="{00000000-0005-0000-0000-00002E0A0000}"/>
    <cellStyle name="Comma 4 5 2 3 2 2 2" xfId="32940" xr:uid="{348B4D3F-DD42-4FFF-9010-5C776C44C6A2}"/>
    <cellStyle name="Comma 4 5 2 3 2 2 3" xfId="24499" xr:uid="{EF8BB502-8AA2-4DAE-BAFF-CB0DCBF4EDF1}"/>
    <cellStyle name="Comma 4 5 2 3 2 2 4" xfId="16051" xr:uid="{85A74763-A57E-4BED-87D3-F1FC7D10E5B8}"/>
    <cellStyle name="Comma 4 5 2 3 2 3" xfId="28722" xr:uid="{B236ED40-8935-40A8-B23D-D9EC7E2C7A13}"/>
    <cellStyle name="Comma 4 5 2 3 2 4" xfId="20281" xr:uid="{85849395-3A5A-4BEB-9BEC-68D1E5CB490E}"/>
    <cellStyle name="Comma 4 5 2 3 2 5" xfId="11833" xr:uid="{CDEF789E-60A0-42A0-8D8E-2C460BBA8CDF}"/>
    <cellStyle name="Comma 4 5 2 3 3" xfId="5456" xr:uid="{00000000-0005-0000-0000-00002F0A0000}"/>
    <cellStyle name="Comma 4 5 2 3 3 2" xfId="30795" xr:uid="{5088BC96-9FDB-42AA-A911-9D2E6A387CD4}"/>
    <cellStyle name="Comma 4 5 2 3 3 3" xfId="22354" xr:uid="{2D2EF8B6-FC0E-4EAB-8186-84CB375E67CD}"/>
    <cellStyle name="Comma 4 5 2 3 3 4" xfId="13906" xr:uid="{65EE41D3-5923-442E-8560-4D089C04B908}"/>
    <cellStyle name="Comma 4 5 2 3 4" xfId="26577" xr:uid="{15D39100-39DF-49FC-89FC-164B101FA56E}"/>
    <cellStyle name="Comma 4 5 2 3 5" xfId="18136" xr:uid="{F9B44529-FCD4-489D-A290-6A18B3E582B6}"/>
    <cellStyle name="Comma 4 5 2 3 6" xfId="9688" xr:uid="{E73510C8-3D7E-44B3-81BA-1FCA6FA64E76}"/>
    <cellStyle name="Comma 4 5 2 4" xfId="1562" xr:uid="{00000000-0005-0000-0000-0000300A0000}"/>
    <cellStyle name="Comma 4 5 2 4 2" xfId="3792" xr:uid="{00000000-0005-0000-0000-0000310A0000}"/>
    <cellStyle name="Comma 4 5 2 4 2 2" xfId="8014" xr:uid="{00000000-0005-0000-0000-0000320A0000}"/>
    <cellStyle name="Comma 4 5 2 4 2 2 2" xfId="33353" xr:uid="{EF88E6FC-D932-4143-9AEB-E9F956EEAFE2}"/>
    <cellStyle name="Comma 4 5 2 4 2 2 3" xfId="24912" xr:uid="{EF843FC4-4FFD-44FB-8898-4B8A310DAA54}"/>
    <cellStyle name="Comma 4 5 2 4 2 2 4" xfId="16464" xr:uid="{1B3B40ED-A937-4455-9714-5171ECCBF59F}"/>
    <cellStyle name="Comma 4 5 2 4 2 3" xfId="29135" xr:uid="{6F68C5D5-9025-4D57-8DCC-DFF8842DF290}"/>
    <cellStyle name="Comma 4 5 2 4 2 4" xfId="20694" xr:uid="{AD146B1F-5C5D-428A-B620-11079800359A}"/>
    <cellStyle name="Comma 4 5 2 4 2 5" xfId="12246" xr:uid="{33CA7FC0-7C0F-4460-AF43-BFB604D03D13}"/>
    <cellStyle name="Comma 4 5 2 4 3" xfId="5869" xr:uid="{00000000-0005-0000-0000-0000330A0000}"/>
    <cellStyle name="Comma 4 5 2 4 3 2" xfId="31208" xr:uid="{B4438282-F91F-4C6D-B40E-08F8B6661A32}"/>
    <cellStyle name="Comma 4 5 2 4 3 3" xfId="22767" xr:uid="{473DD4A4-B589-4A0F-AA12-0E1C292E5022}"/>
    <cellStyle name="Comma 4 5 2 4 3 4" xfId="14319" xr:uid="{F56424DA-4990-4454-ACF8-4AF7B1BE0B94}"/>
    <cellStyle name="Comma 4 5 2 4 4" xfId="26990" xr:uid="{05C85D29-8A96-477F-AD27-F595860E1534}"/>
    <cellStyle name="Comma 4 5 2 4 5" xfId="18549" xr:uid="{2F9F5413-BE95-4D96-9416-D3C083FFE967}"/>
    <cellStyle name="Comma 4 5 2 4 6" xfId="10101" xr:uid="{4373830C-E801-4915-9AA4-04B7EE054B87}"/>
    <cellStyle name="Comma 4 5 2 5" xfId="1976" xr:uid="{00000000-0005-0000-0000-0000340A0000}"/>
    <cellStyle name="Comma 4 5 2 5 2" xfId="4205" xr:uid="{00000000-0005-0000-0000-0000350A0000}"/>
    <cellStyle name="Comma 4 5 2 5 2 2" xfId="8427" xr:uid="{00000000-0005-0000-0000-0000360A0000}"/>
    <cellStyle name="Comma 4 5 2 5 2 2 2" xfId="33766" xr:uid="{A13DFA1B-686F-4454-9387-1E4B6B170664}"/>
    <cellStyle name="Comma 4 5 2 5 2 2 3" xfId="25325" xr:uid="{408C0F20-6833-4A44-A4D5-563F17642EE7}"/>
    <cellStyle name="Comma 4 5 2 5 2 2 4" xfId="16877" xr:uid="{FED00F1F-C16B-4949-8184-7B0ED6BBCA26}"/>
    <cellStyle name="Comma 4 5 2 5 2 3" xfId="29548" xr:uid="{E321CE52-3FA9-49D4-B6C3-1206E8C11DA0}"/>
    <cellStyle name="Comma 4 5 2 5 2 4" xfId="21107" xr:uid="{FCED3A2C-6D9F-4DB3-B9E9-34A006B15FC3}"/>
    <cellStyle name="Comma 4 5 2 5 2 5" xfId="12659" xr:uid="{548FCB60-2530-4851-83FF-0EE5AB78E67B}"/>
    <cellStyle name="Comma 4 5 2 5 3" xfId="6282" xr:uid="{00000000-0005-0000-0000-0000370A0000}"/>
    <cellStyle name="Comma 4 5 2 5 3 2" xfId="31621" xr:uid="{5F380EEB-116B-4A57-B094-4F78DCEF0673}"/>
    <cellStyle name="Comma 4 5 2 5 3 3" xfId="23180" xr:uid="{9A47CA94-3242-4248-BA9B-1030026270A8}"/>
    <cellStyle name="Comma 4 5 2 5 3 4" xfId="14732" xr:uid="{BBC3DF9D-3B9C-429E-9D10-8B99B88BAEE3}"/>
    <cellStyle name="Comma 4 5 2 5 4" xfId="27403" xr:uid="{0E848D59-8DB8-4FD3-91EB-9FCBE3199CF6}"/>
    <cellStyle name="Comma 4 5 2 5 5" xfId="18962" xr:uid="{C4B379EB-2830-4A33-9390-1C6BF90A4F92}"/>
    <cellStyle name="Comma 4 5 2 5 6" xfId="10514" xr:uid="{15753430-974D-4ABC-9F36-B2913ED9664F}"/>
    <cellStyle name="Comma 4 5 2 6" xfId="2411" xr:uid="{00000000-0005-0000-0000-0000380A0000}"/>
    <cellStyle name="Comma 4 5 2 6 2" xfId="6695" xr:uid="{00000000-0005-0000-0000-0000390A0000}"/>
    <cellStyle name="Comma 4 5 2 6 2 2" xfId="32034" xr:uid="{8CDBDEA2-71F4-4783-BA2F-CE38103AE656}"/>
    <cellStyle name="Comma 4 5 2 6 2 3" xfId="23593" xr:uid="{5DFD21F6-508A-4376-89DB-81785CF9E115}"/>
    <cellStyle name="Comma 4 5 2 6 2 4" xfId="15145" xr:uid="{00EDD04E-6891-494E-889F-75434467944D}"/>
    <cellStyle name="Comma 4 5 2 6 3" xfId="27816" xr:uid="{24A3D8DD-899E-43ED-BFC5-E14B6E046909}"/>
    <cellStyle name="Comma 4 5 2 6 4" xfId="19375" xr:uid="{CB7041F2-4B8F-4F69-BF78-C3EA5731DC8B}"/>
    <cellStyle name="Comma 4 5 2 6 5" xfId="10927" xr:uid="{2BC24F83-66BE-42F9-A8AD-1969C0E513DD}"/>
    <cellStyle name="Comma 4 5 2 7" xfId="2707" xr:uid="{00000000-0005-0000-0000-00003A0A0000}"/>
    <cellStyle name="Comma 4 5 2 8" xfId="2789" xr:uid="{00000000-0005-0000-0000-00003B0A0000}"/>
    <cellStyle name="Comma 4 5 2 8 2" xfId="7012" xr:uid="{00000000-0005-0000-0000-00003C0A0000}"/>
    <cellStyle name="Comma 4 5 2 8 2 2" xfId="32351" xr:uid="{0A38980A-D8C4-42EA-8353-41B637E1DF53}"/>
    <cellStyle name="Comma 4 5 2 8 2 3" xfId="23910" xr:uid="{20B6781C-8F9D-444E-9639-7451CA39A18A}"/>
    <cellStyle name="Comma 4 5 2 8 2 4" xfId="15462" xr:uid="{02D820B0-DC5F-4E5B-92CF-A96A1680C4FD}"/>
    <cellStyle name="Comma 4 5 2 8 3" xfId="28133" xr:uid="{5BA2DC2E-E6EC-468E-992B-673C6C59FE4F}"/>
    <cellStyle name="Comma 4 5 2 8 4" xfId="19692" xr:uid="{98431DC3-AE4A-4AE5-B1A1-EE2A1FB9C002}"/>
    <cellStyle name="Comma 4 5 2 8 5" xfId="11244" xr:uid="{BECB0078-E54B-4EAA-B18D-5AE93FA49F50}"/>
    <cellStyle name="Comma 4 5 2 9" xfId="4629" xr:uid="{00000000-0005-0000-0000-00003D0A0000}"/>
    <cellStyle name="Comma 4 5 2 9 2" xfId="29968" xr:uid="{338EBD1C-D00C-4194-AD7C-6D01A3CAA6C3}"/>
    <cellStyle name="Comma 4 5 2 9 3" xfId="21527" xr:uid="{A2D5FC13-20FF-4C39-9E53-88604F5EB9EA}"/>
    <cellStyle name="Comma 4 5 2 9 4" xfId="13079" xr:uid="{E2F702D2-B1C6-477B-A03F-F46EC741C833}"/>
    <cellStyle name="Comma 4 5 3" xfId="694" xr:uid="{00000000-0005-0000-0000-00003E0A0000}"/>
    <cellStyle name="Comma 4 5 3 2" xfId="2965" xr:uid="{00000000-0005-0000-0000-00003F0A0000}"/>
    <cellStyle name="Comma 4 5 3 2 2" xfId="7187" xr:uid="{00000000-0005-0000-0000-0000400A0000}"/>
    <cellStyle name="Comma 4 5 3 2 2 2" xfId="32526" xr:uid="{FCC8CE0D-BFB9-4877-92EF-D68AD38C9705}"/>
    <cellStyle name="Comma 4 5 3 2 2 3" xfId="24085" xr:uid="{FCEF4216-6351-4367-BD56-21DE2DE9898C}"/>
    <cellStyle name="Comma 4 5 3 2 2 4" xfId="15637" xr:uid="{E4803C4D-DDE0-48D6-936A-3C9754685921}"/>
    <cellStyle name="Comma 4 5 3 2 3" xfId="28308" xr:uid="{445909D6-F3DB-4542-A481-FB44374B441D}"/>
    <cellStyle name="Comma 4 5 3 2 4" xfId="19867" xr:uid="{04DD6211-78BD-42FA-A257-08BF3B11D3EE}"/>
    <cellStyle name="Comma 4 5 3 2 5" xfId="11419" xr:uid="{15353B0B-CADF-4302-B303-A9136A91A81F}"/>
    <cellStyle name="Comma 4 5 3 3" xfId="5042" xr:uid="{00000000-0005-0000-0000-0000410A0000}"/>
    <cellStyle name="Comma 4 5 3 3 2" xfId="30381" xr:uid="{193F584D-C394-40EF-98CC-3B43ECF02328}"/>
    <cellStyle name="Comma 4 5 3 3 3" xfId="21940" xr:uid="{F27E1B42-BBB4-4220-A926-DE6BA6868765}"/>
    <cellStyle name="Comma 4 5 3 3 4" xfId="13492" xr:uid="{050C3E63-BA59-4274-87C2-831CAC87EE88}"/>
    <cellStyle name="Comma 4 5 3 4" xfId="26163" xr:uid="{502EC963-27FD-4B08-81AC-E2559529C75E}"/>
    <cellStyle name="Comma 4 5 3 5" xfId="17722" xr:uid="{D6543C58-E0EF-487D-B555-39EEB00873CA}"/>
    <cellStyle name="Comma 4 5 3 6" xfId="9274" xr:uid="{847DA15C-4F8A-42C4-A13C-FDF6BDFA8333}"/>
    <cellStyle name="Comma 4 5 4" xfId="1147" xr:uid="{00000000-0005-0000-0000-0000420A0000}"/>
    <cellStyle name="Comma 4 5 4 2" xfId="3378" xr:uid="{00000000-0005-0000-0000-0000430A0000}"/>
    <cellStyle name="Comma 4 5 4 2 2" xfId="7600" xr:uid="{00000000-0005-0000-0000-0000440A0000}"/>
    <cellStyle name="Comma 4 5 4 2 2 2" xfId="32939" xr:uid="{8518D6BC-2189-4987-B698-7D55B83A2D71}"/>
    <cellStyle name="Comma 4 5 4 2 2 3" xfId="24498" xr:uid="{2BA4DB31-DFDE-46DD-9CD5-5A58582F5488}"/>
    <cellStyle name="Comma 4 5 4 2 2 4" xfId="16050" xr:uid="{F892F7D4-26BF-4C3D-BFA6-E92ACC2916D5}"/>
    <cellStyle name="Comma 4 5 4 2 3" xfId="28721" xr:uid="{5E99162B-DF27-441D-93B8-8680E7F19FA7}"/>
    <cellStyle name="Comma 4 5 4 2 4" xfId="20280" xr:uid="{26E6DE71-39BB-4A8F-B406-01B040DE7F1B}"/>
    <cellStyle name="Comma 4 5 4 2 5" xfId="11832" xr:uid="{9CA5466C-2CCA-4CFA-9856-D0E7D0268B01}"/>
    <cellStyle name="Comma 4 5 4 3" xfId="5455" xr:uid="{00000000-0005-0000-0000-0000450A0000}"/>
    <cellStyle name="Comma 4 5 4 3 2" xfId="30794" xr:uid="{1E73BB63-0A92-4D3D-8390-BA11DACB94AC}"/>
    <cellStyle name="Comma 4 5 4 3 3" xfId="22353" xr:uid="{94ACDAE9-1E44-4C30-BCC3-270CB87FBCE8}"/>
    <cellStyle name="Comma 4 5 4 3 4" xfId="13905" xr:uid="{169DA50D-B805-4ABE-9905-971CF44489A9}"/>
    <cellStyle name="Comma 4 5 4 4" xfId="26576" xr:uid="{C2F67D93-28E5-40CF-B787-47CBA3E81E82}"/>
    <cellStyle name="Comma 4 5 4 5" xfId="18135" xr:uid="{66825024-1094-423E-89E0-750F618BC74A}"/>
    <cellStyle name="Comma 4 5 4 6" xfId="9687" xr:uid="{2F6BD70A-1760-43DD-803C-B40982DDC373}"/>
    <cellStyle name="Comma 4 5 5" xfId="1561" xr:uid="{00000000-0005-0000-0000-0000460A0000}"/>
    <cellStyle name="Comma 4 5 5 2" xfId="3791" xr:uid="{00000000-0005-0000-0000-0000470A0000}"/>
    <cellStyle name="Comma 4 5 5 2 2" xfId="8013" xr:uid="{00000000-0005-0000-0000-0000480A0000}"/>
    <cellStyle name="Comma 4 5 5 2 2 2" xfId="33352" xr:uid="{6A07DDDB-99A8-4F34-9479-B5AD023E3D6E}"/>
    <cellStyle name="Comma 4 5 5 2 2 3" xfId="24911" xr:uid="{A5779210-2169-45FF-ACEB-248FB7C6FBB6}"/>
    <cellStyle name="Comma 4 5 5 2 2 4" xfId="16463" xr:uid="{CA21F2EF-79BF-4545-A43F-DDCEBE15AE62}"/>
    <cellStyle name="Comma 4 5 5 2 3" xfId="29134" xr:uid="{37992E1D-09E7-449F-A47F-9F7BD2B997A4}"/>
    <cellStyle name="Comma 4 5 5 2 4" xfId="20693" xr:uid="{FF85E80E-439F-4003-B0AF-6F5718BD9B26}"/>
    <cellStyle name="Comma 4 5 5 2 5" xfId="12245" xr:uid="{C53D95EA-B6D6-4A96-B99D-2B88E8DC52FE}"/>
    <cellStyle name="Comma 4 5 5 3" xfId="5868" xr:uid="{00000000-0005-0000-0000-0000490A0000}"/>
    <cellStyle name="Comma 4 5 5 3 2" xfId="31207" xr:uid="{D76A9010-737C-4504-98AC-B9ADF92BEAB7}"/>
    <cellStyle name="Comma 4 5 5 3 3" xfId="22766" xr:uid="{9FA06A7D-8041-42B1-8766-EB5C0A1A65D1}"/>
    <cellStyle name="Comma 4 5 5 3 4" xfId="14318" xr:uid="{5CF745DF-DCDC-4C0D-B965-996BE5E69296}"/>
    <cellStyle name="Comma 4 5 5 4" xfId="26989" xr:uid="{97D0A998-1EC9-4AAB-A687-8DA6481B7E99}"/>
    <cellStyle name="Comma 4 5 5 5" xfId="18548" xr:uid="{E8667C8E-9E51-4740-9EAA-9A80EB292EDD}"/>
    <cellStyle name="Comma 4 5 5 6" xfId="10100" xr:uid="{4AFB7FE8-2F29-4DAF-AFEE-BBCD17F12D0B}"/>
    <cellStyle name="Comma 4 5 6" xfId="1975" xr:uid="{00000000-0005-0000-0000-00004A0A0000}"/>
    <cellStyle name="Comma 4 5 6 2" xfId="4204" xr:uid="{00000000-0005-0000-0000-00004B0A0000}"/>
    <cellStyle name="Comma 4 5 6 2 2" xfId="8426" xr:uid="{00000000-0005-0000-0000-00004C0A0000}"/>
    <cellStyle name="Comma 4 5 6 2 2 2" xfId="33765" xr:uid="{110E82E7-B829-47F9-BA8B-A3CF835C615D}"/>
    <cellStyle name="Comma 4 5 6 2 2 3" xfId="25324" xr:uid="{796B7AF4-3C75-4D16-84E4-ECB0B357E707}"/>
    <cellStyle name="Comma 4 5 6 2 2 4" xfId="16876" xr:uid="{7F30393D-7B2F-47BD-9D87-72AE98A8E22A}"/>
    <cellStyle name="Comma 4 5 6 2 3" xfId="29547" xr:uid="{18B12132-9DC3-4D71-8C8E-5B9DEDACCB64}"/>
    <cellStyle name="Comma 4 5 6 2 4" xfId="21106" xr:uid="{2894D7FF-7C08-4B89-81DA-EDDF57C85CC7}"/>
    <cellStyle name="Comma 4 5 6 2 5" xfId="12658" xr:uid="{91FAC641-7A9A-4BDD-98C1-2BF00949D7CC}"/>
    <cellStyle name="Comma 4 5 6 3" xfId="6281" xr:uid="{00000000-0005-0000-0000-00004D0A0000}"/>
    <cellStyle name="Comma 4 5 6 3 2" xfId="31620" xr:uid="{F3FD8076-36A4-4701-AE22-F1930A9CC06C}"/>
    <cellStyle name="Comma 4 5 6 3 3" xfId="23179" xr:uid="{EC8A02DB-41AC-4F60-BD73-15D928A78057}"/>
    <cellStyle name="Comma 4 5 6 3 4" xfId="14731" xr:uid="{6EA23F64-7A0F-4F18-AE3F-778D1552F468}"/>
    <cellStyle name="Comma 4 5 6 4" xfId="27402" xr:uid="{60F6751A-CDE5-4202-863B-9B118E093816}"/>
    <cellStyle name="Comma 4 5 6 5" xfId="18961" xr:uid="{76343A9B-5F30-4074-8F78-B61D70F56153}"/>
    <cellStyle name="Comma 4 5 6 6" xfId="10513" xr:uid="{7B9422DF-BADC-4CF8-A11E-57ED780B8223}"/>
    <cellStyle name="Comma 4 5 7" xfId="2410" xr:uid="{00000000-0005-0000-0000-00004E0A0000}"/>
    <cellStyle name="Comma 4 5 7 2" xfId="6694" xr:uid="{00000000-0005-0000-0000-00004F0A0000}"/>
    <cellStyle name="Comma 4 5 7 2 2" xfId="32033" xr:uid="{F0EBA56C-B08D-426C-B48B-E32D7137F0CE}"/>
    <cellStyle name="Comma 4 5 7 2 3" xfId="23592" xr:uid="{2F15E9EF-C52D-4237-A982-8AB06A2AA196}"/>
    <cellStyle name="Comma 4 5 7 2 4" xfId="15144" xr:uid="{4F38EB82-E903-4924-BB7C-18CEA3F2668C}"/>
    <cellStyle name="Comma 4 5 7 3" xfId="27815" xr:uid="{86E44CD2-3B50-46C6-BB6F-E644103A764B}"/>
    <cellStyle name="Comma 4 5 7 4" xfId="19374" xr:uid="{92A02922-5600-46D7-A343-865ECCECC1BB}"/>
    <cellStyle name="Comma 4 5 7 5" xfId="10926" xr:uid="{79CDE227-2AEC-4F44-BE3A-269D58AEF8F3}"/>
    <cellStyle name="Comma 4 5 8" xfId="2706" xr:uid="{00000000-0005-0000-0000-0000500A0000}"/>
    <cellStyle name="Comma 4 5 9" xfId="2788" xr:uid="{00000000-0005-0000-0000-0000510A0000}"/>
    <cellStyle name="Comma 4 5 9 2" xfId="7011" xr:uid="{00000000-0005-0000-0000-0000520A0000}"/>
    <cellStyle name="Comma 4 5 9 2 2" xfId="32350" xr:uid="{D197B583-4694-4188-A686-8AC7C8FD234E}"/>
    <cellStyle name="Comma 4 5 9 2 3" xfId="23909" xr:uid="{82FB3553-2E71-4656-B9B3-21ACFF284819}"/>
    <cellStyle name="Comma 4 5 9 2 4" xfId="15461" xr:uid="{A791C5BC-2E06-4C72-B72B-29CDA383BD48}"/>
    <cellStyle name="Comma 4 5 9 3" xfId="28132" xr:uid="{38A4F15F-6189-4F9E-AA1F-44EEB10955A4}"/>
    <cellStyle name="Comma 4 5 9 4" xfId="19691" xr:uid="{C00237DE-D9B6-44FD-9E47-A8BCD04DA49C}"/>
    <cellStyle name="Comma 4 5 9 5" xfId="11243" xr:uid="{FA949600-734C-4545-984B-6567738414EA}"/>
    <cellStyle name="Comma 4 6" xfId="159" xr:uid="{00000000-0005-0000-0000-0000530A0000}"/>
    <cellStyle name="Comma 4 6 10" xfId="25751" xr:uid="{1750DF6A-EB2D-424E-8FC8-B99122A80DA8}"/>
    <cellStyle name="Comma 4 6 11" xfId="17310" xr:uid="{CDD12247-57EF-4C9A-8C55-022B4595A2D8}"/>
    <cellStyle name="Comma 4 6 12" xfId="8862" xr:uid="{655C6A80-0C03-497C-A10F-AF2AC79790C8}"/>
    <cellStyle name="Comma 4 6 2" xfId="696" xr:uid="{00000000-0005-0000-0000-0000540A0000}"/>
    <cellStyle name="Comma 4 6 2 2" xfId="2967" xr:uid="{00000000-0005-0000-0000-0000550A0000}"/>
    <cellStyle name="Comma 4 6 2 2 2" xfId="7189" xr:uid="{00000000-0005-0000-0000-0000560A0000}"/>
    <cellStyle name="Comma 4 6 2 2 2 2" xfId="32528" xr:uid="{21FAD924-1B74-4E97-8291-721CF5CE1048}"/>
    <cellStyle name="Comma 4 6 2 2 2 3" xfId="24087" xr:uid="{93B70160-1BF7-40D2-BD96-A7F0294D2A1D}"/>
    <cellStyle name="Comma 4 6 2 2 2 4" xfId="15639" xr:uid="{66D290CF-26FD-46D4-B310-E7087E40F848}"/>
    <cellStyle name="Comma 4 6 2 2 3" xfId="28310" xr:uid="{95316B05-118A-44CC-B840-F33A61545C35}"/>
    <cellStyle name="Comma 4 6 2 2 4" xfId="19869" xr:uid="{06FCAC47-9F7D-433E-AF0C-8085332951E4}"/>
    <cellStyle name="Comma 4 6 2 2 5" xfId="11421" xr:uid="{44FC285E-E677-4313-984F-85F7C7C781F9}"/>
    <cellStyle name="Comma 4 6 2 3" xfId="5044" xr:uid="{00000000-0005-0000-0000-0000570A0000}"/>
    <cellStyle name="Comma 4 6 2 3 2" xfId="30383" xr:uid="{AD3434CE-8E63-4FB9-92ED-47894C609109}"/>
    <cellStyle name="Comma 4 6 2 3 3" xfId="21942" xr:uid="{7A05EDA5-F24C-4610-B0B9-96AB819C6433}"/>
    <cellStyle name="Comma 4 6 2 3 4" xfId="13494" xr:uid="{A8B5A016-53ED-4281-9F4E-04118BD05C33}"/>
    <cellStyle name="Comma 4 6 2 4" xfId="26165" xr:uid="{C6BB302C-3666-43B0-BF3D-3056438BD022}"/>
    <cellStyle name="Comma 4 6 2 5" xfId="17724" xr:uid="{D8E03A8E-7F38-4807-B278-5F49FC600ECB}"/>
    <cellStyle name="Comma 4 6 2 6" xfId="9276" xr:uid="{FF2A3EAA-7105-482A-AFBF-027374DC483F}"/>
    <cellStyle name="Comma 4 6 3" xfId="1149" xr:uid="{00000000-0005-0000-0000-0000580A0000}"/>
    <cellStyle name="Comma 4 6 3 2" xfId="3380" xr:uid="{00000000-0005-0000-0000-0000590A0000}"/>
    <cellStyle name="Comma 4 6 3 2 2" xfId="7602" xr:uid="{00000000-0005-0000-0000-00005A0A0000}"/>
    <cellStyle name="Comma 4 6 3 2 2 2" xfId="32941" xr:uid="{24A77E31-380B-4419-87C5-2FC0429D5FF2}"/>
    <cellStyle name="Comma 4 6 3 2 2 3" xfId="24500" xr:uid="{0048DE39-947B-4E8C-B4BE-9A3FAB265681}"/>
    <cellStyle name="Comma 4 6 3 2 2 4" xfId="16052" xr:uid="{4075320E-21D2-4565-B505-1BA1FACBE685}"/>
    <cellStyle name="Comma 4 6 3 2 3" xfId="28723" xr:uid="{DB935415-A2F7-4175-90B4-454ED4713B37}"/>
    <cellStyle name="Comma 4 6 3 2 4" xfId="20282" xr:uid="{2ED95E81-C47B-49FE-8712-916E8185C3E2}"/>
    <cellStyle name="Comma 4 6 3 2 5" xfId="11834" xr:uid="{C73B0C0F-F938-4396-8DC5-18AFE2517ADE}"/>
    <cellStyle name="Comma 4 6 3 3" xfId="5457" xr:uid="{00000000-0005-0000-0000-00005B0A0000}"/>
    <cellStyle name="Comma 4 6 3 3 2" xfId="30796" xr:uid="{FC7105C0-9FFB-4F03-8DC9-A2BE7D186989}"/>
    <cellStyle name="Comma 4 6 3 3 3" xfId="22355" xr:uid="{3CADB01D-7530-4F14-A79A-8D47747120ED}"/>
    <cellStyle name="Comma 4 6 3 3 4" xfId="13907" xr:uid="{34FDC9A2-11E8-4C79-A4EB-5FD3D1F695A3}"/>
    <cellStyle name="Comma 4 6 3 4" xfId="26578" xr:uid="{A8280128-249A-4CE9-941A-3A7A7710887D}"/>
    <cellStyle name="Comma 4 6 3 5" xfId="18137" xr:uid="{08784DD1-8C38-4B04-A713-ED65C6CC3CE1}"/>
    <cellStyle name="Comma 4 6 3 6" xfId="9689" xr:uid="{E78A428E-A65C-4C14-9385-9AFC4C21C06F}"/>
    <cellStyle name="Comma 4 6 4" xfId="1563" xr:uid="{00000000-0005-0000-0000-00005C0A0000}"/>
    <cellStyle name="Comma 4 6 4 2" xfId="3793" xr:uid="{00000000-0005-0000-0000-00005D0A0000}"/>
    <cellStyle name="Comma 4 6 4 2 2" xfId="8015" xr:uid="{00000000-0005-0000-0000-00005E0A0000}"/>
    <cellStyle name="Comma 4 6 4 2 2 2" xfId="33354" xr:uid="{D471EE8F-6CD0-4943-8745-20CC88A9BF9C}"/>
    <cellStyle name="Comma 4 6 4 2 2 3" xfId="24913" xr:uid="{3A89306F-AEB0-414C-8861-CA317DC3AC8C}"/>
    <cellStyle name="Comma 4 6 4 2 2 4" xfId="16465" xr:uid="{5C3CA119-47E1-4E0D-B8F5-A76DB4CA5C22}"/>
    <cellStyle name="Comma 4 6 4 2 3" xfId="29136" xr:uid="{69D3D863-5A2D-420A-9DC1-DABBCCBB03AA}"/>
    <cellStyle name="Comma 4 6 4 2 4" xfId="20695" xr:uid="{8B59E1FF-4E68-4C77-ACB9-F41A388D0E19}"/>
    <cellStyle name="Comma 4 6 4 2 5" xfId="12247" xr:uid="{A7739E96-F838-4EDA-8832-0D6F9ECF34A4}"/>
    <cellStyle name="Comma 4 6 4 3" xfId="5870" xr:uid="{00000000-0005-0000-0000-00005F0A0000}"/>
    <cellStyle name="Comma 4 6 4 3 2" xfId="31209" xr:uid="{F8147DFA-3FD4-464B-AC48-F54E383CE8A2}"/>
    <cellStyle name="Comma 4 6 4 3 3" xfId="22768" xr:uid="{C219A3F6-9B0B-48FC-BDA9-55CD675B9BF1}"/>
    <cellStyle name="Comma 4 6 4 3 4" xfId="14320" xr:uid="{92FB5407-DBF0-44AB-96CD-366E128EAC8E}"/>
    <cellStyle name="Comma 4 6 4 4" xfId="26991" xr:uid="{6507A8A6-EDF6-4BF5-83E5-9B1EDAE3EE98}"/>
    <cellStyle name="Comma 4 6 4 5" xfId="18550" xr:uid="{1259EF79-D95E-4A01-8B11-669DF0EE3A4D}"/>
    <cellStyle name="Comma 4 6 4 6" xfId="10102" xr:uid="{B31853D5-B451-474E-B8EF-6DB3D634F86D}"/>
    <cellStyle name="Comma 4 6 5" xfId="1977" xr:uid="{00000000-0005-0000-0000-0000600A0000}"/>
    <cellStyle name="Comma 4 6 5 2" xfId="4206" xr:uid="{00000000-0005-0000-0000-0000610A0000}"/>
    <cellStyle name="Comma 4 6 5 2 2" xfId="8428" xr:uid="{00000000-0005-0000-0000-0000620A0000}"/>
    <cellStyle name="Comma 4 6 5 2 2 2" xfId="33767" xr:uid="{46C12AAE-F39D-42AD-858E-72C2F64BE3DF}"/>
    <cellStyle name="Comma 4 6 5 2 2 3" xfId="25326" xr:uid="{2B695ADC-7B73-4CD3-8B20-8A262328D568}"/>
    <cellStyle name="Comma 4 6 5 2 2 4" xfId="16878" xr:uid="{AA15B5F5-AFCB-4BFC-8983-D93627BA9A51}"/>
    <cellStyle name="Comma 4 6 5 2 3" xfId="29549" xr:uid="{C1C8C315-D985-4657-BD94-A61F16E60C53}"/>
    <cellStyle name="Comma 4 6 5 2 4" xfId="21108" xr:uid="{383EB627-29C0-43E4-9C5B-190F21205719}"/>
    <cellStyle name="Comma 4 6 5 2 5" xfId="12660" xr:uid="{1616CD7F-A424-4783-A4D1-DA27E85256AF}"/>
    <cellStyle name="Comma 4 6 5 3" xfId="6283" xr:uid="{00000000-0005-0000-0000-0000630A0000}"/>
    <cellStyle name="Comma 4 6 5 3 2" xfId="31622" xr:uid="{BD649BB8-0F00-454F-B71F-B36813D2931C}"/>
    <cellStyle name="Comma 4 6 5 3 3" xfId="23181" xr:uid="{28AF9460-041E-4639-8EDD-4E057393F6F9}"/>
    <cellStyle name="Comma 4 6 5 3 4" xfId="14733" xr:uid="{CD614CFB-909C-4A31-B99C-76B1680B2F63}"/>
    <cellStyle name="Comma 4 6 5 4" xfId="27404" xr:uid="{F28FAFC1-5DBE-44CC-8C8F-2A32BB1D80CE}"/>
    <cellStyle name="Comma 4 6 5 5" xfId="18963" xr:uid="{DB51B0DE-2467-4297-9C75-9E454F36AB09}"/>
    <cellStyle name="Comma 4 6 5 6" xfId="10515" xr:uid="{A17303FE-3B04-4B78-B3C4-3F144DF44F63}"/>
    <cellStyle name="Comma 4 6 6" xfId="2412" xr:uid="{00000000-0005-0000-0000-0000640A0000}"/>
    <cellStyle name="Comma 4 6 6 2" xfId="6696" xr:uid="{00000000-0005-0000-0000-0000650A0000}"/>
    <cellStyle name="Comma 4 6 6 2 2" xfId="32035" xr:uid="{968104BD-BA07-4034-B2F0-A655EA3E95DA}"/>
    <cellStyle name="Comma 4 6 6 2 3" xfId="23594" xr:uid="{563E2EA8-0B56-4D8A-BAA5-62AF0C1B539D}"/>
    <cellStyle name="Comma 4 6 6 2 4" xfId="15146" xr:uid="{E5E56832-5772-4EA4-A93E-60D7319BF87A}"/>
    <cellStyle name="Comma 4 6 6 3" xfId="27817" xr:uid="{500CD43C-9A41-44AA-A4E5-6C17296F2C14}"/>
    <cellStyle name="Comma 4 6 6 4" xfId="19376" xr:uid="{4FCFF286-F186-4A29-BA96-B7942EBC5308}"/>
    <cellStyle name="Comma 4 6 6 5" xfId="10928" xr:uid="{6D2E672C-9A38-4069-AC5D-6983647915B4}"/>
    <cellStyle name="Comma 4 6 7" xfId="2708" xr:uid="{00000000-0005-0000-0000-0000660A0000}"/>
    <cellStyle name="Comma 4 6 8" xfId="2790" xr:uid="{00000000-0005-0000-0000-0000670A0000}"/>
    <cellStyle name="Comma 4 6 8 2" xfId="7013" xr:uid="{00000000-0005-0000-0000-0000680A0000}"/>
    <cellStyle name="Comma 4 6 8 2 2" xfId="32352" xr:uid="{16EF8074-EA73-4175-8962-CEF793E3A926}"/>
    <cellStyle name="Comma 4 6 8 2 3" xfId="23911" xr:uid="{2F56585B-AD21-4A58-8D91-51ABD1305A8D}"/>
    <cellStyle name="Comma 4 6 8 2 4" xfId="15463" xr:uid="{ED109F61-FAD8-4C01-99DD-2B84856A9777}"/>
    <cellStyle name="Comma 4 6 8 3" xfId="28134" xr:uid="{038C404A-EB2D-4507-8D13-ABF1D352B483}"/>
    <cellStyle name="Comma 4 6 8 4" xfId="19693" xr:uid="{45D93104-468D-413B-B8E2-AA8A73F2EADE}"/>
    <cellStyle name="Comma 4 6 8 5" xfId="11245" xr:uid="{8A5EA86C-8C7E-440B-B10B-0BB576238E62}"/>
    <cellStyle name="Comma 4 6 9" xfId="4630" xr:uid="{00000000-0005-0000-0000-0000690A0000}"/>
    <cellStyle name="Comma 4 6 9 2" xfId="29969" xr:uid="{4FC94617-6AE7-4DF5-91C5-8F6E0B32D225}"/>
    <cellStyle name="Comma 4 6 9 3" xfId="21528" xr:uid="{9AB9EE16-0C83-410E-B314-8380F5AF2716}"/>
    <cellStyle name="Comma 4 6 9 4" xfId="13080" xr:uid="{05A796F4-7670-4026-A08E-F85C3E174B27}"/>
    <cellStyle name="Comma 4 7" xfId="160" xr:uid="{00000000-0005-0000-0000-00006A0A0000}"/>
    <cellStyle name="Comma 4 7 10" xfId="25752" xr:uid="{4CAED317-0DF4-4164-95F9-D8C8C2E163F7}"/>
    <cellStyle name="Comma 4 7 11" xfId="17311" xr:uid="{624B1A96-9C33-4907-9C16-FC89653EF6F4}"/>
    <cellStyle name="Comma 4 7 12" xfId="8863" xr:uid="{E38D3794-B2B7-4961-B969-F285810FDC5C}"/>
    <cellStyle name="Comma 4 7 2" xfId="697" xr:uid="{00000000-0005-0000-0000-00006B0A0000}"/>
    <cellStyle name="Comma 4 7 2 2" xfId="2968" xr:uid="{00000000-0005-0000-0000-00006C0A0000}"/>
    <cellStyle name="Comma 4 7 2 2 2" xfId="7190" xr:uid="{00000000-0005-0000-0000-00006D0A0000}"/>
    <cellStyle name="Comma 4 7 2 2 2 2" xfId="32529" xr:uid="{C8529ECB-E0DD-47D7-ADBF-5EB791063A7D}"/>
    <cellStyle name="Comma 4 7 2 2 2 3" xfId="24088" xr:uid="{EF700F09-CF62-43D0-A542-1ECFF3D9A53E}"/>
    <cellStyle name="Comma 4 7 2 2 2 4" xfId="15640" xr:uid="{D2B7077F-71E0-4986-A1B0-EB3571DE104D}"/>
    <cellStyle name="Comma 4 7 2 2 3" xfId="28311" xr:uid="{2030F0F3-DD7F-41EA-9A45-81F85BB229D0}"/>
    <cellStyle name="Comma 4 7 2 2 4" xfId="19870" xr:uid="{4166A1BD-27F2-47EA-9CA6-EC098D42587E}"/>
    <cellStyle name="Comma 4 7 2 2 5" xfId="11422" xr:uid="{AF23B017-722B-4EBB-86FD-6D1FF10C4193}"/>
    <cellStyle name="Comma 4 7 2 3" xfId="5045" xr:uid="{00000000-0005-0000-0000-00006E0A0000}"/>
    <cellStyle name="Comma 4 7 2 3 2" xfId="30384" xr:uid="{924F00EE-EC05-458D-BA87-8FFCA4529A7C}"/>
    <cellStyle name="Comma 4 7 2 3 3" xfId="21943" xr:uid="{48E37023-56E5-4F48-B1C9-86E098DEFC79}"/>
    <cellStyle name="Comma 4 7 2 3 4" xfId="13495" xr:uid="{FA8C833A-040A-4828-8FBD-86DC5BF08561}"/>
    <cellStyle name="Comma 4 7 2 4" xfId="26166" xr:uid="{454BB994-371C-4740-8FF8-67DB68253FC6}"/>
    <cellStyle name="Comma 4 7 2 5" xfId="17725" xr:uid="{7B18F2B4-03DF-45E4-80EC-752B80DAC7D7}"/>
    <cellStyle name="Comma 4 7 2 6" xfId="9277" xr:uid="{2F8DEEBE-D1FB-426C-BA74-7EA6225942E5}"/>
    <cellStyle name="Comma 4 7 3" xfId="1150" xr:uid="{00000000-0005-0000-0000-00006F0A0000}"/>
    <cellStyle name="Comma 4 7 3 2" xfId="3381" xr:uid="{00000000-0005-0000-0000-0000700A0000}"/>
    <cellStyle name="Comma 4 7 3 2 2" xfId="7603" xr:uid="{00000000-0005-0000-0000-0000710A0000}"/>
    <cellStyle name="Comma 4 7 3 2 2 2" xfId="32942" xr:uid="{AE033E2A-7DA8-42F9-B6F2-8A1B6F80AD70}"/>
    <cellStyle name="Comma 4 7 3 2 2 3" xfId="24501" xr:uid="{A77FBEFC-D90B-44E2-AF50-1E090AAD58FA}"/>
    <cellStyle name="Comma 4 7 3 2 2 4" xfId="16053" xr:uid="{7A438378-279E-4D5E-ACE6-7951AF6762BC}"/>
    <cellStyle name="Comma 4 7 3 2 3" xfId="28724" xr:uid="{6AB86CD7-D3A5-471C-B562-CA89935D3283}"/>
    <cellStyle name="Comma 4 7 3 2 4" xfId="20283" xr:uid="{4A3B181E-3CBA-4462-B95F-F24A0B474CB9}"/>
    <cellStyle name="Comma 4 7 3 2 5" xfId="11835" xr:uid="{D207A95C-9284-4731-ACE6-7A0EAE69754B}"/>
    <cellStyle name="Comma 4 7 3 3" xfId="5458" xr:uid="{00000000-0005-0000-0000-0000720A0000}"/>
    <cellStyle name="Comma 4 7 3 3 2" xfId="30797" xr:uid="{4C0ACE99-1B77-47B9-9348-E56F5C555A4D}"/>
    <cellStyle name="Comma 4 7 3 3 3" xfId="22356" xr:uid="{4AAE4441-9EDB-4DF4-9259-BD9D91DBB7E7}"/>
    <cellStyle name="Comma 4 7 3 3 4" xfId="13908" xr:uid="{1755688A-F03D-40A7-87D8-1E1035E48C4C}"/>
    <cellStyle name="Comma 4 7 3 4" xfId="26579" xr:uid="{D7102806-451B-4F51-BCD1-35709E63FAD4}"/>
    <cellStyle name="Comma 4 7 3 5" xfId="18138" xr:uid="{555F37B4-DB05-4C98-ACB6-2CD73850100A}"/>
    <cellStyle name="Comma 4 7 3 6" xfId="9690" xr:uid="{FA395583-D008-4984-BA49-19476BA9EEA8}"/>
    <cellStyle name="Comma 4 7 4" xfId="1564" xr:uid="{00000000-0005-0000-0000-0000730A0000}"/>
    <cellStyle name="Comma 4 7 4 2" xfId="3794" xr:uid="{00000000-0005-0000-0000-0000740A0000}"/>
    <cellStyle name="Comma 4 7 4 2 2" xfId="8016" xr:uid="{00000000-0005-0000-0000-0000750A0000}"/>
    <cellStyle name="Comma 4 7 4 2 2 2" xfId="33355" xr:uid="{8B82364B-310A-4457-8E31-73F4195D8468}"/>
    <cellStyle name="Comma 4 7 4 2 2 3" xfId="24914" xr:uid="{0EA60129-E0DE-4538-BBDD-7629D6B77CD8}"/>
    <cellStyle name="Comma 4 7 4 2 2 4" xfId="16466" xr:uid="{5EA8093E-075C-4609-9F93-15C7E5E7E51C}"/>
    <cellStyle name="Comma 4 7 4 2 3" xfId="29137" xr:uid="{96EE733B-652D-4AD2-9DDB-E87A320153C3}"/>
    <cellStyle name="Comma 4 7 4 2 4" xfId="20696" xr:uid="{DD2D789F-27C1-4CDD-8E94-CA4F5FFEF396}"/>
    <cellStyle name="Comma 4 7 4 2 5" xfId="12248" xr:uid="{9A37A498-AEAE-4790-BE39-1E1A260B80CC}"/>
    <cellStyle name="Comma 4 7 4 3" xfId="5871" xr:uid="{00000000-0005-0000-0000-0000760A0000}"/>
    <cellStyle name="Comma 4 7 4 3 2" xfId="31210" xr:uid="{47DD1D47-942E-4BB5-AAD2-ABB3506BA95B}"/>
    <cellStyle name="Comma 4 7 4 3 3" xfId="22769" xr:uid="{07F826C2-36D1-4BA3-A4BE-61A9B8911691}"/>
    <cellStyle name="Comma 4 7 4 3 4" xfId="14321" xr:uid="{B46BFE7E-4571-4609-B162-970C5001E838}"/>
    <cellStyle name="Comma 4 7 4 4" xfId="26992" xr:uid="{091396CA-3E67-4271-9E1A-6627C806B542}"/>
    <cellStyle name="Comma 4 7 4 5" xfId="18551" xr:uid="{0DCC09B4-5E4C-43CB-9853-39FF9458A694}"/>
    <cellStyle name="Comma 4 7 4 6" xfId="10103" xr:uid="{98A5A3DE-9AE5-46AE-97FF-1D00AF72E995}"/>
    <cellStyle name="Comma 4 7 5" xfId="1978" xr:uid="{00000000-0005-0000-0000-0000770A0000}"/>
    <cellStyle name="Comma 4 7 5 2" xfId="4207" xr:uid="{00000000-0005-0000-0000-0000780A0000}"/>
    <cellStyle name="Comma 4 7 5 2 2" xfId="8429" xr:uid="{00000000-0005-0000-0000-0000790A0000}"/>
    <cellStyle name="Comma 4 7 5 2 2 2" xfId="33768" xr:uid="{0AB74EA4-817A-4C83-ADF6-78EC780EC7D7}"/>
    <cellStyle name="Comma 4 7 5 2 2 3" xfId="25327" xr:uid="{7A43A4E6-3D6A-4718-85CC-45A88525DE92}"/>
    <cellStyle name="Comma 4 7 5 2 2 4" xfId="16879" xr:uid="{CF897C3C-20D1-4208-92DE-589DE558C671}"/>
    <cellStyle name="Comma 4 7 5 2 3" xfId="29550" xr:uid="{22C3F3D1-D2D4-4092-AEBD-2166623047D1}"/>
    <cellStyle name="Comma 4 7 5 2 4" xfId="21109" xr:uid="{2955B68E-7DF0-4AE8-A4D8-D876CAB81FB1}"/>
    <cellStyle name="Comma 4 7 5 2 5" xfId="12661" xr:uid="{D2A097AA-5D33-4515-B0DA-3090675BD14F}"/>
    <cellStyle name="Comma 4 7 5 3" xfId="6284" xr:uid="{00000000-0005-0000-0000-00007A0A0000}"/>
    <cellStyle name="Comma 4 7 5 3 2" xfId="31623" xr:uid="{56F11F4A-DF90-4D97-AEDF-74765ABD3871}"/>
    <cellStyle name="Comma 4 7 5 3 3" xfId="23182" xr:uid="{27398D10-2733-4087-9E13-393662965E4A}"/>
    <cellStyle name="Comma 4 7 5 3 4" xfId="14734" xr:uid="{DF9F6211-EA48-466E-9787-BC4250B805D8}"/>
    <cellStyle name="Comma 4 7 5 4" xfId="27405" xr:uid="{FD01B9A3-515F-4FAA-A664-2E1CE1A8C217}"/>
    <cellStyle name="Comma 4 7 5 5" xfId="18964" xr:uid="{9B96D72D-9CE3-4590-931A-1E7AD42E3FB2}"/>
    <cellStyle name="Comma 4 7 5 6" xfId="10516" xr:uid="{1C471C59-BAFC-41BE-8039-F127DE500549}"/>
    <cellStyle name="Comma 4 7 6" xfId="2413" xr:uid="{00000000-0005-0000-0000-00007B0A0000}"/>
    <cellStyle name="Comma 4 7 6 2" xfId="6697" xr:uid="{00000000-0005-0000-0000-00007C0A0000}"/>
    <cellStyle name="Comma 4 7 6 2 2" xfId="32036" xr:uid="{955135BE-C9DE-476B-9FFE-7ACDBE31CAA0}"/>
    <cellStyle name="Comma 4 7 6 2 3" xfId="23595" xr:uid="{1F5B349E-EDFA-4947-BDF3-D2B64FBE8C9B}"/>
    <cellStyle name="Comma 4 7 6 2 4" xfId="15147" xr:uid="{F79EEFA9-2624-4913-BE17-870E412357BF}"/>
    <cellStyle name="Comma 4 7 6 3" xfId="27818" xr:uid="{8F9A2B5E-8C4C-4552-AB5C-7FE1853A661A}"/>
    <cellStyle name="Comma 4 7 6 4" xfId="19377" xr:uid="{0B81973D-7688-44FE-B958-5843C8F3DFB1}"/>
    <cellStyle name="Comma 4 7 6 5" xfId="10929" xr:uid="{14BA4555-86EA-470B-AE84-46D02B32B873}"/>
    <cellStyle name="Comma 4 7 7" xfId="2709" xr:uid="{00000000-0005-0000-0000-00007D0A0000}"/>
    <cellStyle name="Comma 4 7 8" xfId="2791" xr:uid="{00000000-0005-0000-0000-00007E0A0000}"/>
    <cellStyle name="Comma 4 7 8 2" xfId="7014" xr:uid="{00000000-0005-0000-0000-00007F0A0000}"/>
    <cellStyle name="Comma 4 7 8 2 2" xfId="32353" xr:uid="{51DC11DF-667C-40F5-BB2F-2F6094CB1B0E}"/>
    <cellStyle name="Comma 4 7 8 2 3" xfId="23912" xr:uid="{2B8B3FE6-82D8-4C8F-8148-5A8FA08D25B0}"/>
    <cellStyle name="Comma 4 7 8 2 4" xfId="15464" xr:uid="{D77BB761-780F-437C-A134-63522D9D5DAB}"/>
    <cellStyle name="Comma 4 7 8 3" xfId="28135" xr:uid="{7C477110-8C40-4EE6-93AA-83AE8C96C2BE}"/>
    <cellStyle name="Comma 4 7 8 4" xfId="19694" xr:uid="{E9290832-3DA9-4B63-AC33-6A373B06943B}"/>
    <cellStyle name="Comma 4 7 8 5" xfId="11246" xr:uid="{2A2B74AA-04AB-4515-B317-EC493892A383}"/>
    <cellStyle name="Comma 4 7 9" xfId="4631" xr:uid="{00000000-0005-0000-0000-0000800A0000}"/>
    <cellStyle name="Comma 4 7 9 2" xfId="29970" xr:uid="{CA7EF09C-D976-472F-8F23-C309C372AA3C}"/>
    <cellStyle name="Comma 4 7 9 3" xfId="21529" xr:uid="{09BED8C6-5928-485B-A1E4-591D90547B66}"/>
    <cellStyle name="Comma 4 7 9 4" xfId="13081" xr:uid="{BDE6D7ED-0324-4C37-B085-F1C41497DEF5}"/>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29838" xr:uid="{2C2CEBEE-B4F2-4F25-8467-736BA2491060}"/>
    <cellStyle name="Comma 7 3" xfId="21397" xr:uid="{070FE6EA-69B2-4468-AEB3-EA266FA71426}"/>
    <cellStyle name="Comma 7 4" xfId="12949" xr:uid="{08763AA8-CFEE-45A2-8141-AB544E3586AF}"/>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34055" xr:uid="{C3A731F9-0417-4CF3-BAF6-B3A9EDCB0399}"/>
    <cellStyle name="Currency 14 2 3" xfId="25614" xr:uid="{B4EECCD8-B916-46AD-938A-E3F85BB71FDF}"/>
    <cellStyle name="Currency 14 2 4" xfId="17166" xr:uid="{3163D26B-64AF-46E0-AD5D-9B48874F6876}"/>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17182" xr:uid="{042A3B0F-62E2-4EE9-A684-46FF901F22AE}"/>
    <cellStyle name="Currency 14 3 2 2 2 3" xfId="34064" xr:uid="{4CB7F5CD-CC18-4241-BFE2-63F0D49C6876}"/>
    <cellStyle name="Currency 14 3 2 2 2 4" xfId="17179" xr:uid="{57E22257-32CD-4210-A841-55A0B8700FAC}"/>
    <cellStyle name="Currency 14 3 2 2 3" xfId="25623" xr:uid="{BE4A7BA9-BB21-4CB1-9824-5EA5FE4E0769}"/>
    <cellStyle name="Currency 14 3 2 2 4" xfId="17175" xr:uid="{32AB55BC-067C-42EF-B446-3A9E937BCB54}"/>
    <cellStyle name="Currency 14 3 2 3" xfId="34061" xr:uid="{6523CF13-7B3A-4EB8-9648-1BDE85DF4EAE}"/>
    <cellStyle name="Currency 14 3 2 4" xfId="25620" xr:uid="{641A16AC-E059-46CD-8504-8164BD145B1D}"/>
    <cellStyle name="Currency 14 3 2 5" xfId="17172" xr:uid="{CB49A899-A56A-4717-BFF6-ED806C1908D7}"/>
    <cellStyle name="Currency 14 3 3" xfId="34058" xr:uid="{9CE7C274-6C39-4E3A-A3FC-0A235F8D5832}"/>
    <cellStyle name="Currency 14 3 4" xfId="25617" xr:uid="{36D458C2-2B17-4027-90F5-EE2900EA391E}"/>
    <cellStyle name="Currency 14 3 5" xfId="17169" xr:uid="{6C0CCF74-B278-4EBB-9CE8-08E2064E8062}"/>
    <cellStyle name="Currency 14 4" xfId="29841" xr:uid="{AD935C0F-61A1-4C54-96B2-4765F3874767}"/>
    <cellStyle name="Currency 14 5" xfId="21400" xr:uid="{2030C0AF-015A-4904-9B8A-3DFE05C42A76}"/>
    <cellStyle name="Currency 14 6" xfId="12952" xr:uid="{70E64B10-4DC6-49A4-BD22-FA972E85937E}"/>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32354" xr:uid="{4E7CCF1A-A4DB-4880-866C-775BEA6B2A95}"/>
    <cellStyle name="Currency 3 2 2 10 2 3" xfId="23913" xr:uid="{05661200-2EAA-487F-811F-E7F2E82CE062}"/>
    <cellStyle name="Currency 3 2 2 10 2 4" xfId="15465" xr:uid="{544E3956-9CE4-4207-A432-89724FF851AB}"/>
    <cellStyle name="Currency 3 2 2 10 3" xfId="28136" xr:uid="{23A0B59F-34FE-4AAB-A016-F140D6F992AE}"/>
    <cellStyle name="Currency 3 2 2 10 4" xfId="19695" xr:uid="{049B1196-C1BE-4022-B48D-97E923205EA3}"/>
    <cellStyle name="Currency 3 2 2 10 5" xfId="11247" xr:uid="{EFE15984-07CD-43AC-809A-88E18CDD8AF7}"/>
    <cellStyle name="Currency 3 2 2 11" xfId="4632" xr:uid="{00000000-0005-0000-0000-0000A50A0000}"/>
    <cellStyle name="Currency 3 2 2 11 2" xfId="29971" xr:uid="{AFCEB8C5-D016-49E0-8FC8-585680E8D2B2}"/>
    <cellStyle name="Currency 3 2 2 11 3" xfId="21530" xr:uid="{12C08B2A-3635-4143-97C0-33028998DE95}"/>
    <cellStyle name="Currency 3 2 2 11 4" xfId="13082" xr:uid="{22E939D1-BB3A-4CC6-9CE3-353F4508A127}"/>
    <cellStyle name="Currency 3 2 2 12" xfId="25753" xr:uid="{EC85A3E9-BF3B-4878-A95A-5CC5D8BFEF67}"/>
    <cellStyle name="Currency 3 2 2 13" xfId="17312" xr:uid="{3B0E7108-C837-4D0A-98A3-2155CB780407}"/>
    <cellStyle name="Currency 3 2 2 14" xfId="8864" xr:uid="{21EAB522-1ECF-408E-84F6-8FC9EF7F17FE}"/>
    <cellStyle name="Currency 3 2 2 2" xfId="179" xr:uid="{00000000-0005-0000-0000-0000A60A0000}"/>
    <cellStyle name="Currency 3 2 2 2 10" xfId="4633" xr:uid="{00000000-0005-0000-0000-0000A70A0000}"/>
    <cellStyle name="Currency 3 2 2 2 10 2" xfId="29972" xr:uid="{CD7D595F-AA31-43E9-BD9E-9960304A5987}"/>
    <cellStyle name="Currency 3 2 2 2 10 3" xfId="21531" xr:uid="{417595E0-4AB7-414B-AF37-016DD6DD87BE}"/>
    <cellStyle name="Currency 3 2 2 2 10 4" xfId="13083" xr:uid="{C09B98DF-E9FB-4BFA-8017-2B64C3EF361B}"/>
    <cellStyle name="Currency 3 2 2 2 11" xfId="25754" xr:uid="{4D359428-DC04-462E-8C20-ED83C5A7B49A}"/>
    <cellStyle name="Currency 3 2 2 2 12" xfId="17313" xr:uid="{DCC213CD-463C-4DFC-8F1F-11B6A9A4D5D7}"/>
    <cellStyle name="Currency 3 2 2 2 13" xfId="8865" xr:uid="{61721622-2B10-4B9D-B46B-54FEE7BD30D3}"/>
    <cellStyle name="Currency 3 2 2 2 2" xfId="180" xr:uid="{00000000-0005-0000-0000-0000A80A0000}"/>
    <cellStyle name="Currency 3 2 2 2 2 10" xfId="25755" xr:uid="{DA379034-DCFC-4AC8-B6B6-65E23467E06F}"/>
    <cellStyle name="Currency 3 2 2 2 2 11" xfId="17314" xr:uid="{D1785F45-C591-4F05-9B04-1B9E7670ACDB}"/>
    <cellStyle name="Currency 3 2 2 2 2 12" xfId="8866" xr:uid="{F6413995-CA84-464C-B5E6-6A4B7E6E893A}"/>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32532" xr:uid="{E3967544-56E4-4C20-A6AD-06551D68965B}"/>
    <cellStyle name="Currency 3 2 2 2 2 2 2 2 3" xfId="24091" xr:uid="{531D54C4-0FB5-4295-896F-BE09925D8250}"/>
    <cellStyle name="Currency 3 2 2 2 2 2 2 2 4" xfId="15643" xr:uid="{0209A608-8FAE-44FF-BF2F-2A1E2D70CC67}"/>
    <cellStyle name="Currency 3 2 2 2 2 2 2 3" xfId="28314" xr:uid="{18F0D7B4-A9DD-4247-B791-D7413E900ED0}"/>
    <cellStyle name="Currency 3 2 2 2 2 2 2 4" xfId="19873" xr:uid="{ECFD07D8-02C4-4B9B-A213-9631E5CD8F17}"/>
    <cellStyle name="Currency 3 2 2 2 2 2 2 5" xfId="11425" xr:uid="{3FB8845E-0F06-4FBF-9C31-6732F9C810A2}"/>
    <cellStyle name="Currency 3 2 2 2 2 2 3" xfId="5048" xr:uid="{00000000-0005-0000-0000-0000AC0A0000}"/>
    <cellStyle name="Currency 3 2 2 2 2 2 3 2" xfId="30387" xr:uid="{4E6CEAC5-345B-4C4A-8013-2DD220F61D34}"/>
    <cellStyle name="Currency 3 2 2 2 2 2 3 3" xfId="21946" xr:uid="{C575BB19-A692-46CB-8215-F710BFEFEBF9}"/>
    <cellStyle name="Currency 3 2 2 2 2 2 3 4" xfId="13498" xr:uid="{EA1CC7AF-E1D4-4A34-9A99-9D19D88CF43D}"/>
    <cellStyle name="Currency 3 2 2 2 2 2 4" xfId="26169" xr:uid="{DEC14321-BD3B-434B-8A25-FE3B097D7046}"/>
    <cellStyle name="Currency 3 2 2 2 2 2 5" xfId="17728" xr:uid="{A278626C-4F21-4A78-87A9-6267878585F6}"/>
    <cellStyle name="Currency 3 2 2 2 2 2 6" xfId="9280" xr:uid="{D76782C3-7BFC-4B30-9CF9-F7E089C9A114}"/>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32945" xr:uid="{4D319155-11B6-4544-8DEC-48145C6384AC}"/>
    <cellStyle name="Currency 3 2 2 2 2 3 2 2 3" xfId="24504" xr:uid="{CE18E5E9-58E3-4643-9495-A157A9C1DF38}"/>
    <cellStyle name="Currency 3 2 2 2 2 3 2 2 4" xfId="16056" xr:uid="{D7CB6FAF-2EF7-4763-90AC-E38B384E0AEC}"/>
    <cellStyle name="Currency 3 2 2 2 2 3 2 3" xfId="28727" xr:uid="{CA287E96-66E0-4D76-89D6-ADAD7F7DDA02}"/>
    <cellStyle name="Currency 3 2 2 2 2 3 2 4" xfId="20286" xr:uid="{5BA09F34-76FC-44D2-A578-47135CC386A1}"/>
    <cellStyle name="Currency 3 2 2 2 2 3 2 5" xfId="11838" xr:uid="{132C6BC6-2EBE-4004-862A-0E7204158F7C}"/>
    <cellStyle name="Currency 3 2 2 2 2 3 3" xfId="5461" xr:uid="{00000000-0005-0000-0000-0000B00A0000}"/>
    <cellStyle name="Currency 3 2 2 2 2 3 3 2" xfId="30800" xr:uid="{DC9BBC98-F783-4E39-A457-7617E56E2829}"/>
    <cellStyle name="Currency 3 2 2 2 2 3 3 3" xfId="22359" xr:uid="{DDF7831C-4B19-4D41-806D-E0C800A570AE}"/>
    <cellStyle name="Currency 3 2 2 2 2 3 3 4" xfId="13911" xr:uid="{4D4A502A-5EC3-450E-A651-8EFF7B511DDF}"/>
    <cellStyle name="Currency 3 2 2 2 2 3 4" xfId="26582" xr:uid="{0CB1EABE-10E2-4CED-BEAB-947E764423B2}"/>
    <cellStyle name="Currency 3 2 2 2 2 3 5" xfId="18141" xr:uid="{7567121B-54EB-4CB6-BC1A-FA5B42D4A020}"/>
    <cellStyle name="Currency 3 2 2 2 2 3 6" xfId="9693" xr:uid="{90A2A15F-521A-4D81-A135-C37532E2918D}"/>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33358" xr:uid="{CA453026-80BC-4077-B9FD-723264B2B546}"/>
    <cellStyle name="Currency 3 2 2 2 2 4 2 2 3" xfId="24917" xr:uid="{01A004BF-20A2-4F2E-A6EE-0ACFAF16462C}"/>
    <cellStyle name="Currency 3 2 2 2 2 4 2 2 4" xfId="16469" xr:uid="{1DA997F7-A223-4828-A034-CEA2C3FB066D}"/>
    <cellStyle name="Currency 3 2 2 2 2 4 2 3" xfId="29140" xr:uid="{025C4990-E7E9-460E-BD2D-78829FBFB47A}"/>
    <cellStyle name="Currency 3 2 2 2 2 4 2 4" xfId="20699" xr:uid="{9DB66D75-FF3A-4DF5-80DB-0A0947F21BA0}"/>
    <cellStyle name="Currency 3 2 2 2 2 4 2 5" xfId="12251" xr:uid="{BD95E121-B113-4768-BE04-76A16787A1CF}"/>
    <cellStyle name="Currency 3 2 2 2 2 4 3" xfId="5874" xr:uid="{00000000-0005-0000-0000-0000B40A0000}"/>
    <cellStyle name="Currency 3 2 2 2 2 4 3 2" xfId="31213" xr:uid="{075ADFEE-7251-43B0-9AC9-8F799F555699}"/>
    <cellStyle name="Currency 3 2 2 2 2 4 3 3" xfId="22772" xr:uid="{B0D95697-C9F9-4979-8DA2-D6FD3EFD959E}"/>
    <cellStyle name="Currency 3 2 2 2 2 4 3 4" xfId="14324" xr:uid="{534D684E-09AB-4983-9AA7-3AC0045A9150}"/>
    <cellStyle name="Currency 3 2 2 2 2 4 4" xfId="26995" xr:uid="{01C2C83A-BCEF-4266-846D-EFB3037F9564}"/>
    <cellStyle name="Currency 3 2 2 2 2 4 5" xfId="18554" xr:uid="{4F0F4A96-F056-499C-8266-BD44F311EBB8}"/>
    <cellStyle name="Currency 3 2 2 2 2 4 6" xfId="10106" xr:uid="{735EC569-83E6-42BF-98C7-845807613B03}"/>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33771" xr:uid="{37AB572A-9583-4B1C-9879-9B00FDCAD19C}"/>
    <cellStyle name="Currency 3 2 2 2 2 5 2 2 3" xfId="25330" xr:uid="{15E5ED01-3223-44A7-B35D-48740CF4C8F3}"/>
    <cellStyle name="Currency 3 2 2 2 2 5 2 2 4" xfId="16882" xr:uid="{43DF33B3-3E04-4479-B6B9-41366CDC94F5}"/>
    <cellStyle name="Currency 3 2 2 2 2 5 2 3" xfId="29553" xr:uid="{F123594E-6543-4C0F-9FD1-2216E05B8617}"/>
    <cellStyle name="Currency 3 2 2 2 2 5 2 4" xfId="21112" xr:uid="{74E43BA4-6382-4176-8915-9EB86955A2DB}"/>
    <cellStyle name="Currency 3 2 2 2 2 5 2 5" xfId="12664" xr:uid="{FA0C1645-4E48-4EB9-9289-C2FDBDD41BAB}"/>
    <cellStyle name="Currency 3 2 2 2 2 5 3" xfId="6287" xr:uid="{00000000-0005-0000-0000-0000B80A0000}"/>
    <cellStyle name="Currency 3 2 2 2 2 5 3 2" xfId="31626" xr:uid="{94B572C2-2162-44C6-BFC2-461C580F67BB}"/>
    <cellStyle name="Currency 3 2 2 2 2 5 3 3" xfId="23185" xr:uid="{6D205A61-07B0-410E-ACA8-0411FE22EF06}"/>
    <cellStyle name="Currency 3 2 2 2 2 5 3 4" xfId="14737" xr:uid="{7C099990-5479-4E0A-AF29-4AECE435C29A}"/>
    <cellStyle name="Currency 3 2 2 2 2 5 4" xfId="27408" xr:uid="{89F84D54-00E3-4470-BD4E-68C6497E7C4A}"/>
    <cellStyle name="Currency 3 2 2 2 2 5 5" xfId="18967" xr:uid="{F82733EA-7965-47ED-A141-509042C774B1}"/>
    <cellStyle name="Currency 3 2 2 2 2 5 6" xfId="10519" xr:uid="{479733AF-CDE0-4E81-945C-77D3BC42C6B6}"/>
    <cellStyle name="Currency 3 2 2 2 2 6" xfId="2416" xr:uid="{00000000-0005-0000-0000-0000B90A0000}"/>
    <cellStyle name="Currency 3 2 2 2 2 6 2" xfId="6700" xr:uid="{00000000-0005-0000-0000-0000BA0A0000}"/>
    <cellStyle name="Currency 3 2 2 2 2 6 2 2" xfId="32039" xr:uid="{64BDBB04-0A79-4C5E-A23A-97110DDCFE44}"/>
    <cellStyle name="Currency 3 2 2 2 2 6 2 3" xfId="23598" xr:uid="{9A4941F3-9F1B-49B1-8D96-5F7E06FDE9CF}"/>
    <cellStyle name="Currency 3 2 2 2 2 6 2 4" xfId="15150" xr:uid="{B5B92E39-3DB4-4612-9B60-DC11C18BE822}"/>
    <cellStyle name="Currency 3 2 2 2 2 6 3" xfId="27821" xr:uid="{A1AA7F3C-B6D1-4041-8239-EA17CD4840B1}"/>
    <cellStyle name="Currency 3 2 2 2 2 6 4" xfId="19380" xr:uid="{040445D0-B007-44BE-B7DB-3749336897E1}"/>
    <cellStyle name="Currency 3 2 2 2 2 6 5" xfId="10932" xr:uid="{A9A5E757-B63D-4C23-9D6F-6272A8D643AD}"/>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32356" xr:uid="{5E1CD3F1-5ACA-4864-BE96-FDA0A914729D}"/>
    <cellStyle name="Currency 3 2 2 2 2 8 2 3" xfId="23915" xr:uid="{A7A05959-3567-4461-B2E4-C36CB36024F3}"/>
    <cellStyle name="Currency 3 2 2 2 2 8 2 4" xfId="15467" xr:uid="{8D1E0C8D-AC48-4154-9CF5-58FB638E08DB}"/>
    <cellStyle name="Currency 3 2 2 2 2 8 3" xfId="28138" xr:uid="{40B3CDA9-6933-411E-A099-835488571FF5}"/>
    <cellStyle name="Currency 3 2 2 2 2 8 4" xfId="19697" xr:uid="{99670DC3-5066-4C71-9E10-1E84964A37A8}"/>
    <cellStyle name="Currency 3 2 2 2 2 8 5" xfId="11249" xr:uid="{33CF0290-58A3-437B-8DB6-0F0EB7E7D496}"/>
    <cellStyle name="Currency 3 2 2 2 2 9" xfId="4634" xr:uid="{00000000-0005-0000-0000-0000BE0A0000}"/>
    <cellStyle name="Currency 3 2 2 2 2 9 2" xfId="29973" xr:uid="{54302565-EC97-459D-9E93-32F57AB65C41}"/>
    <cellStyle name="Currency 3 2 2 2 2 9 3" xfId="21532" xr:uid="{B5C4467C-FF29-4E17-93E9-342F0638333A}"/>
    <cellStyle name="Currency 3 2 2 2 2 9 4" xfId="13084" xr:uid="{52B014B7-8ED4-4899-A705-39120EB7FA5F}"/>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32531" xr:uid="{7739FC62-5582-4A4C-9F4A-0101360194B5}"/>
    <cellStyle name="Currency 3 2 2 2 3 2 2 3" xfId="24090" xr:uid="{D4B70187-1C22-4771-8849-E14F9E981F96}"/>
    <cellStyle name="Currency 3 2 2 2 3 2 2 4" xfId="15642" xr:uid="{6BCC3251-DA83-4315-BAA2-E4CBA4544109}"/>
    <cellStyle name="Currency 3 2 2 2 3 2 3" xfId="28313" xr:uid="{51376CEA-6528-4F4D-ABE5-04FB05A38CCC}"/>
    <cellStyle name="Currency 3 2 2 2 3 2 4" xfId="19872" xr:uid="{7DC43E63-51A7-4338-A5DA-9E9CA700E369}"/>
    <cellStyle name="Currency 3 2 2 2 3 2 5" xfId="11424" xr:uid="{CE7F3B93-38AD-49F8-8DEC-9C2E47150F89}"/>
    <cellStyle name="Currency 3 2 2 2 3 3" xfId="5047" xr:uid="{00000000-0005-0000-0000-0000C20A0000}"/>
    <cellStyle name="Currency 3 2 2 2 3 3 2" xfId="30386" xr:uid="{B2F73DC2-CA34-4FCB-9477-93FBE6CEF0BB}"/>
    <cellStyle name="Currency 3 2 2 2 3 3 3" xfId="21945" xr:uid="{21EA6FF7-2DA3-4437-A0EE-85089A14015E}"/>
    <cellStyle name="Currency 3 2 2 2 3 3 4" xfId="13497" xr:uid="{DB588AFC-0AC8-400E-A4B5-C8DC01481BF6}"/>
    <cellStyle name="Currency 3 2 2 2 3 4" xfId="26168" xr:uid="{764D1302-1AFD-466E-BC1A-D44A4BC90590}"/>
    <cellStyle name="Currency 3 2 2 2 3 5" xfId="17727" xr:uid="{B3EDC0D8-1E70-4F7F-AF90-AA6EE1199034}"/>
    <cellStyle name="Currency 3 2 2 2 3 6" xfId="9279" xr:uid="{6FBD2D8A-3AEC-4251-A405-6430E0EC7FAE}"/>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32944" xr:uid="{225C302C-3BAF-49BD-A440-D87CA5209CBB}"/>
    <cellStyle name="Currency 3 2 2 2 4 2 2 3" xfId="24503" xr:uid="{9D08C07A-D937-428A-8B3B-1C0245E1A15A}"/>
    <cellStyle name="Currency 3 2 2 2 4 2 2 4" xfId="16055" xr:uid="{AA27A2DD-5A61-4BCA-A3FC-C5EAFBFED4BF}"/>
    <cellStyle name="Currency 3 2 2 2 4 2 3" xfId="28726" xr:uid="{E8E2A8DE-2EC2-43E7-BED8-5A5A37C13EF1}"/>
    <cellStyle name="Currency 3 2 2 2 4 2 4" xfId="20285" xr:uid="{FFED1807-74B1-4AB6-AB3C-4E3AE195D399}"/>
    <cellStyle name="Currency 3 2 2 2 4 2 5" xfId="11837" xr:uid="{321BADE5-F1D6-4ADF-B927-34BEF7C8691B}"/>
    <cellStyle name="Currency 3 2 2 2 4 3" xfId="5460" xr:uid="{00000000-0005-0000-0000-0000C60A0000}"/>
    <cellStyle name="Currency 3 2 2 2 4 3 2" xfId="30799" xr:uid="{BA9304DA-53C8-4AFD-9C58-EA99408ACEDF}"/>
    <cellStyle name="Currency 3 2 2 2 4 3 3" xfId="22358" xr:uid="{14D9B142-161A-425D-BDB9-B6D182AC99C5}"/>
    <cellStyle name="Currency 3 2 2 2 4 3 4" xfId="13910" xr:uid="{6AAA0D6D-E57C-4117-AADB-099BDA0C18E5}"/>
    <cellStyle name="Currency 3 2 2 2 4 4" xfId="26581" xr:uid="{9314F243-259D-4821-A44D-190FD8DBA36B}"/>
    <cellStyle name="Currency 3 2 2 2 4 5" xfId="18140" xr:uid="{197722C6-C977-4B65-B9DC-198C9FC1573F}"/>
    <cellStyle name="Currency 3 2 2 2 4 6" xfId="9692" xr:uid="{1A495705-4964-4050-946E-01573D71DAC2}"/>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33357" xr:uid="{2F285E3A-7101-47C7-A0E5-D773AE5DC584}"/>
    <cellStyle name="Currency 3 2 2 2 5 2 2 3" xfId="24916" xr:uid="{1BB05472-A776-422C-A2CD-65EBE6505C3F}"/>
    <cellStyle name="Currency 3 2 2 2 5 2 2 4" xfId="16468" xr:uid="{EDD2A5FF-6D4B-4594-9B12-14D25ECC387F}"/>
    <cellStyle name="Currency 3 2 2 2 5 2 3" xfId="29139" xr:uid="{61433FCC-E54F-4F1E-B797-21A77EBFBD59}"/>
    <cellStyle name="Currency 3 2 2 2 5 2 4" xfId="20698" xr:uid="{F8A62BFE-DB30-4254-83C6-C7D64426496E}"/>
    <cellStyle name="Currency 3 2 2 2 5 2 5" xfId="12250" xr:uid="{02B7577B-0CB9-4FEE-9353-E8EDBD5C50D4}"/>
    <cellStyle name="Currency 3 2 2 2 5 3" xfId="5873" xr:uid="{00000000-0005-0000-0000-0000CA0A0000}"/>
    <cellStyle name="Currency 3 2 2 2 5 3 2" xfId="31212" xr:uid="{B66EBA14-822C-42CF-B5B8-7DEB344580B2}"/>
    <cellStyle name="Currency 3 2 2 2 5 3 3" xfId="22771" xr:uid="{419FDA5B-622A-40FE-A661-FD7A99445805}"/>
    <cellStyle name="Currency 3 2 2 2 5 3 4" xfId="14323" xr:uid="{24D21983-8F7C-4CF2-8117-B728F0B5D0D3}"/>
    <cellStyle name="Currency 3 2 2 2 5 4" xfId="26994" xr:uid="{1EFF02D7-8352-40E5-8D7F-AA75120B81A1}"/>
    <cellStyle name="Currency 3 2 2 2 5 5" xfId="18553" xr:uid="{56DD1396-6999-43C8-92A5-B18E965C1F5B}"/>
    <cellStyle name="Currency 3 2 2 2 5 6" xfId="10105" xr:uid="{5469B9DA-A162-4A84-9B35-8377E8AB8A61}"/>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33770" xr:uid="{4982BE3E-29A3-42BC-B40A-57DC12D4D399}"/>
    <cellStyle name="Currency 3 2 2 2 6 2 2 3" xfId="25329" xr:uid="{0C0C1943-BD3E-44D9-BDAF-99458C92999A}"/>
    <cellStyle name="Currency 3 2 2 2 6 2 2 4" xfId="16881" xr:uid="{59185E08-ADA7-4C8E-9E35-3417D3991C0E}"/>
    <cellStyle name="Currency 3 2 2 2 6 2 3" xfId="29552" xr:uid="{B5478180-6636-4316-B3DD-41B6061EFF80}"/>
    <cellStyle name="Currency 3 2 2 2 6 2 4" xfId="21111" xr:uid="{862D4087-BF7D-4233-8213-CEEA0F6C89C5}"/>
    <cellStyle name="Currency 3 2 2 2 6 2 5" xfId="12663" xr:uid="{8C21C11B-353B-4E5E-9A36-D539B9F07954}"/>
    <cellStyle name="Currency 3 2 2 2 6 3" xfId="6286" xr:uid="{00000000-0005-0000-0000-0000CE0A0000}"/>
    <cellStyle name="Currency 3 2 2 2 6 3 2" xfId="31625" xr:uid="{410C2ACB-B65B-45D9-BB96-A00DC2BD1C0C}"/>
    <cellStyle name="Currency 3 2 2 2 6 3 3" xfId="23184" xr:uid="{AFB7CF7D-F49F-4B80-82E5-2A09562E462F}"/>
    <cellStyle name="Currency 3 2 2 2 6 3 4" xfId="14736" xr:uid="{6D136C56-5875-434D-8464-5A65C84E885D}"/>
    <cellStyle name="Currency 3 2 2 2 6 4" xfId="27407" xr:uid="{F948A137-4A33-4807-A9DB-080A602DD50B}"/>
    <cellStyle name="Currency 3 2 2 2 6 5" xfId="18966" xr:uid="{5B89B60D-364A-4801-8EE6-7BC24BE673DF}"/>
    <cellStyle name="Currency 3 2 2 2 6 6" xfId="10518" xr:uid="{3BC820D7-87FF-4C99-AB1C-47B2B60CFE44}"/>
    <cellStyle name="Currency 3 2 2 2 7" xfId="2415" xr:uid="{00000000-0005-0000-0000-0000CF0A0000}"/>
    <cellStyle name="Currency 3 2 2 2 7 2" xfId="6699" xr:uid="{00000000-0005-0000-0000-0000D00A0000}"/>
    <cellStyle name="Currency 3 2 2 2 7 2 2" xfId="32038" xr:uid="{9C11EFED-3D51-4C3C-98C2-E35C896B0761}"/>
    <cellStyle name="Currency 3 2 2 2 7 2 3" xfId="23597" xr:uid="{A3E86347-0DAF-4F04-8553-DEB6852B3D96}"/>
    <cellStyle name="Currency 3 2 2 2 7 2 4" xfId="15149" xr:uid="{1406849F-D213-42F7-B713-008633FA0350}"/>
    <cellStyle name="Currency 3 2 2 2 7 3" xfId="27820" xr:uid="{0CF3EF4B-D3BE-4369-BE71-B22A93044E53}"/>
    <cellStyle name="Currency 3 2 2 2 7 4" xfId="19379" xr:uid="{921AC5D1-B742-4317-BAC8-CC0060F4CBEC}"/>
    <cellStyle name="Currency 3 2 2 2 7 5" xfId="10931" xr:uid="{CEDCF770-E0FD-467D-8EEE-359C05640448}"/>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32355" xr:uid="{27127EFF-A32E-45C0-BB3F-D2DF21464C53}"/>
    <cellStyle name="Currency 3 2 2 2 9 2 3" xfId="23914" xr:uid="{F8EDEF8B-AF16-45A2-9F97-C4B307F42929}"/>
    <cellStyle name="Currency 3 2 2 2 9 2 4" xfId="15466" xr:uid="{4F08276D-55D8-4800-AF14-FC9E09451FD2}"/>
    <cellStyle name="Currency 3 2 2 2 9 3" xfId="28137" xr:uid="{D20A5129-A34F-4DE6-98DA-887A50350061}"/>
    <cellStyle name="Currency 3 2 2 2 9 4" xfId="19696" xr:uid="{525FDA4C-7050-49F6-9E34-D43F4B849E74}"/>
    <cellStyle name="Currency 3 2 2 2 9 5" xfId="11248" xr:uid="{9A1EF532-23A1-4E7C-B19C-8DFD0DB89EAF}"/>
    <cellStyle name="Currency 3 2 2 3" xfId="181" xr:uid="{00000000-0005-0000-0000-0000D40A0000}"/>
    <cellStyle name="Currency 3 2 2 3 10" xfId="25756" xr:uid="{006062F9-4578-4183-B0FD-5A086FE76BE7}"/>
    <cellStyle name="Currency 3 2 2 3 11" xfId="17315" xr:uid="{D9DB84BC-7A65-4497-B90B-C7835ED5CE46}"/>
    <cellStyle name="Currency 3 2 2 3 12" xfId="8867" xr:uid="{97C6CAA3-90AD-44F5-89AA-1E0E4EF172F2}"/>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32533" xr:uid="{23776E34-1245-45B6-9D3E-C9F2A1404E3B}"/>
    <cellStyle name="Currency 3 2 2 3 2 2 2 3" xfId="24092" xr:uid="{81875E47-5567-4800-A283-2D45F0748E49}"/>
    <cellStyle name="Currency 3 2 2 3 2 2 2 4" xfId="15644" xr:uid="{CBEE4DB1-B6AC-4025-BD60-541E82436A81}"/>
    <cellStyle name="Currency 3 2 2 3 2 2 3" xfId="28315" xr:uid="{0C035FF0-B53C-4900-919B-30383AD8F219}"/>
    <cellStyle name="Currency 3 2 2 3 2 2 4" xfId="19874" xr:uid="{474D5C46-268A-4E70-B244-03DC43DB167E}"/>
    <cellStyle name="Currency 3 2 2 3 2 2 5" xfId="11426" xr:uid="{F7DFC197-6746-4A47-922B-B9D1B8FCFAE9}"/>
    <cellStyle name="Currency 3 2 2 3 2 3" xfId="5049" xr:uid="{00000000-0005-0000-0000-0000D80A0000}"/>
    <cellStyle name="Currency 3 2 2 3 2 3 2" xfId="30388" xr:uid="{67ECF3F9-6210-472C-8A11-DBFDD3D62779}"/>
    <cellStyle name="Currency 3 2 2 3 2 3 3" xfId="21947" xr:uid="{2A1CD804-C606-47EF-B551-928D19244753}"/>
    <cellStyle name="Currency 3 2 2 3 2 3 4" xfId="13499" xr:uid="{EC4E4C1A-21FD-499D-A1FB-3ACEA18F1DAB}"/>
    <cellStyle name="Currency 3 2 2 3 2 4" xfId="26170" xr:uid="{86819C7C-60C1-4FA5-9968-472D98436C32}"/>
    <cellStyle name="Currency 3 2 2 3 2 5" xfId="17729" xr:uid="{4858BAC0-A5EC-4E92-B902-88099963CF95}"/>
    <cellStyle name="Currency 3 2 2 3 2 6" xfId="9281" xr:uid="{27B75BEC-B702-4FFE-BC08-3403374B6554}"/>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32946" xr:uid="{0098C621-3DF6-479D-B4ED-D5D04CD18F64}"/>
    <cellStyle name="Currency 3 2 2 3 3 2 2 3" xfId="24505" xr:uid="{12A5A117-E4AB-4390-AE94-F22FA58A9C76}"/>
    <cellStyle name="Currency 3 2 2 3 3 2 2 4" xfId="16057" xr:uid="{DC336B69-99D2-4E52-BD77-2B4B383D01CD}"/>
    <cellStyle name="Currency 3 2 2 3 3 2 3" xfId="28728" xr:uid="{E02F5517-3FE2-4A1F-96DB-978DAEDB06AD}"/>
    <cellStyle name="Currency 3 2 2 3 3 2 4" xfId="20287" xr:uid="{E2571D0B-ED7F-4641-8C3D-85D67CB6389E}"/>
    <cellStyle name="Currency 3 2 2 3 3 2 5" xfId="11839" xr:uid="{9E58CA76-186B-42AF-80FA-FE95DD11BCED}"/>
    <cellStyle name="Currency 3 2 2 3 3 3" xfId="5462" xr:uid="{00000000-0005-0000-0000-0000DC0A0000}"/>
    <cellStyle name="Currency 3 2 2 3 3 3 2" xfId="30801" xr:uid="{131327F8-D0FE-4F7F-BBF1-25915489159D}"/>
    <cellStyle name="Currency 3 2 2 3 3 3 3" xfId="22360" xr:uid="{C99E8A06-4C1F-4E46-B089-678D16F4D8B5}"/>
    <cellStyle name="Currency 3 2 2 3 3 3 4" xfId="13912" xr:uid="{8CA947AF-694E-4567-BAFE-6D966F7A0CD0}"/>
    <cellStyle name="Currency 3 2 2 3 3 4" xfId="26583" xr:uid="{C5E00D2B-61B1-4BA7-895A-54F0A9E7FDED}"/>
    <cellStyle name="Currency 3 2 2 3 3 5" xfId="18142" xr:uid="{D167FFA5-90C6-4481-A7AB-1CB0D1B5F0D9}"/>
    <cellStyle name="Currency 3 2 2 3 3 6" xfId="9694" xr:uid="{F40C2B45-4947-47BC-930E-A9140E4DE2A5}"/>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33359" xr:uid="{45A72F06-8CE0-4423-A4C2-FAB9E1C9DE0A}"/>
    <cellStyle name="Currency 3 2 2 3 4 2 2 3" xfId="24918" xr:uid="{D890083B-8A23-4A4A-861A-042FC1F654F0}"/>
    <cellStyle name="Currency 3 2 2 3 4 2 2 4" xfId="16470" xr:uid="{C8FF44BA-AA44-4FBC-97DC-E7D9524B5BE0}"/>
    <cellStyle name="Currency 3 2 2 3 4 2 3" xfId="29141" xr:uid="{4CBD7ADE-E4EE-4D9A-91D3-109F9B97D271}"/>
    <cellStyle name="Currency 3 2 2 3 4 2 4" xfId="20700" xr:uid="{53EB3A8F-A1EC-4FB4-9B51-638FE47B255E}"/>
    <cellStyle name="Currency 3 2 2 3 4 2 5" xfId="12252" xr:uid="{A947B80C-18B6-47AB-A872-980122EE8972}"/>
    <cellStyle name="Currency 3 2 2 3 4 3" xfId="5875" xr:uid="{00000000-0005-0000-0000-0000E00A0000}"/>
    <cellStyle name="Currency 3 2 2 3 4 3 2" xfId="31214" xr:uid="{649E485A-0278-4E66-89ED-31DFB4F4D6EC}"/>
    <cellStyle name="Currency 3 2 2 3 4 3 3" xfId="22773" xr:uid="{56A8E5ED-1E77-458F-BBB9-72759805A043}"/>
    <cellStyle name="Currency 3 2 2 3 4 3 4" xfId="14325" xr:uid="{71423FFE-3FCB-4B03-9333-156A71DC2A91}"/>
    <cellStyle name="Currency 3 2 2 3 4 4" xfId="26996" xr:uid="{36BFDD1E-09D9-4F5E-9F3E-42C32D4DDE55}"/>
    <cellStyle name="Currency 3 2 2 3 4 5" xfId="18555" xr:uid="{2779D0A7-140A-4AA8-AB57-A1AEBD274705}"/>
    <cellStyle name="Currency 3 2 2 3 4 6" xfId="10107" xr:uid="{0D7404EC-9C1B-4489-A046-C5656AC85C79}"/>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33772" xr:uid="{61B716EE-C2CF-4895-A2C4-C22A45FCE16B}"/>
    <cellStyle name="Currency 3 2 2 3 5 2 2 3" xfId="25331" xr:uid="{29466E07-7BBB-4FE8-B1F2-13CAFD145DB9}"/>
    <cellStyle name="Currency 3 2 2 3 5 2 2 4" xfId="16883" xr:uid="{E7E686A4-8407-4BD0-9B6C-511696DCEA62}"/>
    <cellStyle name="Currency 3 2 2 3 5 2 3" xfId="29554" xr:uid="{F7E06D6F-ECB0-4703-A64E-F5C29A266CE0}"/>
    <cellStyle name="Currency 3 2 2 3 5 2 4" xfId="21113" xr:uid="{ECFF3351-6336-4DB8-A7AB-435115254635}"/>
    <cellStyle name="Currency 3 2 2 3 5 2 5" xfId="12665" xr:uid="{AE1903D3-E7AD-434C-9197-B39E8EA60FA2}"/>
    <cellStyle name="Currency 3 2 2 3 5 3" xfId="6288" xr:uid="{00000000-0005-0000-0000-0000E40A0000}"/>
    <cellStyle name="Currency 3 2 2 3 5 3 2" xfId="31627" xr:uid="{F4F09631-834F-4E27-B73F-7F17ADBA459A}"/>
    <cellStyle name="Currency 3 2 2 3 5 3 3" xfId="23186" xr:uid="{25A5ECFD-2FB9-469F-A459-CC2E3FDA4568}"/>
    <cellStyle name="Currency 3 2 2 3 5 3 4" xfId="14738" xr:uid="{41B386D2-21E4-4F70-A93D-B7D410DA4978}"/>
    <cellStyle name="Currency 3 2 2 3 5 4" xfId="27409" xr:uid="{A3F515FF-99E3-475C-A12B-6DF6418D72FE}"/>
    <cellStyle name="Currency 3 2 2 3 5 5" xfId="18968" xr:uid="{4123CF96-AEDE-46F2-81C9-5267903F995A}"/>
    <cellStyle name="Currency 3 2 2 3 5 6" xfId="10520" xr:uid="{8DCED577-B1F3-4841-A6BE-0A9F341442B9}"/>
    <cellStyle name="Currency 3 2 2 3 6" xfId="2417" xr:uid="{00000000-0005-0000-0000-0000E50A0000}"/>
    <cellStyle name="Currency 3 2 2 3 6 2" xfId="6701" xr:uid="{00000000-0005-0000-0000-0000E60A0000}"/>
    <cellStyle name="Currency 3 2 2 3 6 2 2" xfId="32040" xr:uid="{2C3A2A34-8D68-4767-B9CB-14AE1A076672}"/>
    <cellStyle name="Currency 3 2 2 3 6 2 3" xfId="23599" xr:uid="{837F6AE4-9FE5-40A9-B8AF-54501773ADE2}"/>
    <cellStyle name="Currency 3 2 2 3 6 2 4" xfId="15151" xr:uid="{382AD27F-8010-4719-839C-05C9609B6C24}"/>
    <cellStyle name="Currency 3 2 2 3 6 3" xfId="27822" xr:uid="{B196BBCF-3032-4F2C-9025-3420C3925612}"/>
    <cellStyle name="Currency 3 2 2 3 6 4" xfId="19381" xr:uid="{7DFCA1BA-CCE8-468F-98FA-239B723127F5}"/>
    <cellStyle name="Currency 3 2 2 3 6 5" xfId="10933" xr:uid="{B9404E7B-BA8F-402E-AF97-111CBA3CC596}"/>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32357" xr:uid="{5741D13A-332C-4C89-80EA-9DDACC57D210}"/>
    <cellStyle name="Currency 3 2 2 3 8 2 3" xfId="23916" xr:uid="{D78505A4-111B-43E9-93E6-A5EC7C3196DB}"/>
    <cellStyle name="Currency 3 2 2 3 8 2 4" xfId="15468" xr:uid="{C6C3C529-00E0-4BE9-9274-F8290D2D5F50}"/>
    <cellStyle name="Currency 3 2 2 3 8 3" xfId="28139" xr:uid="{B23CEB7D-CA08-43D6-92B5-A5C70075AABA}"/>
    <cellStyle name="Currency 3 2 2 3 8 4" xfId="19698" xr:uid="{1AEF7BB1-BAB1-4BD4-8F87-955CBCB12C8A}"/>
    <cellStyle name="Currency 3 2 2 3 8 5" xfId="11250" xr:uid="{58633BC2-4162-44ED-BB71-F08A23071B5E}"/>
    <cellStyle name="Currency 3 2 2 3 9" xfId="4635" xr:uid="{00000000-0005-0000-0000-0000EA0A0000}"/>
    <cellStyle name="Currency 3 2 2 3 9 2" xfId="29974" xr:uid="{148CF99F-911B-4748-BB38-8A086D9493CD}"/>
    <cellStyle name="Currency 3 2 2 3 9 3" xfId="21533" xr:uid="{4F12AD6B-599A-4121-ADF7-D5A11D19659E}"/>
    <cellStyle name="Currency 3 2 2 3 9 4" xfId="13085" xr:uid="{5FCBFAEA-F622-44B3-912D-B811E4B99AAA}"/>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32530" xr:uid="{394EFF0A-8F07-4FD8-81AF-FEDA31370E1C}"/>
    <cellStyle name="Currency 3 2 2 4 2 2 3" xfId="24089" xr:uid="{5133BE07-C07B-4AB8-ADC0-3C6D6ACDEDBE}"/>
    <cellStyle name="Currency 3 2 2 4 2 2 4" xfId="15641" xr:uid="{987E800D-7EC6-4DFC-8842-F02B4F15AF1F}"/>
    <cellStyle name="Currency 3 2 2 4 2 3" xfId="28312" xr:uid="{86F0508B-B7CA-4BBD-AC26-BF0A110AD188}"/>
    <cellStyle name="Currency 3 2 2 4 2 4" xfId="19871" xr:uid="{2D8AF432-EDC3-4516-A881-998FC7FBA341}"/>
    <cellStyle name="Currency 3 2 2 4 2 5" xfId="11423" xr:uid="{AD26AC00-E7C5-4FAE-9300-3CBE36CB047A}"/>
    <cellStyle name="Currency 3 2 2 4 3" xfId="5046" xr:uid="{00000000-0005-0000-0000-0000EE0A0000}"/>
    <cellStyle name="Currency 3 2 2 4 3 2" xfId="30385" xr:uid="{7D37B517-FC49-4BAC-B57A-763454ACB0F0}"/>
    <cellStyle name="Currency 3 2 2 4 3 3" xfId="21944" xr:uid="{297329BD-57FE-4261-B233-B6EF68A295BE}"/>
    <cellStyle name="Currency 3 2 2 4 3 4" xfId="13496" xr:uid="{37188062-8871-4196-AAA8-0EDDE6216312}"/>
    <cellStyle name="Currency 3 2 2 4 4" xfId="26167" xr:uid="{4835E7DA-3A66-44DA-B3BD-DB4264D0032A}"/>
    <cellStyle name="Currency 3 2 2 4 5" xfId="17726" xr:uid="{087A2900-29E0-439A-A3CF-B7C51A49C601}"/>
    <cellStyle name="Currency 3 2 2 4 6" xfId="9278" xr:uid="{77A757B5-E4DF-4642-9BDD-E43CECF42C5A}"/>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32943" xr:uid="{C8DFD1A4-CEEC-4038-A788-41728E3ECB51}"/>
    <cellStyle name="Currency 3 2 2 5 2 2 3" xfId="24502" xr:uid="{642FDF4B-CCC8-4EEC-B43B-3745FCAC686B}"/>
    <cellStyle name="Currency 3 2 2 5 2 2 4" xfId="16054" xr:uid="{A6BCE4FC-A00C-43BB-BBAC-BC719CBAF914}"/>
    <cellStyle name="Currency 3 2 2 5 2 3" xfId="28725" xr:uid="{68FF63E1-74D7-4CFC-BF56-4E9B8D1E5772}"/>
    <cellStyle name="Currency 3 2 2 5 2 4" xfId="20284" xr:uid="{30FB323C-54D7-4CC3-85D8-B1C4D2258378}"/>
    <cellStyle name="Currency 3 2 2 5 2 5" xfId="11836" xr:uid="{F501CD58-D0F3-4E8C-AB3F-1A124E77776D}"/>
    <cellStyle name="Currency 3 2 2 5 3" xfId="5459" xr:uid="{00000000-0005-0000-0000-0000F20A0000}"/>
    <cellStyle name="Currency 3 2 2 5 3 2" xfId="30798" xr:uid="{2DC1414F-B8B9-4C82-8773-98714ED8D1FF}"/>
    <cellStyle name="Currency 3 2 2 5 3 3" xfId="22357" xr:uid="{0C8A5CB7-91FB-4224-AEE7-BD943857F08C}"/>
    <cellStyle name="Currency 3 2 2 5 3 4" xfId="13909" xr:uid="{AC26C6A5-DED5-48C5-B386-FBA01C12B5E9}"/>
    <cellStyle name="Currency 3 2 2 5 4" xfId="26580" xr:uid="{2CA612FD-D566-4BEB-8329-EFB561208443}"/>
    <cellStyle name="Currency 3 2 2 5 5" xfId="18139" xr:uid="{6F0C6CF9-AF6B-445F-9871-0762A9EEDA32}"/>
    <cellStyle name="Currency 3 2 2 5 6" xfId="9691" xr:uid="{0C1C508F-5E6E-49FA-A02D-BA8471798C85}"/>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33356" xr:uid="{E62558EE-A568-4A86-AA72-AAABCC51D1A2}"/>
    <cellStyle name="Currency 3 2 2 6 2 2 3" xfId="24915" xr:uid="{B65E1276-F5AF-409E-B615-AD5ABF69DB61}"/>
    <cellStyle name="Currency 3 2 2 6 2 2 4" xfId="16467" xr:uid="{C75F9B98-0143-46AD-8818-5E580512EF64}"/>
    <cellStyle name="Currency 3 2 2 6 2 3" xfId="29138" xr:uid="{74FB86CF-1EF9-4290-B55E-EF1BF472DC2A}"/>
    <cellStyle name="Currency 3 2 2 6 2 4" xfId="20697" xr:uid="{468DDA87-CF8B-46D2-8E99-D8AFB9B81DD8}"/>
    <cellStyle name="Currency 3 2 2 6 2 5" xfId="12249" xr:uid="{09764E02-6C77-4F66-9511-D8EA57BBDCED}"/>
    <cellStyle name="Currency 3 2 2 6 3" xfId="5872" xr:uid="{00000000-0005-0000-0000-0000F60A0000}"/>
    <cellStyle name="Currency 3 2 2 6 3 2" xfId="31211" xr:uid="{FDCF47AD-A7B0-41BF-B67D-AB9E6417A071}"/>
    <cellStyle name="Currency 3 2 2 6 3 3" xfId="22770" xr:uid="{91356F77-85B5-4E1E-8E72-4A02FC3B14C9}"/>
    <cellStyle name="Currency 3 2 2 6 3 4" xfId="14322" xr:uid="{AC5FFA70-2022-41BE-828F-EB7D9103575C}"/>
    <cellStyle name="Currency 3 2 2 6 4" xfId="26993" xr:uid="{A365990F-06E0-409B-A9F5-9FAF1801CC5D}"/>
    <cellStyle name="Currency 3 2 2 6 5" xfId="18552" xr:uid="{A27B2CA5-1D8F-4453-A310-BF86530295F3}"/>
    <cellStyle name="Currency 3 2 2 6 6" xfId="10104" xr:uid="{21CC17BE-EA2E-4846-AF63-045BBF6924E6}"/>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33769" xr:uid="{F71D9AAE-0777-4E1C-8E0B-04F47F89185A}"/>
    <cellStyle name="Currency 3 2 2 7 2 2 3" xfId="25328" xr:uid="{4E389BCC-3D54-4FFD-9869-C3359E9064DC}"/>
    <cellStyle name="Currency 3 2 2 7 2 2 4" xfId="16880" xr:uid="{2CD6E282-895E-4EC4-9E8C-A3D9C5713915}"/>
    <cellStyle name="Currency 3 2 2 7 2 3" xfId="29551" xr:uid="{47C1F775-615E-4513-A360-89A64A73CD3D}"/>
    <cellStyle name="Currency 3 2 2 7 2 4" xfId="21110" xr:uid="{40FEE685-A170-46B6-940F-852F313200DA}"/>
    <cellStyle name="Currency 3 2 2 7 2 5" xfId="12662" xr:uid="{8463223A-01F4-4A1C-BD32-A79B52C987C4}"/>
    <cellStyle name="Currency 3 2 2 7 3" xfId="6285" xr:uid="{00000000-0005-0000-0000-0000FA0A0000}"/>
    <cellStyle name="Currency 3 2 2 7 3 2" xfId="31624" xr:uid="{149AC349-8EF7-4FC7-9CB8-9430AE69D07D}"/>
    <cellStyle name="Currency 3 2 2 7 3 3" xfId="23183" xr:uid="{64D5386F-3A17-4506-8D1E-AA6F251F6A65}"/>
    <cellStyle name="Currency 3 2 2 7 3 4" xfId="14735" xr:uid="{1BDB2CDD-B559-40BD-8696-C903EBD2997E}"/>
    <cellStyle name="Currency 3 2 2 7 4" xfId="27406" xr:uid="{A776E893-6C68-4E55-8CD2-2B4295313EB2}"/>
    <cellStyle name="Currency 3 2 2 7 5" xfId="18965" xr:uid="{9C130393-A529-4463-B641-C856139B8C02}"/>
    <cellStyle name="Currency 3 2 2 7 6" xfId="10517" xr:uid="{C8B3B986-D19F-4709-806F-9DB47A0A8905}"/>
    <cellStyle name="Currency 3 2 2 8" xfId="2414" xr:uid="{00000000-0005-0000-0000-0000FB0A0000}"/>
    <cellStyle name="Currency 3 2 2 8 2" xfId="6698" xr:uid="{00000000-0005-0000-0000-0000FC0A0000}"/>
    <cellStyle name="Currency 3 2 2 8 2 2" xfId="32037" xr:uid="{D0A063D2-79CB-4E6D-A99B-6FD8F5F4E34B}"/>
    <cellStyle name="Currency 3 2 2 8 2 3" xfId="23596" xr:uid="{06B3FAAD-7AB5-4483-B713-FE037B3133C3}"/>
    <cellStyle name="Currency 3 2 2 8 2 4" xfId="15148" xr:uid="{42C8E61F-C143-4AB3-8CC2-9919B7BBCB8F}"/>
    <cellStyle name="Currency 3 2 2 8 3" xfId="27819" xr:uid="{B9DD9EAB-A798-4F49-8C15-B608C008DF91}"/>
    <cellStyle name="Currency 3 2 2 8 4" xfId="19378" xr:uid="{740E6E60-6C4C-4C03-815E-2B55210B922A}"/>
    <cellStyle name="Currency 3 2 2 8 5" xfId="10930" xr:uid="{5BF74916-F1FF-47FB-89E3-B8A46C72ECBF}"/>
    <cellStyle name="Currency 3 2 2 9" xfId="2711" xr:uid="{00000000-0005-0000-0000-0000FD0A0000}"/>
    <cellStyle name="Currency 3 2 3" xfId="182" xr:uid="{00000000-0005-0000-0000-0000FE0A0000}"/>
    <cellStyle name="Currency 3 2 3 10" xfId="4636" xr:uid="{00000000-0005-0000-0000-0000FF0A0000}"/>
    <cellStyle name="Currency 3 2 3 10 2" xfId="29975" xr:uid="{B4AC8099-A610-4DEC-B354-DA6D2F864389}"/>
    <cellStyle name="Currency 3 2 3 10 3" xfId="21534" xr:uid="{BB90AF9F-9A43-4A26-A8C5-37CD034B7B31}"/>
    <cellStyle name="Currency 3 2 3 10 4" xfId="13086" xr:uid="{80C5FFBB-6462-462A-9FBB-EAD4CE030AD2}"/>
    <cellStyle name="Currency 3 2 3 11" xfId="25757" xr:uid="{E48FBE48-97DA-43E9-BDA4-D83AFCF37B75}"/>
    <cellStyle name="Currency 3 2 3 12" xfId="17316" xr:uid="{1CBA3D7A-2E9D-4020-A25A-6D10BE8B3AFC}"/>
    <cellStyle name="Currency 3 2 3 13" xfId="8868" xr:uid="{04DEEB4D-4E96-49A6-B1EA-60428F59F310}"/>
    <cellStyle name="Currency 3 2 3 2" xfId="183" xr:uid="{00000000-0005-0000-0000-0000000B0000}"/>
    <cellStyle name="Currency 3 2 3 2 10" xfId="25758" xr:uid="{76C4163D-55EB-4EB5-927C-7B030C52387F}"/>
    <cellStyle name="Currency 3 2 3 2 11" xfId="17317" xr:uid="{E9927C40-C140-461B-97C5-4892C5EA72E6}"/>
    <cellStyle name="Currency 3 2 3 2 12" xfId="8869" xr:uid="{530AAE90-1B40-4F9C-87FF-74890BB7277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32535" xr:uid="{06D7DCAF-2561-44B0-9AB5-ED4F845A5AE7}"/>
    <cellStyle name="Currency 3 2 3 2 2 2 2 3" xfId="24094" xr:uid="{5047F05F-35FA-4A23-8275-CAF3D445B335}"/>
    <cellStyle name="Currency 3 2 3 2 2 2 2 4" xfId="15646" xr:uid="{1D653F41-0615-46FC-9593-D48C3A559CE3}"/>
    <cellStyle name="Currency 3 2 3 2 2 2 3" xfId="28317" xr:uid="{3BB7AF07-9A2C-4F28-B544-C5BBF8C0F63D}"/>
    <cellStyle name="Currency 3 2 3 2 2 2 4" xfId="19876" xr:uid="{57DA56F6-63C1-42E8-8563-2D56AE7E7576}"/>
    <cellStyle name="Currency 3 2 3 2 2 2 5" xfId="11428" xr:uid="{3B3B3294-E4BA-4E37-8CA2-73F5A1869C5B}"/>
    <cellStyle name="Currency 3 2 3 2 2 3" xfId="5051" xr:uid="{00000000-0005-0000-0000-0000040B0000}"/>
    <cellStyle name="Currency 3 2 3 2 2 3 2" xfId="30390" xr:uid="{99DDF237-E1A5-4230-B133-530CF25DC995}"/>
    <cellStyle name="Currency 3 2 3 2 2 3 3" xfId="21949" xr:uid="{B13DD62C-CD8C-44E4-BCA7-B9FFFD93C7C7}"/>
    <cellStyle name="Currency 3 2 3 2 2 3 4" xfId="13501" xr:uid="{D2ED69C4-2875-4254-8D25-0B5904B5555D}"/>
    <cellStyle name="Currency 3 2 3 2 2 4" xfId="26172" xr:uid="{413A403D-7254-48C5-B81F-11CA1DD62C81}"/>
    <cellStyle name="Currency 3 2 3 2 2 5" xfId="17731" xr:uid="{D79C795E-744C-4DDA-9DC0-760D7B55BF29}"/>
    <cellStyle name="Currency 3 2 3 2 2 6" xfId="9283" xr:uid="{47A60BCE-9458-4451-A7E5-5B86F2813811}"/>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32948" xr:uid="{7B70BEB4-146C-430B-8FEA-EFCD214DC8B8}"/>
    <cellStyle name="Currency 3 2 3 2 3 2 2 3" xfId="24507" xr:uid="{BDE5F6B5-C6AF-4B90-863C-8B513CEF9022}"/>
    <cellStyle name="Currency 3 2 3 2 3 2 2 4" xfId="16059" xr:uid="{BF33AACA-0E90-4985-BD6A-2B280CCCE514}"/>
    <cellStyle name="Currency 3 2 3 2 3 2 3" xfId="28730" xr:uid="{BC24AD79-263B-4DE2-8E75-2D66AC7EB359}"/>
    <cellStyle name="Currency 3 2 3 2 3 2 4" xfId="20289" xr:uid="{CC634057-D401-485E-8A20-C475B8996C39}"/>
    <cellStyle name="Currency 3 2 3 2 3 2 5" xfId="11841" xr:uid="{8E41B660-04F8-4F6C-9E06-ACBD1ACF2C47}"/>
    <cellStyle name="Currency 3 2 3 2 3 3" xfId="5464" xr:uid="{00000000-0005-0000-0000-0000080B0000}"/>
    <cellStyle name="Currency 3 2 3 2 3 3 2" xfId="30803" xr:uid="{856F9AE6-B57B-4A9B-AA64-EAE65DADFA07}"/>
    <cellStyle name="Currency 3 2 3 2 3 3 3" xfId="22362" xr:uid="{D2C9D4A8-A9F1-4B91-84ED-F55A2D591FD8}"/>
    <cellStyle name="Currency 3 2 3 2 3 3 4" xfId="13914" xr:uid="{1046CE18-5D7D-4073-B88B-165B4A40835A}"/>
    <cellStyle name="Currency 3 2 3 2 3 4" xfId="26585" xr:uid="{33626CBF-BFD8-4E03-B0A2-666853B44FB2}"/>
    <cellStyle name="Currency 3 2 3 2 3 5" xfId="18144" xr:uid="{15EA1E16-33C8-41D3-8D61-E9723AF81187}"/>
    <cellStyle name="Currency 3 2 3 2 3 6" xfId="9696" xr:uid="{AF3C6719-F1DA-4A42-BE62-F9FEB351CC3C}"/>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33361" xr:uid="{B7B12D1B-F56F-4922-9327-5386D4F8404B}"/>
    <cellStyle name="Currency 3 2 3 2 4 2 2 3" xfId="24920" xr:uid="{3D2C4EBE-08CC-491F-8071-09D47D93775C}"/>
    <cellStyle name="Currency 3 2 3 2 4 2 2 4" xfId="16472" xr:uid="{F4641A89-AA02-4F67-B092-E2BDE1E1575C}"/>
    <cellStyle name="Currency 3 2 3 2 4 2 3" xfId="29143" xr:uid="{25F26769-8E86-45A6-8522-5FE5883D2578}"/>
    <cellStyle name="Currency 3 2 3 2 4 2 4" xfId="20702" xr:uid="{F7A9B957-5D6E-4CB2-92D7-125849F85B8C}"/>
    <cellStyle name="Currency 3 2 3 2 4 2 5" xfId="12254" xr:uid="{BA774EF0-F012-4DED-B971-C9B87076F3AA}"/>
    <cellStyle name="Currency 3 2 3 2 4 3" xfId="5877" xr:uid="{00000000-0005-0000-0000-00000C0B0000}"/>
    <cellStyle name="Currency 3 2 3 2 4 3 2" xfId="31216" xr:uid="{71BB584E-31A4-4DCC-898E-57426C833EF7}"/>
    <cellStyle name="Currency 3 2 3 2 4 3 3" xfId="22775" xr:uid="{7C5CFA24-15D6-47CB-A5AC-07A7663430AD}"/>
    <cellStyle name="Currency 3 2 3 2 4 3 4" xfId="14327" xr:uid="{16D41F78-B539-48A4-B7D3-5C1E87810486}"/>
    <cellStyle name="Currency 3 2 3 2 4 4" xfId="26998" xr:uid="{3FD54495-2C5A-4E2B-A197-85F0236148B2}"/>
    <cellStyle name="Currency 3 2 3 2 4 5" xfId="18557" xr:uid="{66023025-24EC-482F-BB4A-CA7AB219521F}"/>
    <cellStyle name="Currency 3 2 3 2 4 6" xfId="10109" xr:uid="{0036D153-264C-4F15-AE08-C86A3C57BC45}"/>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33774" xr:uid="{4E0D4912-F5EE-4861-8B84-A916F60C0E81}"/>
    <cellStyle name="Currency 3 2 3 2 5 2 2 3" xfId="25333" xr:uid="{8A1158D1-10FC-4568-B5BC-7A85D14CFC42}"/>
    <cellStyle name="Currency 3 2 3 2 5 2 2 4" xfId="16885" xr:uid="{F368A2A5-E4E7-4900-A2CD-15CBEDD91DB9}"/>
    <cellStyle name="Currency 3 2 3 2 5 2 3" xfId="29556" xr:uid="{39096D0F-E32B-4240-A4E2-5625C4EB014D}"/>
    <cellStyle name="Currency 3 2 3 2 5 2 4" xfId="21115" xr:uid="{0DC67CCE-B5AD-4258-A0E6-A0E22F580306}"/>
    <cellStyle name="Currency 3 2 3 2 5 2 5" xfId="12667" xr:uid="{67312027-0AAA-4A4A-BA36-09B462DAEEFB}"/>
    <cellStyle name="Currency 3 2 3 2 5 3" xfId="6290" xr:uid="{00000000-0005-0000-0000-0000100B0000}"/>
    <cellStyle name="Currency 3 2 3 2 5 3 2" xfId="31629" xr:uid="{3CFDFA98-87B0-4DF5-BADD-9058B141B430}"/>
    <cellStyle name="Currency 3 2 3 2 5 3 3" xfId="23188" xr:uid="{D3548025-7493-4925-963B-B54ED63ECBE7}"/>
    <cellStyle name="Currency 3 2 3 2 5 3 4" xfId="14740" xr:uid="{B906E46B-FD79-4EEF-95C1-457915ADB4F6}"/>
    <cellStyle name="Currency 3 2 3 2 5 4" xfId="27411" xr:uid="{79A7079E-1D6A-4530-B521-16C0A5B78311}"/>
    <cellStyle name="Currency 3 2 3 2 5 5" xfId="18970" xr:uid="{8134E594-3E29-4D2C-8F5F-B4686174E43D}"/>
    <cellStyle name="Currency 3 2 3 2 5 6" xfId="10522" xr:uid="{2A970F4C-7D9A-4FF4-9621-AA878AE0B307}"/>
    <cellStyle name="Currency 3 2 3 2 6" xfId="2419" xr:uid="{00000000-0005-0000-0000-0000110B0000}"/>
    <cellStyle name="Currency 3 2 3 2 6 2" xfId="6703" xr:uid="{00000000-0005-0000-0000-0000120B0000}"/>
    <cellStyle name="Currency 3 2 3 2 6 2 2" xfId="32042" xr:uid="{3A9CDC1F-1473-479A-B5A8-28EE6C356506}"/>
    <cellStyle name="Currency 3 2 3 2 6 2 3" xfId="23601" xr:uid="{03B9F15F-00B8-413A-A4BD-774851599519}"/>
    <cellStyle name="Currency 3 2 3 2 6 2 4" xfId="15153" xr:uid="{13EE4E94-872E-4153-8BF8-CD92A7776D65}"/>
    <cellStyle name="Currency 3 2 3 2 6 3" xfId="27824" xr:uid="{09B4DEE8-3A60-430C-A10D-62CCCD6722E0}"/>
    <cellStyle name="Currency 3 2 3 2 6 4" xfId="19383" xr:uid="{7FC0A777-CDFC-4E78-9904-DC4228F42DC2}"/>
    <cellStyle name="Currency 3 2 3 2 6 5" xfId="10935" xr:uid="{427C427A-4D0D-4681-AE27-CAF2BAE83086}"/>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32359" xr:uid="{054A7E1D-5C3F-4685-87E3-FAED5AAD61B6}"/>
    <cellStyle name="Currency 3 2 3 2 8 2 3" xfId="23918" xr:uid="{DDECA663-9CC3-423A-A1A4-70E105F63B3B}"/>
    <cellStyle name="Currency 3 2 3 2 8 2 4" xfId="15470" xr:uid="{045C9ABA-EABC-40D7-9158-343402DB9B8F}"/>
    <cellStyle name="Currency 3 2 3 2 8 3" xfId="28141" xr:uid="{CB015553-89F0-47BE-80FB-EB4B316168DD}"/>
    <cellStyle name="Currency 3 2 3 2 8 4" xfId="19700" xr:uid="{833EEA1D-8A57-4701-95FB-1169C562C59E}"/>
    <cellStyle name="Currency 3 2 3 2 8 5" xfId="11252" xr:uid="{098D4C76-3E0E-4012-9501-0520808A76A4}"/>
    <cellStyle name="Currency 3 2 3 2 9" xfId="4637" xr:uid="{00000000-0005-0000-0000-0000160B0000}"/>
    <cellStyle name="Currency 3 2 3 2 9 2" xfId="29976" xr:uid="{B7883BF1-1837-4C44-9AF8-1B270EA75266}"/>
    <cellStyle name="Currency 3 2 3 2 9 3" xfId="21535" xr:uid="{40E02681-4B0C-4036-9815-B6D98DE869CC}"/>
    <cellStyle name="Currency 3 2 3 2 9 4" xfId="13087" xr:uid="{FF804639-84CE-4915-89F0-08C7829ED51D}"/>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32534" xr:uid="{5A62DCEC-D884-420B-B2DD-CF07DBCEEBE2}"/>
    <cellStyle name="Currency 3 2 3 3 2 2 3" xfId="24093" xr:uid="{9E9AA3CD-CDBC-4494-8272-1959E3E592E4}"/>
    <cellStyle name="Currency 3 2 3 3 2 2 4" xfId="15645" xr:uid="{680EE8AD-126D-4A08-BC84-8DAE2C91FE2A}"/>
    <cellStyle name="Currency 3 2 3 3 2 3" xfId="28316" xr:uid="{2F10B16E-3F25-451F-8A32-1ABFED621E01}"/>
    <cellStyle name="Currency 3 2 3 3 2 4" xfId="19875" xr:uid="{5713B6FF-59D0-40D2-A1FF-72F357216BC0}"/>
    <cellStyle name="Currency 3 2 3 3 2 5" xfId="11427" xr:uid="{4B94D494-37EE-4C17-AD12-34CBDAD55440}"/>
    <cellStyle name="Currency 3 2 3 3 3" xfId="5050" xr:uid="{00000000-0005-0000-0000-00001A0B0000}"/>
    <cellStyle name="Currency 3 2 3 3 3 2" xfId="30389" xr:uid="{E5C1B4A9-34D1-480F-BADB-06476E73D245}"/>
    <cellStyle name="Currency 3 2 3 3 3 3" xfId="21948" xr:uid="{15FAA7B4-A7ED-41B4-8A94-24CF282BF8E7}"/>
    <cellStyle name="Currency 3 2 3 3 3 4" xfId="13500" xr:uid="{171CAA8E-20A8-4F64-A3A7-57279017DEA3}"/>
    <cellStyle name="Currency 3 2 3 3 4" xfId="26171" xr:uid="{360D5A05-8821-4191-B46A-D4816E6333B9}"/>
    <cellStyle name="Currency 3 2 3 3 5" xfId="17730" xr:uid="{E253D76A-8F28-4A31-9607-6EFA84964126}"/>
    <cellStyle name="Currency 3 2 3 3 6" xfId="9282" xr:uid="{D29FAAF3-CF91-4A8E-9F75-B9B1ACF45A8A}"/>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32947" xr:uid="{1A6E3631-D1D6-4678-93F3-8F1963132234}"/>
    <cellStyle name="Currency 3 2 3 4 2 2 3" xfId="24506" xr:uid="{6FE7888B-D8FC-47C4-864D-BE53E665D6BD}"/>
    <cellStyle name="Currency 3 2 3 4 2 2 4" xfId="16058" xr:uid="{5898DF58-A1A4-4CDA-A603-2A9F26048317}"/>
    <cellStyle name="Currency 3 2 3 4 2 3" xfId="28729" xr:uid="{8DD158C5-7637-40C7-8FC4-6955A453A53A}"/>
    <cellStyle name="Currency 3 2 3 4 2 4" xfId="20288" xr:uid="{E27CE40C-5300-44D9-BEE9-0CD12F953272}"/>
    <cellStyle name="Currency 3 2 3 4 2 5" xfId="11840" xr:uid="{AA18BC1C-A8EB-4D6A-9CB3-C1EAD7862302}"/>
    <cellStyle name="Currency 3 2 3 4 3" xfId="5463" xr:uid="{00000000-0005-0000-0000-00001E0B0000}"/>
    <cellStyle name="Currency 3 2 3 4 3 2" xfId="30802" xr:uid="{22CF7A91-A18C-43D7-8D61-EFCD751618CA}"/>
    <cellStyle name="Currency 3 2 3 4 3 3" xfId="22361" xr:uid="{C4A5A9F6-6782-43D5-AC5C-65E3C5DEF08E}"/>
    <cellStyle name="Currency 3 2 3 4 3 4" xfId="13913" xr:uid="{277CC494-424B-45B0-AC71-CDF4E73D2CC4}"/>
    <cellStyle name="Currency 3 2 3 4 4" xfId="26584" xr:uid="{7091CC22-A6F7-44EA-B061-89D3908CACDF}"/>
    <cellStyle name="Currency 3 2 3 4 5" xfId="18143" xr:uid="{AB0CC336-33B1-4745-8A2F-542C287AA6DE}"/>
    <cellStyle name="Currency 3 2 3 4 6" xfId="9695" xr:uid="{AC00DBBA-3BE7-4B8F-BF14-400300E686DB}"/>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33360" xr:uid="{6794258F-B407-4F29-9319-563CFCE43511}"/>
    <cellStyle name="Currency 3 2 3 5 2 2 3" xfId="24919" xr:uid="{4123521E-11E1-4839-AFA5-EB345DA19D2B}"/>
    <cellStyle name="Currency 3 2 3 5 2 2 4" xfId="16471" xr:uid="{174BF743-E724-4C0A-A1A5-FF67E9B159B5}"/>
    <cellStyle name="Currency 3 2 3 5 2 3" xfId="29142" xr:uid="{43E3F970-8748-4D8D-80C3-D1E7CB7B467C}"/>
    <cellStyle name="Currency 3 2 3 5 2 4" xfId="20701" xr:uid="{C215FEA8-541B-4BE1-8131-381B973ED37B}"/>
    <cellStyle name="Currency 3 2 3 5 2 5" xfId="12253" xr:uid="{AF3A6BEE-FB74-46D2-ACFC-76B776AE6B00}"/>
    <cellStyle name="Currency 3 2 3 5 3" xfId="5876" xr:uid="{00000000-0005-0000-0000-0000220B0000}"/>
    <cellStyle name="Currency 3 2 3 5 3 2" xfId="31215" xr:uid="{DC22DA7D-CACE-4257-B8B2-B3398945417B}"/>
    <cellStyle name="Currency 3 2 3 5 3 3" xfId="22774" xr:uid="{5AAAA651-1E0D-45CF-A1F9-098399ACDFBE}"/>
    <cellStyle name="Currency 3 2 3 5 3 4" xfId="14326" xr:uid="{0D8A6D6A-F526-499E-9854-7E690D8C0B04}"/>
    <cellStyle name="Currency 3 2 3 5 4" xfId="26997" xr:uid="{7780BF8F-5CDB-413F-B382-B1DF08D9F308}"/>
    <cellStyle name="Currency 3 2 3 5 5" xfId="18556" xr:uid="{C19574F5-CC36-45DD-83F4-A172FC80824C}"/>
    <cellStyle name="Currency 3 2 3 5 6" xfId="10108" xr:uid="{3599B291-AFEA-45E0-A01E-5E586DE2B3D6}"/>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33773" xr:uid="{A9860C18-760F-4BA7-9748-9E43FEFC8E51}"/>
    <cellStyle name="Currency 3 2 3 6 2 2 3" xfId="25332" xr:uid="{17B21E52-9718-485A-B845-57B56F65E135}"/>
    <cellStyle name="Currency 3 2 3 6 2 2 4" xfId="16884" xr:uid="{60D8CF05-FC37-4CCB-8640-D5DDF9BBB841}"/>
    <cellStyle name="Currency 3 2 3 6 2 3" xfId="29555" xr:uid="{4AB49F12-A211-412D-A7AB-9F84A58DA75B}"/>
    <cellStyle name="Currency 3 2 3 6 2 4" xfId="21114" xr:uid="{115006BC-757E-4342-8438-130CF7DAE21D}"/>
    <cellStyle name="Currency 3 2 3 6 2 5" xfId="12666" xr:uid="{B3F3C21B-58E2-466F-8411-CEE029C3D851}"/>
    <cellStyle name="Currency 3 2 3 6 3" xfId="6289" xr:uid="{00000000-0005-0000-0000-0000260B0000}"/>
    <cellStyle name="Currency 3 2 3 6 3 2" xfId="31628" xr:uid="{05ECE474-97B7-4C47-8B79-8DB50E832D2D}"/>
    <cellStyle name="Currency 3 2 3 6 3 3" xfId="23187" xr:uid="{9D921396-8276-4A5A-992F-43526B5CF4CB}"/>
    <cellStyle name="Currency 3 2 3 6 3 4" xfId="14739" xr:uid="{F4295017-A9E3-4052-ADDA-8C4FAD7E9441}"/>
    <cellStyle name="Currency 3 2 3 6 4" xfId="27410" xr:uid="{4D32853B-A27A-4B16-A239-547CA49070BF}"/>
    <cellStyle name="Currency 3 2 3 6 5" xfId="18969" xr:uid="{FE7121B1-A3B0-4B88-AF83-4AFE79ABB414}"/>
    <cellStyle name="Currency 3 2 3 6 6" xfId="10521" xr:uid="{37E39FD8-16E9-40C1-B189-A70024D01BE1}"/>
    <cellStyle name="Currency 3 2 3 7" xfId="2418" xr:uid="{00000000-0005-0000-0000-0000270B0000}"/>
    <cellStyle name="Currency 3 2 3 7 2" xfId="6702" xr:uid="{00000000-0005-0000-0000-0000280B0000}"/>
    <cellStyle name="Currency 3 2 3 7 2 2" xfId="32041" xr:uid="{87D3B706-61B6-426C-8DBC-44376D7CB753}"/>
    <cellStyle name="Currency 3 2 3 7 2 3" xfId="23600" xr:uid="{B811242B-C034-443C-916B-A96603A3FCEB}"/>
    <cellStyle name="Currency 3 2 3 7 2 4" xfId="15152" xr:uid="{AA3169F0-CE9E-4FAA-849F-1BD2CC7FCC32}"/>
    <cellStyle name="Currency 3 2 3 7 3" xfId="27823" xr:uid="{E58E3C89-75C4-447D-A099-072109964B45}"/>
    <cellStyle name="Currency 3 2 3 7 4" xfId="19382" xr:uid="{7647DFB7-0A9E-4045-AC68-AB6B4BE68803}"/>
    <cellStyle name="Currency 3 2 3 7 5" xfId="10934" xr:uid="{E16F77E8-B802-4523-A2DB-5366DDE9B5FF}"/>
    <cellStyle name="Currency 3 2 3 8" xfId="2715" xr:uid="{00000000-0005-0000-0000-0000290B0000}"/>
    <cellStyle name="Currency 3 2 3 9" xfId="2796" xr:uid="{00000000-0005-0000-0000-00002A0B0000}"/>
    <cellStyle name="Currency 3 2 3 9 2" xfId="7019" xr:uid="{00000000-0005-0000-0000-00002B0B0000}"/>
    <cellStyle name="Currency 3 2 3 9 2 2" xfId="32358" xr:uid="{21D49539-BF0C-4DBF-8BC2-587D565CCE37}"/>
    <cellStyle name="Currency 3 2 3 9 2 3" xfId="23917" xr:uid="{9A4C76BA-0B0A-4750-8EE2-762E38CAAD81}"/>
    <cellStyle name="Currency 3 2 3 9 2 4" xfId="15469" xr:uid="{5751A86A-0981-4BB9-8DC9-23879B954C71}"/>
    <cellStyle name="Currency 3 2 3 9 3" xfId="28140" xr:uid="{1A0393BF-AC43-4B4C-A4C5-333C7766C579}"/>
    <cellStyle name="Currency 3 2 3 9 4" xfId="19699" xr:uid="{48DD932D-32A0-4BE3-BBE9-98DC0AA1BE88}"/>
    <cellStyle name="Currency 3 2 3 9 5" xfId="11251" xr:uid="{1E06456C-5F05-416A-ACFA-17D1DAF8F5E2}"/>
    <cellStyle name="Currency 3 2 4" xfId="184" xr:uid="{00000000-0005-0000-0000-00002C0B0000}"/>
    <cellStyle name="Currency 3 2 4 10" xfId="25759" xr:uid="{8C34A353-A463-4A3C-A7EF-1DD1F60AEAF4}"/>
    <cellStyle name="Currency 3 2 4 11" xfId="17318" xr:uid="{100737F3-D87D-4877-8088-0ED684840A8C}"/>
    <cellStyle name="Currency 3 2 4 12" xfId="8870" xr:uid="{70BCC3D2-29EB-4BA8-BA76-3C05B7DAFE46}"/>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32536" xr:uid="{50A61D37-3BA3-4438-B5E6-5945A973B281}"/>
    <cellStyle name="Currency 3 2 4 2 2 2 3" xfId="24095" xr:uid="{1DADB8E6-BECF-4B16-8ED6-7DCDFFD7CAD2}"/>
    <cellStyle name="Currency 3 2 4 2 2 2 4" xfId="15647" xr:uid="{9E37FBA1-0F8B-42AA-8938-223EDAF4E6AB}"/>
    <cellStyle name="Currency 3 2 4 2 2 3" xfId="28318" xr:uid="{6A3DB8A9-DE63-44E0-832E-D84E4A117C28}"/>
    <cellStyle name="Currency 3 2 4 2 2 4" xfId="19877" xr:uid="{38FC2356-7BFB-47EF-A3A7-8C18201E0CE4}"/>
    <cellStyle name="Currency 3 2 4 2 2 5" xfId="11429" xr:uid="{9237C2B5-22D3-4EFB-AE74-98C6B68BA632}"/>
    <cellStyle name="Currency 3 2 4 2 3" xfId="5052" xr:uid="{00000000-0005-0000-0000-0000300B0000}"/>
    <cellStyle name="Currency 3 2 4 2 3 2" xfId="30391" xr:uid="{1ED729AF-3668-4F16-AF69-ABD72E1FC894}"/>
    <cellStyle name="Currency 3 2 4 2 3 3" xfId="21950" xr:uid="{D9565B05-5848-4F04-B22F-4D9F6EFEA98F}"/>
    <cellStyle name="Currency 3 2 4 2 3 4" xfId="13502" xr:uid="{175A7237-8EA4-4DFF-A045-E54BEF662A3C}"/>
    <cellStyle name="Currency 3 2 4 2 4" xfId="26173" xr:uid="{7F5CBE13-EE48-43F3-921E-EB7E2FD3D360}"/>
    <cellStyle name="Currency 3 2 4 2 5" xfId="17732" xr:uid="{E0A98CF8-7CD7-41D9-884A-C436FED49B60}"/>
    <cellStyle name="Currency 3 2 4 2 6" xfId="9284" xr:uid="{F7EB4D8A-D9F3-4161-99DA-4491E6625F6A}"/>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32949" xr:uid="{F4C6B9BC-3B2F-4A9B-BABC-423254B9596E}"/>
    <cellStyle name="Currency 3 2 4 3 2 2 3" xfId="24508" xr:uid="{A038D99B-CBFC-4520-A593-11622F3FB702}"/>
    <cellStyle name="Currency 3 2 4 3 2 2 4" xfId="16060" xr:uid="{BE0EC219-D40C-4DAB-9132-AFBB0AF54511}"/>
    <cellStyle name="Currency 3 2 4 3 2 3" xfId="28731" xr:uid="{1B0212DD-A4DD-4108-9EDF-AF0263A6FF7F}"/>
    <cellStyle name="Currency 3 2 4 3 2 4" xfId="20290" xr:uid="{BEBC4D8D-F966-42E9-A432-7E9E8FD7F4AA}"/>
    <cellStyle name="Currency 3 2 4 3 2 5" xfId="11842" xr:uid="{7CFFC237-89DB-470D-8363-1638D852E994}"/>
    <cellStyle name="Currency 3 2 4 3 3" xfId="5465" xr:uid="{00000000-0005-0000-0000-0000340B0000}"/>
    <cellStyle name="Currency 3 2 4 3 3 2" xfId="30804" xr:uid="{6565D0CD-88AD-4448-A5B5-FCAB497B0CD7}"/>
    <cellStyle name="Currency 3 2 4 3 3 3" xfId="22363" xr:uid="{BE0B0F6D-6346-41A4-AC86-ED6C9E996163}"/>
    <cellStyle name="Currency 3 2 4 3 3 4" xfId="13915" xr:uid="{48748E9E-CFF4-4995-9190-1758C12B8FEA}"/>
    <cellStyle name="Currency 3 2 4 3 4" xfId="26586" xr:uid="{B67446B6-530B-412D-AA39-B15D5802A6F7}"/>
    <cellStyle name="Currency 3 2 4 3 5" xfId="18145" xr:uid="{5D718679-A62F-4B01-88CF-D804253580D7}"/>
    <cellStyle name="Currency 3 2 4 3 6" xfId="9697" xr:uid="{23186BE8-8594-4E97-AF6A-DCF4567ECFC5}"/>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33362" xr:uid="{8DC8C37C-2EC6-4E35-9AA7-CB17F67F9C9B}"/>
    <cellStyle name="Currency 3 2 4 4 2 2 3" xfId="24921" xr:uid="{11923D6B-0B88-4502-9E76-7012048A29CD}"/>
    <cellStyle name="Currency 3 2 4 4 2 2 4" xfId="16473" xr:uid="{4BFB4708-A7ED-4211-AC78-FE494FDE1484}"/>
    <cellStyle name="Currency 3 2 4 4 2 3" xfId="29144" xr:uid="{FDA9C334-7D84-4D47-A194-427CF544EE83}"/>
    <cellStyle name="Currency 3 2 4 4 2 4" xfId="20703" xr:uid="{8B042FCC-F488-430E-8A37-73FFAB9B571E}"/>
    <cellStyle name="Currency 3 2 4 4 2 5" xfId="12255" xr:uid="{39BD6DB1-1EB7-4F4A-865C-749C1C81E2CF}"/>
    <cellStyle name="Currency 3 2 4 4 3" xfId="5878" xr:uid="{00000000-0005-0000-0000-0000380B0000}"/>
    <cellStyle name="Currency 3 2 4 4 3 2" xfId="31217" xr:uid="{57D3B940-6F55-4E77-87C2-40C239F253C4}"/>
    <cellStyle name="Currency 3 2 4 4 3 3" xfId="22776" xr:uid="{96D82F20-9BAF-4CCF-9E9B-2A63F64C5725}"/>
    <cellStyle name="Currency 3 2 4 4 3 4" xfId="14328" xr:uid="{8BDF3F11-19C1-4EDB-AE37-ACD00CEB28C2}"/>
    <cellStyle name="Currency 3 2 4 4 4" xfId="26999" xr:uid="{BF782056-F90F-4F3B-820D-6F29BBDBC8CD}"/>
    <cellStyle name="Currency 3 2 4 4 5" xfId="18558" xr:uid="{D5B5C58A-2EAB-47A6-BF93-934B3FE4F4B8}"/>
    <cellStyle name="Currency 3 2 4 4 6" xfId="10110" xr:uid="{00D8A3DF-37FB-44C7-9B4E-B3D0681359E5}"/>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33775" xr:uid="{62F0476B-3634-4265-A7B1-E3F742957379}"/>
    <cellStyle name="Currency 3 2 4 5 2 2 3" xfId="25334" xr:uid="{833DC675-B0D8-4EA1-9549-AE69863C7E8D}"/>
    <cellStyle name="Currency 3 2 4 5 2 2 4" xfId="16886" xr:uid="{459FA6D0-FCA6-45BF-B1D8-554CCE004B3C}"/>
    <cellStyle name="Currency 3 2 4 5 2 3" xfId="29557" xr:uid="{46B8A3C2-E74C-4B30-9DAE-9FC42EAD7DD1}"/>
    <cellStyle name="Currency 3 2 4 5 2 4" xfId="21116" xr:uid="{8220D0CD-E1F6-4EF4-A87B-B87E9891E2FD}"/>
    <cellStyle name="Currency 3 2 4 5 2 5" xfId="12668" xr:uid="{D731756B-CD70-4631-92BE-F5F156556B1C}"/>
    <cellStyle name="Currency 3 2 4 5 3" xfId="6291" xr:uid="{00000000-0005-0000-0000-00003C0B0000}"/>
    <cellStyle name="Currency 3 2 4 5 3 2" xfId="31630" xr:uid="{8C4E9FED-4D6B-4193-81FE-FA56F1A1FAFD}"/>
    <cellStyle name="Currency 3 2 4 5 3 3" xfId="23189" xr:uid="{1C74E981-0129-4AA8-AADE-00FC1B949551}"/>
    <cellStyle name="Currency 3 2 4 5 3 4" xfId="14741" xr:uid="{D9DDA30C-328C-4659-AD70-F05CC1FB9CBB}"/>
    <cellStyle name="Currency 3 2 4 5 4" xfId="27412" xr:uid="{91C9AA70-0671-489D-A51F-57AA9FE946F9}"/>
    <cellStyle name="Currency 3 2 4 5 5" xfId="18971" xr:uid="{7329463A-1570-43CB-8461-4AEE62D2F57D}"/>
    <cellStyle name="Currency 3 2 4 5 6" xfId="10523" xr:uid="{A0D7DCE9-F5FF-42BD-A60E-840F359B71A7}"/>
    <cellStyle name="Currency 3 2 4 6" xfId="2420" xr:uid="{00000000-0005-0000-0000-00003D0B0000}"/>
    <cellStyle name="Currency 3 2 4 6 2" xfId="6704" xr:uid="{00000000-0005-0000-0000-00003E0B0000}"/>
    <cellStyle name="Currency 3 2 4 6 2 2" xfId="32043" xr:uid="{27F84F96-79CA-4F19-832D-85E39CACFB30}"/>
    <cellStyle name="Currency 3 2 4 6 2 3" xfId="23602" xr:uid="{925DF3C2-8CF5-4DEF-B300-3C17972FDCD6}"/>
    <cellStyle name="Currency 3 2 4 6 2 4" xfId="15154" xr:uid="{426C482E-C452-4879-97D8-EFB338577CEE}"/>
    <cellStyle name="Currency 3 2 4 6 3" xfId="27825" xr:uid="{88921B80-384E-4C2E-BCA3-253A28311CF2}"/>
    <cellStyle name="Currency 3 2 4 6 4" xfId="19384" xr:uid="{275B31F5-0D13-41ED-99C3-A798A730FCF7}"/>
    <cellStyle name="Currency 3 2 4 6 5" xfId="10936" xr:uid="{DD7913F6-747E-4130-9283-899700E584F5}"/>
    <cellStyle name="Currency 3 2 4 7" xfId="2717" xr:uid="{00000000-0005-0000-0000-00003F0B0000}"/>
    <cellStyle name="Currency 3 2 4 8" xfId="2798" xr:uid="{00000000-0005-0000-0000-0000400B0000}"/>
    <cellStyle name="Currency 3 2 4 8 2" xfId="7021" xr:uid="{00000000-0005-0000-0000-0000410B0000}"/>
    <cellStyle name="Currency 3 2 4 8 2 2" xfId="32360" xr:uid="{7A8631EC-A348-47A9-85A7-9D9F5723A0C8}"/>
    <cellStyle name="Currency 3 2 4 8 2 3" xfId="23919" xr:uid="{F126C772-720C-4853-9F63-31C6C11F67F7}"/>
    <cellStyle name="Currency 3 2 4 8 2 4" xfId="15471" xr:uid="{7F63E9D0-D291-49AC-A97C-F3BB0F45AF51}"/>
    <cellStyle name="Currency 3 2 4 8 3" xfId="28142" xr:uid="{FE9CCBEA-29A5-45C3-A192-E31F752CEE5D}"/>
    <cellStyle name="Currency 3 2 4 8 4" xfId="19701" xr:uid="{A1E9C1AF-E865-4DDA-9843-2E9AA3ED11C9}"/>
    <cellStyle name="Currency 3 2 4 8 5" xfId="11253" xr:uid="{A332D0BD-F62D-4793-B985-5A26FEEABF98}"/>
    <cellStyle name="Currency 3 2 4 9" xfId="4638" xr:uid="{00000000-0005-0000-0000-0000420B0000}"/>
    <cellStyle name="Currency 3 2 4 9 2" xfId="29977" xr:uid="{480E3DB0-4F86-45EA-A6C2-932236A2FD7B}"/>
    <cellStyle name="Currency 3 2 4 9 3" xfId="21536" xr:uid="{326654ED-9A0D-438E-A715-09DACE200CAF}"/>
    <cellStyle name="Currency 3 2 4 9 4" xfId="13088" xr:uid="{3E204714-3BA0-41D0-91E6-28E0518A093B}"/>
    <cellStyle name="Currency 3 2 5" xfId="185" xr:uid="{00000000-0005-0000-0000-0000430B0000}"/>
    <cellStyle name="Currency 3 2 5 10" xfId="25760" xr:uid="{29367C70-5047-425E-B092-F64E40231063}"/>
    <cellStyle name="Currency 3 2 5 11" xfId="17319" xr:uid="{60702662-C132-447E-A643-F07437849239}"/>
    <cellStyle name="Currency 3 2 5 12" xfId="8871" xr:uid="{D34D9E9F-CD38-461C-8E51-CBEA4E04D8F0}"/>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32537" xr:uid="{5D3BF0AE-B924-44E2-909E-690B9974A9E0}"/>
    <cellStyle name="Currency 3 2 5 2 2 2 3" xfId="24096" xr:uid="{CA98C552-7AED-4BC5-B7CF-C2770CBAA06F}"/>
    <cellStyle name="Currency 3 2 5 2 2 2 4" xfId="15648" xr:uid="{4B2DB2BD-A960-40A8-B96A-A9BD4BCB3BA1}"/>
    <cellStyle name="Currency 3 2 5 2 2 3" xfId="28319" xr:uid="{8589F1ED-FB0E-4BBA-8586-9EE3F5841666}"/>
    <cellStyle name="Currency 3 2 5 2 2 4" xfId="19878" xr:uid="{B21BF67F-B70C-4B1C-855D-63F692530DF5}"/>
    <cellStyle name="Currency 3 2 5 2 2 5" xfId="11430" xr:uid="{29F0AEC1-D4D1-4C2B-AA56-0E9537C60D1B}"/>
    <cellStyle name="Currency 3 2 5 2 3" xfId="5053" xr:uid="{00000000-0005-0000-0000-0000470B0000}"/>
    <cellStyle name="Currency 3 2 5 2 3 2" xfId="30392" xr:uid="{7500E389-095A-4CDA-9FB1-0F67BC14B6BA}"/>
    <cellStyle name="Currency 3 2 5 2 3 3" xfId="21951" xr:uid="{3BBB0FCC-8E5F-4131-8A88-DF22C973BDC4}"/>
    <cellStyle name="Currency 3 2 5 2 3 4" xfId="13503" xr:uid="{FAC780AC-08E8-4988-8FCD-3EC2234A93FC}"/>
    <cellStyle name="Currency 3 2 5 2 4" xfId="26174" xr:uid="{E9317483-8E8C-4AAB-B0BF-5F2B995C751F}"/>
    <cellStyle name="Currency 3 2 5 2 5" xfId="17733" xr:uid="{66D85D2E-514C-49EB-B70D-F1750CEE5DE6}"/>
    <cellStyle name="Currency 3 2 5 2 6" xfId="9285" xr:uid="{28CB9E0E-27BE-475A-BE08-6F764F1EEA23}"/>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32950" xr:uid="{ECF1131A-C2ED-4092-BB35-4E71D4A9D504}"/>
    <cellStyle name="Currency 3 2 5 3 2 2 3" xfId="24509" xr:uid="{B3C9ECFA-9511-4522-B090-C8C500AB36A1}"/>
    <cellStyle name="Currency 3 2 5 3 2 2 4" xfId="16061" xr:uid="{B9B958B4-0A28-4B65-8968-09EE19FB0B37}"/>
    <cellStyle name="Currency 3 2 5 3 2 3" xfId="28732" xr:uid="{5BA799B1-160A-4AB4-A1C2-6850FB468CA9}"/>
    <cellStyle name="Currency 3 2 5 3 2 4" xfId="20291" xr:uid="{28574DD2-C0D2-4F84-B2DF-4DD24661081F}"/>
    <cellStyle name="Currency 3 2 5 3 2 5" xfId="11843" xr:uid="{23D7B395-EA71-4FB2-9F41-188368F03B65}"/>
    <cellStyle name="Currency 3 2 5 3 3" xfId="5466" xr:uid="{00000000-0005-0000-0000-00004B0B0000}"/>
    <cellStyle name="Currency 3 2 5 3 3 2" xfId="30805" xr:uid="{F2D95CBA-E8C0-456E-9D05-FC0CD2CA4181}"/>
    <cellStyle name="Currency 3 2 5 3 3 3" xfId="22364" xr:uid="{754D433C-4DA6-40E3-B78E-35AAD8A8D208}"/>
    <cellStyle name="Currency 3 2 5 3 3 4" xfId="13916" xr:uid="{5A1604E0-1723-45AD-8C0B-E5554E5D7F62}"/>
    <cellStyle name="Currency 3 2 5 3 4" xfId="26587" xr:uid="{8B58A363-1BBD-4200-B612-056561CC43BD}"/>
    <cellStyle name="Currency 3 2 5 3 5" xfId="18146" xr:uid="{7865B1F4-C4A5-42C4-9D4C-98FD2255B4E4}"/>
    <cellStyle name="Currency 3 2 5 3 6" xfId="9698" xr:uid="{16545609-A383-4D84-A350-AD8EF7EAF0DE}"/>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33363" xr:uid="{0543D71B-187C-42A3-B30B-BD7BCDC088BA}"/>
    <cellStyle name="Currency 3 2 5 4 2 2 3" xfId="24922" xr:uid="{B24470D3-C4F7-434D-BAAC-68CAC371667A}"/>
    <cellStyle name="Currency 3 2 5 4 2 2 4" xfId="16474" xr:uid="{DEBC1C80-7E17-44AA-9737-B52F697F14D6}"/>
    <cellStyle name="Currency 3 2 5 4 2 3" xfId="29145" xr:uid="{B2186EF6-AFC5-42E1-BAA4-1AE4D07790EE}"/>
    <cellStyle name="Currency 3 2 5 4 2 4" xfId="20704" xr:uid="{86B9EDD3-7B79-41CB-8300-84FD5DFD72A7}"/>
    <cellStyle name="Currency 3 2 5 4 2 5" xfId="12256" xr:uid="{B6F0D7AC-A1AE-4324-B4C0-981F662B93EF}"/>
    <cellStyle name="Currency 3 2 5 4 3" xfId="5879" xr:uid="{00000000-0005-0000-0000-00004F0B0000}"/>
    <cellStyle name="Currency 3 2 5 4 3 2" xfId="31218" xr:uid="{B3321714-8B38-45E7-93AA-EB8A802442BA}"/>
    <cellStyle name="Currency 3 2 5 4 3 3" xfId="22777" xr:uid="{300164C3-0CDC-4A0F-B921-8C8E9A8CF493}"/>
    <cellStyle name="Currency 3 2 5 4 3 4" xfId="14329" xr:uid="{58BF75FE-5945-43E0-8ACF-AF043ECA3ED2}"/>
    <cellStyle name="Currency 3 2 5 4 4" xfId="27000" xr:uid="{61856EF6-B3C6-4958-9D35-BE3DDD4B2C7A}"/>
    <cellStyle name="Currency 3 2 5 4 5" xfId="18559" xr:uid="{7231D848-A340-408B-AABF-A4390D493ED9}"/>
    <cellStyle name="Currency 3 2 5 4 6" xfId="10111" xr:uid="{5D7B3843-4923-49C0-8784-FB742912626C}"/>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33776" xr:uid="{0CC4D96F-B336-4258-9B03-664A4B8FA91C}"/>
    <cellStyle name="Currency 3 2 5 5 2 2 3" xfId="25335" xr:uid="{79136D69-EBD0-4588-9B46-EEC8C99F4690}"/>
    <cellStyle name="Currency 3 2 5 5 2 2 4" xfId="16887" xr:uid="{2F710C31-9862-449D-93C0-05D9B114C363}"/>
    <cellStyle name="Currency 3 2 5 5 2 3" xfId="29558" xr:uid="{B5EE47A5-0E5E-4B22-BE7A-B9151358A318}"/>
    <cellStyle name="Currency 3 2 5 5 2 4" xfId="21117" xr:uid="{D6BD68F7-AF0F-4566-BC00-D487D7237FFD}"/>
    <cellStyle name="Currency 3 2 5 5 2 5" xfId="12669" xr:uid="{6095535E-9C57-4C7F-887E-5D11E5EC8A5F}"/>
    <cellStyle name="Currency 3 2 5 5 3" xfId="6292" xr:uid="{00000000-0005-0000-0000-0000530B0000}"/>
    <cellStyle name="Currency 3 2 5 5 3 2" xfId="31631" xr:uid="{1CAA6259-8876-43D1-8A29-C87B0C756CCA}"/>
    <cellStyle name="Currency 3 2 5 5 3 3" xfId="23190" xr:uid="{35CD18AD-02CD-4678-8F41-DF685A326268}"/>
    <cellStyle name="Currency 3 2 5 5 3 4" xfId="14742" xr:uid="{CDB0ECE6-3A4E-410E-B72E-96E7C5AD9676}"/>
    <cellStyle name="Currency 3 2 5 5 4" xfId="27413" xr:uid="{B8ED38F0-FC5C-4BF7-B8A8-2E6854F9132A}"/>
    <cellStyle name="Currency 3 2 5 5 5" xfId="18972" xr:uid="{D3A73643-5274-4CED-A0EE-D2086B06EC95}"/>
    <cellStyle name="Currency 3 2 5 5 6" xfId="10524" xr:uid="{33FD0086-951D-4273-8812-512CF31786A7}"/>
    <cellStyle name="Currency 3 2 5 6" xfId="2421" xr:uid="{00000000-0005-0000-0000-0000540B0000}"/>
    <cellStyle name="Currency 3 2 5 6 2" xfId="6705" xr:uid="{00000000-0005-0000-0000-0000550B0000}"/>
    <cellStyle name="Currency 3 2 5 6 2 2" xfId="32044" xr:uid="{47A1B87A-B385-40FE-9AF3-564D55D7C544}"/>
    <cellStyle name="Currency 3 2 5 6 2 3" xfId="23603" xr:uid="{04A25A15-3F4B-42B8-907E-3E20BAC10010}"/>
    <cellStyle name="Currency 3 2 5 6 2 4" xfId="15155" xr:uid="{5F965721-754F-4262-87B5-E0C4D7E7F71B}"/>
    <cellStyle name="Currency 3 2 5 6 3" xfId="27826" xr:uid="{EEA19C00-E2A5-4252-8D05-C460075EE4E5}"/>
    <cellStyle name="Currency 3 2 5 6 4" xfId="19385" xr:uid="{AD98661A-5664-47ED-845E-AD03496916C7}"/>
    <cellStyle name="Currency 3 2 5 6 5" xfId="10937" xr:uid="{A156E29F-1ED7-4CD2-968B-F6CE3E653761}"/>
    <cellStyle name="Currency 3 2 5 7" xfId="2718" xr:uid="{00000000-0005-0000-0000-0000560B0000}"/>
    <cellStyle name="Currency 3 2 5 8" xfId="2799" xr:uid="{00000000-0005-0000-0000-0000570B0000}"/>
    <cellStyle name="Currency 3 2 5 8 2" xfId="7022" xr:uid="{00000000-0005-0000-0000-0000580B0000}"/>
    <cellStyle name="Currency 3 2 5 8 2 2" xfId="32361" xr:uid="{4985CFD4-EF7C-4D3B-9FEE-B1142400FAF4}"/>
    <cellStyle name="Currency 3 2 5 8 2 3" xfId="23920" xr:uid="{4854CEFA-E431-42F6-9A7F-7A0DFD4F7139}"/>
    <cellStyle name="Currency 3 2 5 8 2 4" xfId="15472" xr:uid="{6D9AAB8A-E3FA-46C1-8EE4-ECDE3493B0DE}"/>
    <cellStyle name="Currency 3 2 5 8 3" xfId="28143" xr:uid="{A6CD2A0B-0FB1-4DE3-8C37-7E1000C3CF2C}"/>
    <cellStyle name="Currency 3 2 5 8 4" xfId="19702" xr:uid="{0019B5AC-8C15-4BCC-AEAD-EA2418CE5F91}"/>
    <cellStyle name="Currency 3 2 5 8 5" xfId="11254" xr:uid="{2DA2588C-7AB1-42E5-AC6A-7D87AE10E9ED}"/>
    <cellStyle name="Currency 3 2 5 9" xfId="4639" xr:uid="{00000000-0005-0000-0000-0000590B0000}"/>
    <cellStyle name="Currency 3 2 5 9 2" xfId="29978" xr:uid="{DB0C1551-32E0-4F18-B73E-BBEA2DAC4863}"/>
    <cellStyle name="Currency 3 2 5 9 3" xfId="21537" xr:uid="{B4F056E1-8AA5-4E83-82C7-FEFD151BE4B3}"/>
    <cellStyle name="Currency 3 2 5 9 4" xfId="13089" xr:uid="{B889BCC8-F43A-44D7-8753-A8A79D21FAFA}"/>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32362" xr:uid="{37D0AD1A-C1B8-4187-915B-C12C703349CE}"/>
    <cellStyle name="Currency 5 2 2 2 10 2 3" xfId="23921" xr:uid="{88EB1C2E-6207-499D-BB2E-267C90A716AC}"/>
    <cellStyle name="Currency 5 2 2 2 10 2 4" xfId="15473" xr:uid="{BDE14597-CD8B-4BEF-A3EF-3B9C3651A9DC}"/>
    <cellStyle name="Currency 5 2 2 2 10 3" xfId="28144" xr:uid="{B1538E28-2DDD-431F-A241-0DB6AB29B05D}"/>
    <cellStyle name="Currency 5 2 2 2 10 4" xfId="19703" xr:uid="{D4B85C67-A93B-41C4-998E-E708A48BEE0A}"/>
    <cellStyle name="Currency 5 2 2 2 10 5" xfId="11255" xr:uid="{66D11D42-401E-4700-8D7B-3D9ADF3B2294}"/>
    <cellStyle name="Currency 5 2 2 2 11" xfId="4640" xr:uid="{00000000-0005-0000-0000-00006C0B0000}"/>
    <cellStyle name="Currency 5 2 2 2 11 2" xfId="29979" xr:uid="{5792989B-7193-452C-94AF-E2F3B66CBB93}"/>
    <cellStyle name="Currency 5 2 2 2 11 3" xfId="21538" xr:uid="{6CF195DA-121B-408F-985B-4FCBC9DBFA20}"/>
    <cellStyle name="Currency 5 2 2 2 11 4" xfId="13090" xr:uid="{DB128B9E-AA2B-4688-9B52-8E4278C62C0D}"/>
    <cellStyle name="Currency 5 2 2 2 12" xfId="25761" xr:uid="{45C76A84-3A62-4A40-9F32-C7C217235BC4}"/>
    <cellStyle name="Currency 5 2 2 2 13" xfId="17320" xr:uid="{FA13A0B0-47DE-4365-A743-44BD4345A5B0}"/>
    <cellStyle name="Currency 5 2 2 2 14" xfId="8872" xr:uid="{69C34D6C-EC0A-4D5E-983F-15486170E31C}"/>
    <cellStyle name="Currency 5 2 2 2 2" xfId="197" xr:uid="{00000000-0005-0000-0000-00006D0B0000}"/>
    <cellStyle name="Currency 5 2 2 2 2 10" xfId="4641" xr:uid="{00000000-0005-0000-0000-00006E0B0000}"/>
    <cellStyle name="Currency 5 2 2 2 2 10 2" xfId="29980" xr:uid="{0E5C216A-A1F0-4BCD-A200-171E3CBAB8F9}"/>
    <cellStyle name="Currency 5 2 2 2 2 10 3" xfId="21539" xr:uid="{96201934-20A8-4BA5-A84C-1C057022A6A2}"/>
    <cellStyle name="Currency 5 2 2 2 2 10 4" xfId="13091" xr:uid="{D1DD547F-D714-4588-82E8-456D87E44B9F}"/>
    <cellStyle name="Currency 5 2 2 2 2 11" xfId="25762" xr:uid="{8C6F955A-61B9-42FC-B3B5-842099FA77D7}"/>
    <cellStyle name="Currency 5 2 2 2 2 12" xfId="17321" xr:uid="{E947B58F-8771-411C-B6B7-443E9A74F9E4}"/>
    <cellStyle name="Currency 5 2 2 2 2 13" xfId="8873" xr:uid="{87E22CF2-1984-4A80-AF6F-127DA8DFEC48}"/>
    <cellStyle name="Currency 5 2 2 2 2 2" xfId="198" xr:uid="{00000000-0005-0000-0000-00006F0B0000}"/>
    <cellStyle name="Currency 5 2 2 2 2 2 10" xfId="25763" xr:uid="{EF06D41E-4569-4846-89F8-B4D65DC997B1}"/>
    <cellStyle name="Currency 5 2 2 2 2 2 11" xfId="17322" xr:uid="{5148C1DF-2C45-42D2-A77A-A1ACC853B45C}"/>
    <cellStyle name="Currency 5 2 2 2 2 2 12" xfId="8874" xr:uid="{556B4641-07B2-4CD8-82A4-0C57A766AE0D}"/>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32540" xr:uid="{5834A9BE-AABF-43C5-9CC5-14C43B71EAFA}"/>
    <cellStyle name="Currency 5 2 2 2 2 2 2 2 2 3" xfId="24099" xr:uid="{3954E8F5-E2F8-4882-AACC-61822756F589}"/>
    <cellStyle name="Currency 5 2 2 2 2 2 2 2 2 4" xfId="15651" xr:uid="{5114F5D0-AC8C-4B62-8EC8-397043F1F849}"/>
    <cellStyle name="Currency 5 2 2 2 2 2 2 2 3" xfId="28322" xr:uid="{B6A51E90-7FBA-4C47-9C1F-A8F8D206316F}"/>
    <cellStyle name="Currency 5 2 2 2 2 2 2 2 4" xfId="19881" xr:uid="{BAC715DC-B44A-4BB3-9008-9744C7BA8C4C}"/>
    <cellStyle name="Currency 5 2 2 2 2 2 2 2 5" xfId="11433" xr:uid="{11B22CE5-FCEE-4880-9FE8-0CC612788A86}"/>
    <cellStyle name="Currency 5 2 2 2 2 2 2 3" xfId="5056" xr:uid="{00000000-0005-0000-0000-0000730B0000}"/>
    <cellStyle name="Currency 5 2 2 2 2 2 2 3 2" xfId="30395" xr:uid="{FFD1D6D2-3B02-454E-B33B-21BF88528A94}"/>
    <cellStyle name="Currency 5 2 2 2 2 2 2 3 3" xfId="21954" xr:uid="{1D97D0B5-AADC-48BA-810A-F21155B5AC88}"/>
    <cellStyle name="Currency 5 2 2 2 2 2 2 3 4" xfId="13506" xr:uid="{3661127C-2D83-407B-BBA2-939B34B10221}"/>
    <cellStyle name="Currency 5 2 2 2 2 2 2 4" xfId="26177" xr:uid="{7596BBF4-C619-46CE-8938-91F4730FCE00}"/>
    <cellStyle name="Currency 5 2 2 2 2 2 2 5" xfId="17736" xr:uid="{A407B352-B24F-4EFA-9F92-B47AFE8EA27D}"/>
    <cellStyle name="Currency 5 2 2 2 2 2 2 6" xfId="9288" xr:uid="{2AC77022-B68E-4094-AAF7-3C140FF2BB1E}"/>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32953" xr:uid="{AA64849E-A4EE-49C7-8C71-33919F22A6CD}"/>
    <cellStyle name="Currency 5 2 2 2 2 2 3 2 2 3" xfId="24512" xr:uid="{3D4E0335-FB31-4B93-B0E3-623363792A73}"/>
    <cellStyle name="Currency 5 2 2 2 2 2 3 2 2 4" xfId="16064" xr:uid="{A673C1E6-D47D-431D-8338-996D94F06D3E}"/>
    <cellStyle name="Currency 5 2 2 2 2 2 3 2 3" xfId="28735" xr:uid="{AAF5EAA0-85F2-405F-B5DF-B982FDE6594F}"/>
    <cellStyle name="Currency 5 2 2 2 2 2 3 2 4" xfId="20294" xr:uid="{8878C29C-370A-43E3-B0CA-DB77B431F280}"/>
    <cellStyle name="Currency 5 2 2 2 2 2 3 2 5" xfId="11846" xr:uid="{BB4F8955-E461-468F-9371-7019C30545B7}"/>
    <cellStyle name="Currency 5 2 2 2 2 2 3 3" xfId="5469" xr:uid="{00000000-0005-0000-0000-0000770B0000}"/>
    <cellStyle name="Currency 5 2 2 2 2 2 3 3 2" xfId="30808" xr:uid="{17C1BABB-9920-45A4-A646-ED3969A4CACA}"/>
    <cellStyle name="Currency 5 2 2 2 2 2 3 3 3" xfId="22367" xr:uid="{B9646587-5652-46B9-A905-3A0C66FDB144}"/>
    <cellStyle name="Currency 5 2 2 2 2 2 3 3 4" xfId="13919" xr:uid="{EB544994-8059-459A-A3BF-AEE0ECF95831}"/>
    <cellStyle name="Currency 5 2 2 2 2 2 3 4" xfId="26590" xr:uid="{1F235523-7F1A-4676-9CD3-964E898DC2BE}"/>
    <cellStyle name="Currency 5 2 2 2 2 2 3 5" xfId="18149" xr:uid="{67C4E87E-CDC3-46AF-A0C7-399F8344DE6C}"/>
    <cellStyle name="Currency 5 2 2 2 2 2 3 6" xfId="9701" xr:uid="{8430992E-B5FF-4458-8ADE-7BAA3E34FCDB}"/>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33366" xr:uid="{76FA2B1B-D79F-411D-8FC9-779905FAD36D}"/>
    <cellStyle name="Currency 5 2 2 2 2 2 4 2 2 3" xfId="24925" xr:uid="{0F957F82-97EF-47E7-BD1E-30C9BBA99DB2}"/>
    <cellStyle name="Currency 5 2 2 2 2 2 4 2 2 4" xfId="16477" xr:uid="{C10E043E-C4E6-49A7-B234-280E0C294C2E}"/>
    <cellStyle name="Currency 5 2 2 2 2 2 4 2 3" xfId="29148" xr:uid="{8834511E-1F53-4EAA-97E6-6415E810ACE1}"/>
    <cellStyle name="Currency 5 2 2 2 2 2 4 2 4" xfId="20707" xr:uid="{4A3757C3-45E5-4965-AF8A-8657B333EBDD}"/>
    <cellStyle name="Currency 5 2 2 2 2 2 4 2 5" xfId="12259" xr:uid="{B7D128A4-9114-40CC-88FA-156AD4528F2A}"/>
    <cellStyle name="Currency 5 2 2 2 2 2 4 3" xfId="5882" xr:uid="{00000000-0005-0000-0000-00007B0B0000}"/>
    <cellStyle name="Currency 5 2 2 2 2 2 4 3 2" xfId="31221" xr:uid="{BA566B69-C9D0-46E8-B319-3702653F6C0D}"/>
    <cellStyle name="Currency 5 2 2 2 2 2 4 3 3" xfId="22780" xr:uid="{B8FFDDC9-4EA5-4B85-A4E6-CDA25E62A3C8}"/>
    <cellStyle name="Currency 5 2 2 2 2 2 4 3 4" xfId="14332" xr:uid="{6662B735-F0E5-48D4-8F10-18844EC9851A}"/>
    <cellStyle name="Currency 5 2 2 2 2 2 4 4" xfId="27003" xr:uid="{5CAF7B02-1F16-4F0F-8CCC-0A9CC8C6DE63}"/>
    <cellStyle name="Currency 5 2 2 2 2 2 4 5" xfId="18562" xr:uid="{63E1850A-3E37-4B25-B864-217134BBBBFF}"/>
    <cellStyle name="Currency 5 2 2 2 2 2 4 6" xfId="10114" xr:uid="{1BB1F26E-54C2-4248-AE4A-0DED1DE21282}"/>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33779" xr:uid="{1B8EEEB8-83A5-4446-80E5-2988642579CF}"/>
    <cellStyle name="Currency 5 2 2 2 2 2 5 2 2 3" xfId="25338" xr:uid="{0C505799-AF02-428A-B430-33315E1718C1}"/>
    <cellStyle name="Currency 5 2 2 2 2 2 5 2 2 4" xfId="16890" xr:uid="{F6B3DE76-CE00-434F-BBCC-8C4E27C85FC1}"/>
    <cellStyle name="Currency 5 2 2 2 2 2 5 2 3" xfId="29561" xr:uid="{FCF6BE61-759A-406B-B5C2-947732C14E71}"/>
    <cellStyle name="Currency 5 2 2 2 2 2 5 2 4" xfId="21120" xr:uid="{5CA17D51-4D2C-4214-8B1D-68294C0C6EDA}"/>
    <cellStyle name="Currency 5 2 2 2 2 2 5 2 5" xfId="12672" xr:uid="{2A4F12DB-93F2-4D5B-BFB7-699163FAC18B}"/>
    <cellStyle name="Currency 5 2 2 2 2 2 5 3" xfId="6295" xr:uid="{00000000-0005-0000-0000-00007F0B0000}"/>
    <cellStyle name="Currency 5 2 2 2 2 2 5 3 2" xfId="31634" xr:uid="{43E0C75A-B45B-4621-A003-C0F00C983388}"/>
    <cellStyle name="Currency 5 2 2 2 2 2 5 3 3" xfId="23193" xr:uid="{502C74C9-D296-4865-8467-511002178E9A}"/>
    <cellStyle name="Currency 5 2 2 2 2 2 5 3 4" xfId="14745" xr:uid="{2B5B1468-7A13-423D-B6E3-C38B8B6D0F2F}"/>
    <cellStyle name="Currency 5 2 2 2 2 2 5 4" xfId="27416" xr:uid="{C8A73C62-FBB6-4FDC-8424-BE67E4746B74}"/>
    <cellStyle name="Currency 5 2 2 2 2 2 5 5" xfId="18975" xr:uid="{8F4283A7-D9AF-47CB-BF94-2866722FDE92}"/>
    <cellStyle name="Currency 5 2 2 2 2 2 5 6" xfId="10527" xr:uid="{CBD058A3-08D1-4758-87FF-A690FE8623B2}"/>
    <cellStyle name="Currency 5 2 2 2 2 2 6" xfId="2424" xr:uid="{00000000-0005-0000-0000-0000800B0000}"/>
    <cellStyle name="Currency 5 2 2 2 2 2 6 2" xfId="6708" xr:uid="{00000000-0005-0000-0000-0000810B0000}"/>
    <cellStyle name="Currency 5 2 2 2 2 2 6 2 2" xfId="32047" xr:uid="{57830215-0454-48F8-BEA6-5D517090C70A}"/>
    <cellStyle name="Currency 5 2 2 2 2 2 6 2 3" xfId="23606" xr:uid="{02750693-FDB5-4359-B766-B66445CB3B1B}"/>
    <cellStyle name="Currency 5 2 2 2 2 2 6 2 4" xfId="15158" xr:uid="{82A4FED5-0D66-4256-B6BB-B5C056D47465}"/>
    <cellStyle name="Currency 5 2 2 2 2 2 6 3" xfId="27829" xr:uid="{80885515-9657-4A2D-A3EA-34994146C5F7}"/>
    <cellStyle name="Currency 5 2 2 2 2 2 6 4" xfId="19388" xr:uid="{61B4FE5D-B1AE-4148-BFC7-FBF71A7D65DD}"/>
    <cellStyle name="Currency 5 2 2 2 2 2 6 5" xfId="10940" xr:uid="{B4B89B8D-D9DF-4CF6-99D4-776FF5B33FA4}"/>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32364" xr:uid="{60520366-C312-496E-9373-F73D9C9004BF}"/>
    <cellStyle name="Currency 5 2 2 2 2 2 8 2 3" xfId="23923" xr:uid="{EE90EBDC-B687-4395-8F6D-B61F9CA51900}"/>
    <cellStyle name="Currency 5 2 2 2 2 2 8 2 4" xfId="15475" xr:uid="{A20F0B75-19AF-4984-A858-0D679C7D9690}"/>
    <cellStyle name="Currency 5 2 2 2 2 2 8 3" xfId="28146" xr:uid="{ECCCB905-FCF1-48BC-BD49-AF37CA2EE565}"/>
    <cellStyle name="Currency 5 2 2 2 2 2 8 4" xfId="19705" xr:uid="{E2474401-52B1-4D72-B1A0-DA14432C6E14}"/>
    <cellStyle name="Currency 5 2 2 2 2 2 8 5" xfId="11257" xr:uid="{5BDE447B-4A25-4849-992F-E8C8416443AC}"/>
    <cellStyle name="Currency 5 2 2 2 2 2 9" xfId="4642" xr:uid="{00000000-0005-0000-0000-0000850B0000}"/>
    <cellStyle name="Currency 5 2 2 2 2 2 9 2" xfId="29981" xr:uid="{1D1A12EF-1E54-4669-A54C-6EAE462902ED}"/>
    <cellStyle name="Currency 5 2 2 2 2 2 9 3" xfId="21540" xr:uid="{BABBC6AA-38FB-4B1A-A6EE-974881AA8F05}"/>
    <cellStyle name="Currency 5 2 2 2 2 2 9 4" xfId="13092" xr:uid="{D90B2BC5-E9B2-41DC-8690-B97D82B000E8}"/>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32539" xr:uid="{7D1B6EA9-2C3D-4AC4-8143-D760E2C1E322}"/>
    <cellStyle name="Currency 5 2 2 2 2 3 2 2 3" xfId="24098" xr:uid="{F0082FD0-CC10-4B34-B580-D9B3F7D33EBB}"/>
    <cellStyle name="Currency 5 2 2 2 2 3 2 2 4" xfId="15650" xr:uid="{3C9D0A65-5C47-4ACB-8578-75B99BA0CF81}"/>
    <cellStyle name="Currency 5 2 2 2 2 3 2 3" xfId="28321" xr:uid="{16242584-4CCF-4A42-B189-0B4C3179086A}"/>
    <cellStyle name="Currency 5 2 2 2 2 3 2 4" xfId="19880" xr:uid="{B1BFD7FD-F3D1-4DD6-AFE9-F96F14071E07}"/>
    <cellStyle name="Currency 5 2 2 2 2 3 2 5" xfId="11432" xr:uid="{36F4647F-A02F-4D00-A165-59188CDDDB6B}"/>
    <cellStyle name="Currency 5 2 2 2 2 3 3" xfId="5055" xr:uid="{00000000-0005-0000-0000-0000890B0000}"/>
    <cellStyle name="Currency 5 2 2 2 2 3 3 2" xfId="30394" xr:uid="{56453F27-851E-4E8B-9B1F-DFD5221241B2}"/>
    <cellStyle name="Currency 5 2 2 2 2 3 3 3" xfId="21953" xr:uid="{F757B2EA-17FB-4BF7-8408-290A5A7C9CCE}"/>
    <cellStyle name="Currency 5 2 2 2 2 3 3 4" xfId="13505" xr:uid="{494583FE-437E-4C58-8FFA-FB2F34489661}"/>
    <cellStyle name="Currency 5 2 2 2 2 3 4" xfId="26176" xr:uid="{BA769490-62B7-419A-A6C5-B9EB3EC9E9AC}"/>
    <cellStyle name="Currency 5 2 2 2 2 3 5" xfId="17735" xr:uid="{AEE8BFA9-26AF-4E52-9E1A-7ED12F957BAF}"/>
    <cellStyle name="Currency 5 2 2 2 2 3 6" xfId="9287" xr:uid="{662B05BB-459F-4267-9033-AD389118FC54}"/>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32952" xr:uid="{1A005B08-C215-493E-9A06-100A233AB41B}"/>
    <cellStyle name="Currency 5 2 2 2 2 4 2 2 3" xfId="24511" xr:uid="{8F43E4E1-4824-4095-A860-7364D7415ED7}"/>
    <cellStyle name="Currency 5 2 2 2 2 4 2 2 4" xfId="16063" xr:uid="{CA65F6DB-3A40-4CDB-8924-D7314E90AA42}"/>
    <cellStyle name="Currency 5 2 2 2 2 4 2 3" xfId="28734" xr:uid="{93869DA4-8698-4FC7-A68C-29849CC871CC}"/>
    <cellStyle name="Currency 5 2 2 2 2 4 2 4" xfId="20293" xr:uid="{59291E93-2E63-4BC8-AD89-2192C8417455}"/>
    <cellStyle name="Currency 5 2 2 2 2 4 2 5" xfId="11845" xr:uid="{E8F20E99-9608-4FA4-B7B9-1A2378E06948}"/>
    <cellStyle name="Currency 5 2 2 2 2 4 3" xfId="5468" xr:uid="{00000000-0005-0000-0000-00008D0B0000}"/>
    <cellStyle name="Currency 5 2 2 2 2 4 3 2" xfId="30807" xr:uid="{294EB27F-D301-482E-ABBB-73F0CBD58F0E}"/>
    <cellStyle name="Currency 5 2 2 2 2 4 3 3" xfId="22366" xr:uid="{FBAC780E-298C-4388-AC00-B2CA622431D2}"/>
    <cellStyle name="Currency 5 2 2 2 2 4 3 4" xfId="13918" xr:uid="{A16B42E8-30E4-41A3-AB66-30243186675B}"/>
    <cellStyle name="Currency 5 2 2 2 2 4 4" xfId="26589" xr:uid="{D12BB60B-EE8C-490D-BB5E-4F9DF56ACF3C}"/>
    <cellStyle name="Currency 5 2 2 2 2 4 5" xfId="18148" xr:uid="{3B492114-F20D-443B-9259-274FC2AAA85C}"/>
    <cellStyle name="Currency 5 2 2 2 2 4 6" xfId="9700" xr:uid="{E9739834-17F0-440E-9741-F738E3DDFF59}"/>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33365" xr:uid="{6127DE4A-DA20-4315-806D-5343D5092DA8}"/>
    <cellStyle name="Currency 5 2 2 2 2 5 2 2 3" xfId="24924" xr:uid="{12FB4A6F-61D0-4F11-9156-33592041DADE}"/>
    <cellStyle name="Currency 5 2 2 2 2 5 2 2 4" xfId="16476" xr:uid="{86A61844-31B5-4B01-B9E1-F7B132A46988}"/>
    <cellStyle name="Currency 5 2 2 2 2 5 2 3" xfId="29147" xr:uid="{77645A86-EF5F-4E7B-B49E-F2D3314C2C92}"/>
    <cellStyle name="Currency 5 2 2 2 2 5 2 4" xfId="20706" xr:uid="{E14A176F-EB86-4750-B49D-970F958E56C9}"/>
    <cellStyle name="Currency 5 2 2 2 2 5 2 5" xfId="12258" xr:uid="{E4CAF9CD-28B0-456C-90C5-16B96E335EEE}"/>
    <cellStyle name="Currency 5 2 2 2 2 5 3" xfId="5881" xr:uid="{00000000-0005-0000-0000-0000910B0000}"/>
    <cellStyle name="Currency 5 2 2 2 2 5 3 2" xfId="31220" xr:uid="{4B89C96F-8A57-47F8-ACD3-7A7E4BBC84F4}"/>
    <cellStyle name="Currency 5 2 2 2 2 5 3 3" xfId="22779" xr:uid="{9084EFC9-1A6C-419A-A940-A534374F5BAD}"/>
    <cellStyle name="Currency 5 2 2 2 2 5 3 4" xfId="14331" xr:uid="{FC9AC4D8-3D83-4D6E-B456-6BA4C1D47B35}"/>
    <cellStyle name="Currency 5 2 2 2 2 5 4" xfId="27002" xr:uid="{50F15E4A-640D-4710-B359-8E495CE77DC0}"/>
    <cellStyle name="Currency 5 2 2 2 2 5 5" xfId="18561" xr:uid="{D669C65B-FB40-4BE5-A9E6-973A074C82DA}"/>
    <cellStyle name="Currency 5 2 2 2 2 5 6" xfId="10113" xr:uid="{6DC9D9E5-ED39-4761-A3A5-BD95985D1089}"/>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33778" xr:uid="{9EE0DDB0-4506-4918-A8F2-5DA8DBAFF8B1}"/>
    <cellStyle name="Currency 5 2 2 2 2 6 2 2 3" xfId="25337" xr:uid="{5C0F2E95-BDC1-4A0D-AE12-C12691A1669D}"/>
    <cellStyle name="Currency 5 2 2 2 2 6 2 2 4" xfId="16889" xr:uid="{03C68E38-6262-4734-9375-64E81DD406C8}"/>
    <cellStyle name="Currency 5 2 2 2 2 6 2 3" xfId="29560" xr:uid="{CAC54FA5-468A-4775-8151-4C28B75F6C85}"/>
    <cellStyle name="Currency 5 2 2 2 2 6 2 4" xfId="21119" xr:uid="{57779512-5F43-4CDC-B31E-A29D20F0683F}"/>
    <cellStyle name="Currency 5 2 2 2 2 6 2 5" xfId="12671" xr:uid="{F8B0D8DA-955D-46EF-B14B-C79F985A4E3D}"/>
    <cellStyle name="Currency 5 2 2 2 2 6 3" xfId="6294" xr:uid="{00000000-0005-0000-0000-0000950B0000}"/>
    <cellStyle name="Currency 5 2 2 2 2 6 3 2" xfId="31633" xr:uid="{C5D14BD9-E130-4B67-91F3-F4B58014C38E}"/>
    <cellStyle name="Currency 5 2 2 2 2 6 3 3" xfId="23192" xr:uid="{EED63E0B-F7FB-454E-9DA1-8EBEAE202363}"/>
    <cellStyle name="Currency 5 2 2 2 2 6 3 4" xfId="14744" xr:uid="{943CD895-0254-4FDC-A760-685A0D5D1FA6}"/>
    <cellStyle name="Currency 5 2 2 2 2 6 4" xfId="27415" xr:uid="{E894B64C-3F0D-4611-BF20-51A7FAE98912}"/>
    <cellStyle name="Currency 5 2 2 2 2 6 5" xfId="18974" xr:uid="{6769509B-5D5A-4261-862F-F896C897ADD2}"/>
    <cellStyle name="Currency 5 2 2 2 2 6 6" xfId="10526" xr:uid="{9F9AD3F0-6BCF-4F18-8303-F843644B6088}"/>
    <cellStyle name="Currency 5 2 2 2 2 7" xfId="2423" xr:uid="{00000000-0005-0000-0000-0000960B0000}"/>
    <cellStyle name="Currency 5 2 2 2 2 7 2" xfId="6707" xr:uid="{00000000-0005-0000-0000-0000970B0000}"/>
    <cellStyle name="Currency 5 2 2 2 2 7 2 2" xfId="32046" xr:uid="{9A4A1CA5-D25C-44AF-8D62-969283818FD7}"/>
    <cellStyle name="Currency 5 2 2 2 2 7 2 3" xfId="23605" xr:uid="{EBFF47AB-7647-45DF-8DC4-70FF373525E8}"/>
    <cellStyle name="Currency 5 2 2 2 2 7 2 4" xfId="15157" xr:uid="{64C2AFF8-A724-444C-BAEE-5DB67359165F}"/>
    <cellStyle name="Currency 5 2 2 2 2 7 3" xfId="27828" xr:uid="{760A6DBB-0307-4043-BCCD-3B1DA0BE32DD}"/>
    <cellStyle name="Currency 5 2 2 2 2 7 4" xfId="19387" xr:uid="{E05FE571-4EF1-4CF3-8318-A6FD9A1938BC}"/>
    <cellStyle name="Currency 5 2 2 2 2 7 5" xfId="10939" xr:uid="{59CF5052-99D4-4373-B78E-4CC249C9D506}"/>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32363" xr:uid="{7F51D6F0-D6BF-4251-8342-CB9A4C699CBB}"/>
    <cellStyle name="Currency 5 2 2 2 2 9 2 3" xfId="23922" xr:uid="{E1B061EB-85C2-4A98-8593-812A9B92CD07}"/>
    <cellStyle name="Currency 5 2 2 2 2 9 2 4" xfId="15474" xr:uid="{2842A1BA-28D3-49E2-A13B-1EA6D8C39632}"/>
    <cellStyle name="Currency 5 2 2 2 2 9 3" xfId="28145" xr:uid="{2D630E9E-B4F0-4314-A872-C81B430799F8}"/>
    <cellStyle name="Currency 5 2 2 2 2 9 4" xfId="19704" xr:uid="{A873F646-139D-48E1-AC77-62F3CBF950F3}"/>
    <cellStyle name="Currency 5 2 2 2 2 9 5" xfId="11256" xr:uid="{EF84A6EA-F81C-430D-9FD8-3EE45C3CEC34}"/>
    <cellStyle name="Currency 5 2 2 2 3" xfId="199" xr:uid="{00000000-0005-0000-0000-00009B0B0000}"/>
    <cellStyle name="Currency 5 2 2 2 3 10" xfId="25764" xr:uid="{FC396E74-DBBC-4AF1-B3CE-470503D84E7B}"/>
    <cellStyle name="Currency 5 2 2 2 3 11" xfId="17323" xr:uid="{B96ABF24-EBCB-4EEE-806E-C67D16FC2AAF}"/>
    <cellStyle name="Currency 5 2 2 2 3 12" xfId="8875" xr:uid="{44BCDAF8-E939-4039-B176-FB3B546828FD}"/>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32541" xr:uid="{C094196B-863F-4AF4-80BB-D9EDD5549441}"/>
    <cellStyle name="Currency 5 2 2 2 3 2 2 2 3" xfId="24100" xr:uid="{E92A7667-EA9C-49A1-BEF4-0A5D38716593}"/>
    <cellStyle name="Currency 5 2 2 2 3 2 2 2 4" xfId="15652" xr:uid="{F6608112-4370-443C-B89D-5D36CEFD2C67}"/>
    <cellStyle name="Currency 5 2 2 2 3 2 2 3" xfId="28323" xr:uid="{AF12F0AD-4283-4AC5-B8F2-B356A6C66BDB}"/>
    <cellStyle name="Currency 5 2 2 2 3 2 2 4" xfId="19882" xr:uid="{3131C99F-F273-4932-A3E4-0778FA7C8749}"/>
    <cellStyle name="Currency 5 2 2 2 3 2 2 5" xfId="11434" xr:uid="{68DC5D5B-7309-47E6-BB6A-53986BE79740}"/>
    <cellStyle name="Currency 5 2 2 2 3 2 3" xfId="5057" xr:uid="{00000000-0005-0000-0000-00009F0B0000}"/>
    <cellStyle name="Currency 5 2 2 2 3 2 3 2" xfId="30396" xr:uid="{4954B371-2E14-45E4-812F-6552C6288136}"/>
    <cellStyle name="Currency 5 2 2 2 3 2 3 3" xfId="21955" xr:uid="{F0D352C8-C111-4E8C-9F5F-76C5FD145725}"/>
    <cellStyle name="Currency 5 2 2 2 3 2 3 4" xfId="13507" xr:uid="{ABEA284D-D9D1-43BE-BCFA-7118CC520983}"/>
    <cellStyle name="Currency 5 2 2 2 3 2 4" xfId="26178" xr:uid="{990C5A38-EA35-4D7A-9F54-EC3DC36E8329}"/>
    <cellStyle name="Currency 5 2 2 2 3 2 5" xfId="17737" xr:uid="{E6009058-26E0-4CDD-810F-1E6AE33B4254}"/>
    <cellStyle name="Currency 5 2 2 2 3 2 6" xfId="9289" xr:uid="{36191859-A171-4464-A496-A532C6101EFC}"/>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32954" xr:uid="{209E1720-513A-44BC-8245-D11A80F247EB}"/>
    <cellStyle name="Currency 5 2 2 2 3 3 2 2 3" xfId="24513" xr:uid="{DD0AC1BA-0F7E-493F-854E-F37333C8A870}"/>
    <cellStyle name="Currency 5 2 2 2 3 3 2 2 4" xfId="16065" xr:uid="{78EE360F-AAD6-4AC8-BA9E-BB040E9BAE02}"/>
    <cellStyle name="Currency 5 2 2 2 3 3 2 3" xfId="28736" xr:uid="{A77FE33E-4A92-4172-9044-CC5663F8EF19}"/>
    <cellStyle name="Currency 5 2 2 2 3 3 2 4" xfId="20295" xr:uid="{4B6B9DAB-E319-409F-AC01-CEF956F0E959}"/>
    <cellStyle name="Currency 5 2 2 2 3 3 2 5" xfId="11847" xr:uid="{CCB101F3-1665-46FC-AC9F-5413B3C1A79A}"/>
    <cellStyle name="Currency 5 2 2 2 3 3 3" xfId="5470" xr:uid="{00000000-0005-0000-0000-0000A30B0000}"/>
    <cellStyle name="Currency 5 2 2 2 3 3 3 2" xfId="30809" xr:uid="{2FD4935C-1905-46A3-B762-E362EA73A75A}"/>
    <cellStyle name="Currency 5 2 2 2 3 3 3 3" xfId="22368" xr:uid="{06F10391-B211-4E1D-B506-CAB7FDF97FF8}"/>
    <cellStyle name="Currency 5 2 2 2 3 3 3 4" xfId="13920" xr:uid="{A5F61F6A-FB9F-48F7-B29E-D797DEE9CDE4}"/>
    <cellStyle name="Currency 5 2 2 2 3 3 4" xfId="26591" xr:uid="{EFE9DE76-999D-4A5C-A37D-D2CF58A14E62}"/>
    <cellStyle name="Currency 5 2 2 2 3 3 5" xfId="18150" xr:uid="{BB303A9F-BF50-4E81-A75C-7770CCB56E49}"/>
    <cellStyle name="Currency 5 2 2 2 3 3 6" xfId="9702" xr:uid="{D53B56D5-8EB9-41F3-9633-215804283D4A}"/>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33367" xr:uid="{E7B2B08E-AFCE-4FB8-9771-E0B08EFBAC51}"/>
    <cellStyle name="Currency 5 2 2 2 3 4 2 2 3" xfId="24926" xr:uid="{F2397E59-7E71-401B-8A8C-A48A7CE0A13E}"/>
    <cellStyle name="Currency 5 2 2 2 3 4 2 2 4" xfId="16478" xr:uid="{BBAF4A17-4D0A-41D9-93AD-6704039B4941}"/>
    <cellStyle name="Currency 5 2 2 2 3 4 2 3" xfId="29149" xr:uid="{3D3BB0B4-D782-4F83-A3DC-9A633314EF16}"/>
    <cellStyle name="Currency 5 2 2 2 3 4 2 4" xfId="20708" xr:uid="{70D338B4-04DD-44E5-B3C2-CBFBDD5DE54C}"/>
    <cellStyle name="Currency 5 2 2 2 3 4 2 5" xfId="12260" xr:uid="{83267D71-D823-49EB-95CC-30542197E24A}"/>
    <cellStyle name="Currency 5 2 2 2 3 4 3" xfId="5883" xr:uid="{00000000-0005-0000-0000-0000A70B0000}"/>
    <cellStyle name="Currency 5 2 2 2 3 4 3 2" xfId="31222" xr:uid="{2CD88242-D932-480D-BD35-C39B914F43E6}"/>
    <cellStyle name="Currency 5 2 2 2 3 4 3 3" xfId="22781" xr:uid="{04A7D3F5-5E11-484A-A1B3-CCCFD4CF5925}"/>
    <cellStyle name="Currency 5 2 2 2 3 4 3 4" xfId="14333" xr:uid="{514E7917-A3F5-4ADA-B463-7CCD9CA98440}"/>
    <cellStyle name="Currency 5 2 2 2 3 4 4" xfId="27004" xr:uid="{77392733-05F5-4C45-90C4-34BD3D23A0FB}"/>
    <cellStyle name="Currency 5 2 2 2 3 4 5" xfId="18563" xr:uid="{163BB5AF-BE52-4A1D-8713-ACC71E58D8CA}"/>
    <cellStyle name="Currency 5 2 2 2 3 4 6" xfId="10115" xr:uid="{3AEDAFA6-F63F-4453-8FC1-C619DA95010A}"/>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33780" xr:uid="{C5B34111-1D3C-4ECD-94D6-01EFB7D22D32}"/>
    <cellStyle name="Currency 5 2 2 2 3 5 2 2 3" xfId="25339" xr:uid="{66ABB778-36DC-4196-A717-5870FDEE0F30}"/>
    <cellStyle name="Currency 5 2 2 2 3 5 2 2 4" xfId="16891" xr:uid="{ABC7D3B7-8355-40F7-9EE9-D051FBB72912}"/>
    <cellStyle name="Currency 5 2 2 2 3 5 2 3" xfId="29562" xr:uid="{83C4F163-A699-4CE9-B5B4-BA6346D62E31}"/>
    <cellStyle name="Currency 5 2 2 2 3 5 2 4" xfId="21121" xr:uid="{E406CA90-642A-4C77-A86A-1ECEF8C9E9A5}"/>
    <cellStyle name="Currency 5 2 2 2 3 5 2 5" xfId="12673" xr:uid="{D26ACFEF-A146-4108-A262-04D6F5768ED9}"/>
    <cellStyle name="Currency 5 2 2 2 3 5 3" xfId="6296" xr:uid="{00000000-0005-0000-0000-0000AB0B0000}"/>
    <cellStyle name="Currency 5 2 2 2 3 5 3 2" xfId="31635" xr:uid="{64A63007-0780-4784-8F05-B9C8272A4B70}"/>
    <cellStyle name="Currency 5 2 2 2 3 5 3 3" xfId="23194" xr:uid="{F00680CE-87FC-46CF-864D-86F00AEE4804}"/>
    <cellStyle name="Currency 5 2 2 2 3 5 3 4" xfId="14746" xr:uid="{CAACD2C0-893E-46B0-86C8-B364BDAE459D}"/>
    <cellStyle name="Currency 5 2 2 2 3 5 4" xfId="27417" xr:uid="{898115BB-C3D7-450F-936C-1941453B09A0}"/>
    <cellStyle name="Currency 5 2 2 2 3 5 5" xfId="18976" xr:uid="{190596A4-45AF-4D82-B6CF-9F93B7EF7489}"/>
    <cellStyle name="Currency 5 2 2 2 3 5 6" xfId="10528" xr:uid="{A5EBF59B-9D3C-4AC0-9BB1-025D624F1822}"/>
    <cellStyle name="Currency 5 2 2 2 3 6" xfId="2425" xr:uid="{00000000-0005-0000-0000-0000AC0B0000}"/>
    <cellStyle name="Currency 5 2 2 2 3 6 2" xfId="6709" xr:uid="{00000000-0005-0000-0000-0000AD0B0000}"/>
    <cellStyle name="Currency 5 2 2 2 3 6 2 2" xfId="32048" xr:uid="{7C24D452-734D-4EA8-AB1A-2DD4AEF7E96F}"/>
    <cellStyle name="Currency 5 2 2 2 3 6 2 3" xfId="23607" xr:uid="{4D630B32-03FE-49A5-880E-FAE61D59E626}"/>
    <cellStyle name="Currency 5 2 2 2 3 6 2 4" xfId="15159" xr:uid="{E49E684A-4EC7-47FC-A78E-86A9C3E50EA8}"/>
    <cellStyle name="Currency 5 2 2 2 3 6 3" xfId="27830" xr:uid="{DBDD5044-2C1D-43BF-ACF5-D4500D118234}"/>
    <cellStyle name="Currency 5 2 2 2 3 6 4" xfId="19389" xr:uid="{75A7918B-FF52-40F6-A076-46C0D7DB0D3C}"/>
    <cellStyle name="Currency 5 2 2 2 3 6 5" xfId="10941" xr:uid="{95179ACF-36C8-4523-8ABF-982E7FC50E4B}"/>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32365" xr:uid="{A49E30E1-ED49-46AD-BD1F-0124AA2AD954}"/>
    <cellStyle name="Currency 5 2 2 2 3 8 2 3" xfId="23924" xr:uid="{E13E2A4C-B4E8-42C3-96A1-A57B0E93BF58}"/>
    <cellStyle name="Currency 5 2 2 2 3 8 2 4" xfId="15476" xr:uid="{7CDA2C00-CCE7-42B7-8379-634F0FE2E3DD}"/>
    <cellStyle name="Currency 5 2 2 2 3 8 3" xfId="28147" xr:uid="{9C331DC0-90BF-46CE-95C6-7DD0D68D35E8}"/>
    <cellStyle name="Currency 5 2 2 2 3 8 4" xfId="19706" xr:uid="{0BECE6A8-97F4-428E-9B6B-1B6FBBB508CE}"/>
    <cellStyle name="Currency 5 2 2 2 3 8 5" xfId="11258" xr:uid="{6D0295A5-82C9-4BAB-8193-4D6732783DFF}"/>
    <cellStyle name="Currency 5 2 2 2 3 9" xfId="4643" xr:uid="{00000000-0005-0000-0000-0000B10B0000}"/>
    <cellStyle name="Currency 5 2 2 2 3 9 2" xfId="29982" xr:uid="{698FFBDA-5428-4F9E-911D-A5B883B6742B}"/>
    <cellStyle name="Currency 5 2 2 2 3 9 3" xfId="21541" xr:uid="{7F868358-12B5-44B9-87E4-22714FE9C11E}"/>
    <cellStyle name="Currency 5 2 2 2 3 9 4" xfId="13093" xr:uid="{C77D968B-D66F-422F-B775-761313C5008B}"/>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32538" xr:uid="{0E91D919-2FC7-44D8-9216-9A3D173324E4}"/>
    <cellStyle name="Currency 5 2 2 2 4 2 2 3" xfId="24097" xr:uid="{25A2FF19-A748-477B-97D6-CBA466FAC074}"/>
    <cellStyle name="Currency 5 2 2 2 4 2 2 4" xfId="15649" xr:uid="{49EF3782-2E4A-41CF-853E-EEF55D9C02DA}"/>
    <cellStyle name="Currency 5 2 2 2 4 2 3" xfId="28320" xr:uid="{E21FFED1-96CA-4036-984C-E419ABE48446}"/>
    <cellStyle name="Currency 5 2 2 2 4 2 4" xfId="19879" xr:uid="{AE59685E-343A-49A7-B9C8-427E4E0B0A48}"/>
    <cellStyle name="Currency 5 2 2 2 4 2 5" xfId="11431" xr:uid="{E0A600DD-1F2D-458A-A387-49CC6CABC3B1}"/>
    <cellStyle name="Currency 5 2 2 2 4 3" xfId="5054" xr:uid="{00000000-0005-0000-0000-0000B50B0000}"/>
    <cellStyle name="Currency 5 2 2 2 4 3 2" xfId="30393" xr:uid="{8F1CDD31-1D58-4206-8331-F4BE70045AC4}"/>
    <cellStyle name="Currency 5 2 2 2 4 3 3" xfId="21952" xr:uid="{395D838F-3A01-4C26-917F-9CF5778BDAE4}"/>
    <cellStyle name="Currency 5 2 2 2 4 3 4" xfId="13504" xr:uid="{019EB378-2FF6-4F55-9A20-A544A599E057}"/>
    <cellStyle name="Currency 5 2 2 2 4 4" xfId="26175" xr:uid="{D938246B-0500-4056-B037-E84EAF6722B6}"/>
    <cellStyle name="Currency 5 2 2 2 4 5" xfId="17734" xr:uid="{BBD1F178-8B2C-465B-9372-DBF8E6E9F5E3}"/>
    <cellStyle name="Currency 5 2 2 2 4 6" xfId="9286" xr:uid="{88E25BC9-DEFF-4AE8-B7C0-6135FCA430FD}"/>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32951" xr:uid="{D7242AA2-8B53-4E51-B1E9-B7A6270964D6}"/>
    <cellStyle name="Currency 5 2 2 2 5 2 2 3" xfId="24510" xr:uid="{F99E6ED2-BFCA-458A-985F-76143298E99A}"/>
    <cellStyle name="Currency 5 2 2 2 5 2 2 4" xfId="16062" xr:uid="{FA0A3BB5-9FF6-48B7-8E18-F5D44C1ECDE8}"/>
    <cellStyle name="Currency 5 2 2 2 5 2 3" xfId="28733" xr:uid="{5D496EDC-8FC3-4CFC-B3A4-6B21E48B4705}"/>
    <cellStyle name="Currency 5 2 2 2 5 2 4" xfId="20292" xr:uid="{A8E738A5-FADC-4CA7-8888-655C6BED6E5A}"/>
    <cellStyle name="Currency 5 2 2 2 5 2 5" xfId="11844" xr:uid="{904E922A-498E-44F8-9E06-1B50C4959383}"/>
    <cellStyle name="Currency 5 2 2 2 5 3" xfId="5467" xr:uid="{00000000-0005-0000-0000-0000B90B0000}"/>
    <cellStyle name="Currency 5 2 2 2 5 3 2" xfId="30806" xr:uid="{458AA465-8C72-4552-A2C1-1EA07EB2CF9A}"/>
    <cellStyle name="Currency 5 2 2 2 5 3 3" xfId="22365" xr:uid="{99078AB6-DBCC-4614-AF8C-F40560B5C915}"/>
    <cellStyle name="Currency 5 2 2 2 5 3 4" xfId="13917" xr:uid="{E2679DA4-8ED8-469C-AC25-A74CFBAF14D5}"/>
    <cellStyle name="Currency 5 2 2 2 5 4" xfId="26588" xr:uid="{38CE28A3-B975-409D-9AC8-C5AA82F7DFAE}"/>
    <cellStyle name="Currency 5 2 2 2 5 5" xfId="18147" xr:uid="{F63202FD-E151-4EF3-B138-C39083C6B94E}"/>
    <cellStyle name="Currency 5 2 2 2 5 6" xfId="9699" xr:uid="{DAABD2C1-8437-45B9-B231-6FAFA59C1608}"/>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33364" xr:uid="{37A8373B-1C4F-4D6C-B327-82581D012676}"/>
    <cellStyle name="Currency 5 2 2 2 6 2 2 3" xfId="24923" xr:uid="{66BFA437-8FBB-4393-9A79-3703BAB0E85E}"/>
    <cellStyle name="Currency 5 2 2 2 6 2 2 4" xfId="16475" xr:uid="{D9FC6A37-61DC-48FC-B023-1D8CE82E17CD}"/>
    <cellStyle name="Currency 5 2 2 2 6 2 3" xfId="29146" xr:uid="{6A0BD676-89CE-421A-9A25-41B3E8CA1846}"/>
    <cellStyle name="Currency 5 2 2 2 6 2 4" xfId="20705" xr:uid="{A62D417B-5A1A-4602-BD02-860C01C3D89A}"/>
    <cellStyle name="Currency 5 2 2 2 6 2 5" xfId="12257" xr:uid="{AAC9FD0D-3C9F-4522-A206-56A89519F158}"/>
    <cellStyle name="Currency 5 2 2 2 6 3" xfId="5880" xr:uid="{00000000-0005-0000-0000-0000BD0B0000}"/>
    <cellStyle name="Currency 5 2 2 2 6 3 2" xfId="31219" xr:uid="{03C748E2-431A-4DE6-BC1B-CFA4411DA62C}"/>
    <cellStyle name="Currency 5 2 2 2 6 3 3" xfId="22778" xr:uid="{2204855A-704B-41E3-8DFA-729C234683BF}"/>
    <cellStyle name="Currency 5 2 2 2 6 3 4" xfId="14330" xr:uid="{990ED405-B8F9-4CA0-A5C9-B069AABC0629}"/>
    <cellStyle name="Currency 5 2 2 2 6 4" xfId="27001" xr:uid="{B01B8BB1-7C4E-43C0-9D5C-81F042D86357}"/>
    <cellStyle name="Currency 5 2 2 2 6 5" xfId="18560" xr:uid="{0579298B-6D0A-45EB-88CF-5B2D8A84131F}"/>
    <cellStyle name="Currency 5 2 2 2 6 6" xfId="10112" xr:uid="{31E141A1-F5E4-4668-8A44-ACE3AC4110E3}"/>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33777" xr:uid="{2245D79E-8D88-4344-997D-8FC5E52BDC0A}"/>
    <cellStyle name="Currency 5 2 2 2 7 2 2 3" xfId="25336" xr:uid="{9AB12E74-5A92-40DD-98D5-8ACA39DD4451}"/>
    <cellStyle name="Currency 5 2 2 2 7 2 2 4" xfId="16888" xr:uid="{84E3CE76-6807-4933-8DBE-D5EDDB339D0F}"/>
    <cellStyle name="Currency 5 2 2 2 7 2 3" xfId="29559" xr:uid="{00FDA70C-8909-43BF-B0EB-98D7E139F7AA}"/>
    <cellStyle name="Currency 5 2 2 2 7 2 4" xfId="21118" xr:uid="{AE1F0055-C5D1-4402-AE6A-04E6B028E922}"/>
    <cellStyle name="Currency 5 2 2 2 7 2 5" xfId="12670" xr:uid="{68CF747E-80A5-46CC-A3FA-AA81B950FFE5}"/>
    <cellStyle name="Currency 5 2 2 2 7 3" xfId="6293" xr:uid="{00000000-0005-0000-0000-0000C10B0000}"/>
    <cellStyle name="Currency 5 2 2 2 7 3 2" xfId="31632" xr:uid="{6ACA6EF0-08D9-4244-9D08-7316675AA27F}"/>
    <cellStyle name="Currency 5 2 2 2 7 3 3" xfId="23191" xr:uid="{4610C362-FBDD-49A4-AA5C-445AEBBF5119}"/>
    <cellStyle name="Currency 5 2 2 2 7 3 4" xfId="14743" xr:uid="{12CF40F2-9F51-4688-8FC9-54F43AA509F8}"/>
    <cellStyle name="Currency 5 2 2 2 7 4" xfId="27414" xr:uid="{C19DEF24-ECB2-43D6-90E8-998578E0C564}"/>
    <cellStyle name="Currency 5 2 2 2 7 5" xfId="18973" xr:uid="{938F1C0D-8CAC-46ED-82E5-3864829FA7D5}"/>
    <cellStyle name="Currency 5 2 2 2 7 6" xfId="10525" xr:uid="{15E8A928-B7E9-48C1-B75A-8CD6F4373BF0}"/>
    <cellStyle name="Currency 5 2 2 2 8" xfId="2422" xr:uid="{00000000-0005-0000-0000-0000C20B0000}"/>
    <cellStyle name="Currency 5 2 2 2 8 2" xfId="6706" xr:uid="{00000000-0005-0000-0000-0000C30B0000}"/>
    <cellStyle name="Currency 5 2 2 2 8 2 2" xfId="32045" xr:uid="{01533CAA-4316-4DA6-B6AA-773CC3DA2667}"/>
    <cellStyle name="Currency 5 2 2 2 8 2 3" xfId="23604" xr:uid="{2158C339-6D94-4E45-814D-6F050FE33DDA}"/>
    <cellStyle name="Currency 5 2 2 2 8 2 4" xfId="15156" xr:uid="{491BD3E3-EA29-42AB-BD11-DA4A90371945}"/>
    <cellStyle name="Currency 5 2 2 2 8 3" xfId="27827" xr:uid="{4522E124-D584-451B-85F2-BC2D91C2EE32}"/>
    <cellStyle name="Currency 5 2 2 2 8 4" xfId="19386" xr:uid="{084FD996-5D6F-477E-8EF7-FC42B095510C}"/>
    <cellStyle name="Currency 5 2 2 2 8 5" xfId="10938" xr:uid="{E5CEEC17-D247-4FB8-BB08-417C80EBCE96}"/>
    <cellStyle name="Currency 5 2 2 2 9" xfId="2719" xr:uid="{00000000-0005-0000-0000-0000C40B0000}"/>
    <cellStyle name="Currency 5 2 2 3" xfId="200" xr:uid="{00000000-0005-0000-0000-0000C50B0000}"/>
    <cellStyle name="Currency 5 2 2 3 10" xfId="4644" xr:uid="{00000000-0005-0000-0000-0000C60B0000}"/>
    <cellStyle name="Currency 5 2 2 3 10 2" xfId="29983" xr:uid="{3054869B-3A1F-42AC-B0A6-5534E96610FE}"/>
    <cellStyle name="Currency 5 2 2 3 10 3" xfId="21542" xr:uid="{B504B765-C5A8-4F90-8F56-C244B8C73554}"/>
    <cellStyle name="Currency 5 2 2 3 10 4" xfId="13094" xr:uid="{64F3992D-CA87-4BA6-BDFA-E761F4FC3AE8}"/>
    <cellStyle name="Currency 5 2 2 3 11" xfId="25765" xr:uid="{39BEA749-B2D6-4713-9ADB-85371E1BD4A5}"/>
    <cellStyle name="Currency 5 2 2 3 12" xfId="17324" xr:uid="{B15C44F4-4243-4A80-AF17-379D66E94B4E}"/>
    <cellStyle name="Currency 5 2 2 3 13" xfId="8876" xr:uid="{8BB98EF3-AD32-40AD-8F1D-5B38CF412D26}"/>
    <cellStyle name="Currency 5 2 2 3 2" xfId="201" xr:uid="{00000000-0005-0000-0000-0000C70B0000}"/>
    <cellStyle name="Currency 5 2 2 3 2 10" xfId="25766" xr:uid="{4265228D-7D53-4C11-B567-5750ECB5A9C9}"/>
    <cellStyle name="Currency 5 2 2 3 2 11" xfId="17325" xr:uid="{4CC69BE3-C311-4E15-9CD2-CAA73E9203E9}"/>
    <cellStyle name="Currency 5 2 2 3 2 12" xfId="8877" xr:uid="{E962E04F-2EF5-40AA-9EB2-6AFAA2BD9659}"/>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32543" xr:uid="{CDCE8960-A2E7-4437-B9CB-B0624F8ECFD3}"/>
    <cellStyle name="Currency 5 2 2 3 2 2 2 2 3" xfId="24102" xr:uid="{B909BA5A-134B-43B3-9BA5-E8B7F4ED6A0D}"/>
    <cellStyle name="Currency 5 2 2 3 2 2 2 2 4" xfId="15654" xr:uid="{65378A1C-5E6F-4A76-9A0F-425FD45BDFF4}"/>
    <cellStyle name="Currency 5 2 2 3 2 2 2 3" xfId="28325" xr:uid="{D2900B61-42A1-4A0D-9DB7-EA3290DCEFE5}"/>
    <cellStyle name="Currency 5 2 2 3 2 2 2 4" xfId="19884" xr:uid="{DEE9AC72-F73A-49C8-8B11-8FE29D71732F}"/>
    <cellStyle name="Currency 5 2 2 3 2 2 2 5" xfId="11436" xr:uid="{4E7FE5E1-621B-4421-9591-6B2A2D71F690}"/>
    <cellStyle name="Currency 5 2 2 3 2 2 3" xfId="5059" xr:uid="{00000000-0005-0000-0000-0000CB0B0000}"/>
    <cellStyle name="Currency 5 2 2 3 2 2 3 2" xfId="30398" xr:uid="{1FF32CBA-1C37-4581-8B06-28C4351B2D47}"/>
    <cellStyle name="Currency 5 2 2 3 2 2 3 3" xfId="21957" xr:uid="{6D235CDC-089F-43E6-BEAC-AA63D208E4E4}"/>
    <cellStyle name="Currency 5 2 2 3 2 2 3 4" xfId="13509" xr:uid="{FA6BF329-ADF4-4EC2-9B69-7B2187D32FBC}"/>
    <cellStyle name="Currency 5 2 2 3 2 2 4" xfId="26180" xr:uid="{8A2AC1F4-6E7D-4ED8-B4CC-84E344E90D2B}"/>
    <cellStyle name="Currency 5 2 2 3 2 2 5" xfId="17739" xr:uid="{D1FA8F2B-172E-437F-98E5-2C3B027D1DC4}"/>
    <cellStyle name="Currency 5 2 2 3 2 2 6" xfId="9291" xr:uid="{5EAE1DD3-EBEE-47EC-9C51-658867444AC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32956" xr:uid="{227B930D-BAAF-4F36-9328-7D1950BE3865}"/>
    <cellStyle name="Currency 5 2 2 3 2 3 2 2 3" xfId="24515" xr:uid="{CA2C9F7C-3680-412B-8AC0-13D7E2F4F39A}"/>
    <cellStyle name="Currency 5 2 2 3 2 3 2 2 4" xfId="16067" xr:uid="{12960137-FCDA-4A19-81D3-9829A821D620}"/>
    <cellStyle name="Currency 5 2 2 3 2 3 2 3" xfId="28738" xr:uid="{166B73B3-2F62-4969-AD2C-6BFC60877C14}"/>
    <cellStyle name="Currency 5 2 2 3 2 3 2 4" xfId="20297" xr:uid="{11D28295-E240-4B2E-8F11-1A0705E29B2E}"/>
    <cellStyle name="Currency 5 2 2 3 2 3 2 5" xfId="11849" xr:uid="{1FC4B237-6A3F-4354-A201-918C729EAEFF}"/>
    <cellStyle name="Currency 5 2 2 3 2 3 3" xfId="5472" xr:uid="{00000000-0005-0000-0000-0000CF0B0000}"/>
    <cellStyle name="Currency 5 2 2 3 2 3 3 2" xfId="30811" xr:uid="{78DB6C47-5E0C-463E-8E9A-CF41D4C0DE88}"/>
    <cellStyle name="Currency 5 2 2 3 2 3 3 3" xfId="22370" xr:uid="{5DA66583-4D62-453C-A6D1-AF2646C48638}"/>
    <cellStyle name="Currency 5 2 2 3 2 3 3 4" xfId="13922" xr:uid="{012D8AB6-8FFB-47E9-8B1E-45D840CE9490}"/>
    <cellStyle name="Currency 5 2 2 3 2 3 4" xfId="26593" xr:uid="{52DEAB8F-3C0D-459E-88EC-7A489B6A1CE0}"/>
    <cellStyle name="Currency 5 2 2 3 2 3 5" xfId="18152" xr:uid="{BDA3046F-23D0-4A95-ACE8-6153F0B5B755}"/>
    <cellStyle name="Currency 5 2 2 3 2 3 6" xfId="9704" xr:uid="{285AD540-8738-4900-BE59-8402E0E472BA}"/>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33369" xr:uid="{F2E3DDB8-47F9-4DF8-817A-6DF394E7AC18}"/>
    <cellStyle name="Currency 5 2 2 3 2 4 2 2 3" xfId="24928" xr:uid="{8C0C3C91-5E07-4B2F-BE08-EF9041F8E729}"/>
    <cellStyle name="Currency 5 2 2 3 2 4 2 2 4" xfId="16480" xr:uid="{77C63364-7C11-4FD4-ADB4-CC026AE4DDFC}"/>
    <cellStyle name="Currency 5 2 2 3 2 4 2 3" xfId="29151" xr:uid="{26023DD1-E1F9-44D2-B295-678EA56D7C27}"/>
    <cellStyle name="Currency 5 2 2 3 2 4 2 4" xfId="20710" xr:uid="{6C807FC9-55BD-4818-A846-FB07A044E18D}"/>
    <cellStyle name="Currency 5 2 2 3 2 4 2 5" xfId="12262" xr:uid="{BB7AA553-9504-43D1-A909-53BDE6F1CFCD}"/>
    <cellStyle name="Currency 5 2 2 3 2 4 3" xfId="5885" xr:uid="{00000000-0005-0000-0000-0000D30B0000}"/>
    <cellStyle name="Currency 5 2 2 3 2 4 3 2" xfId="31224" xr:uid="{21A586F5-3A71-4C1A-B106-43BA27D32743}"/>
    <cellStyle name="Currency 5 2 2 3 2 4 3 3" xfId="22783" xr:uid="{1D0A6DBD-40D4-4391-BB36-0A4DDC7348F6}"/>
    <cellStyle name="Currency 5 2 2 3 2 4 3 4" xfId="14335" xr:uid="{4D9A4840-F5A4-4CA5-9C29-5A90BEE4C6CE}"/>
    <cellStyle name="Currency 5 2 2 3 2 4 4" xfId="27006" xr:uid="{8F0B7A10-55C2-45B3-B2B9-10A468F315C9}"/>
    <cellStyle name="Currency 5 2 2 3 2 4 5" xfId="18565" xr:uid="{06321FF6-B1AF-40BA-B42F-2B65E1B766D6}"/>
    <cellStyle name="Currency 5 2 2 3 2 4 6" xfId="10117" xr:uid="{54C8D917-9CF6-4EB8-B35A-9899AB105E55}"/>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33782" xr:uid="{41545A13-5F14-49DA-99B0-E444891C53D3}"/>
    <cellStyle name="Currency 5 2 2 3 2 5 2 2 3" xfId="25341" xr:uid="{10E8BA6B-45AB-4D0C-B124-95D5411E0B41}"/>
    <cellStyle name="Currency 5 2 2 3 2 5 2 2 4" xfId="16893" xr:uid="{79843288-DD2A-4050-AC74-00E398C97D04}"/>
    <cellStyle name="Currency 5 2 2 3 2 5 2 3" xfId="29564" xr:uid="{A10BEEBA-90F9-4382-86B7-E99EC8D38918}"/>
    <cellStyle name="Currency 5 2 2 3 2 5 2 4" xfId="21123" xr:uid="{7239398A-D4CA-4FC7-8B25-84A9D776B693}"/>
    <cellStyle name="Currency 5 2 2 3 2 5 2 5" xfId="12675" xr:uid="{0FC7A83D-0576-4D26-8AD6-C1631C033D31}"/>
    <cellStyle name="Currency 5 2 2 3 2 5 3" xfId="6298" xr:uid="{00000000-0005-0000-0000-0000D70B0000}"/>
    <cellStyle name="Currency 5 2 2 3 2 5 3 2" xfId="31637" xr:uid="{E46E06B3-4DDA-4345-8A39-3CEAFFBE7B9A}"/>
    <cellStyle name="Currency 5 2 2 3 2 5 3 3" xfId="23196" xr:uid="{CBA71A14-294C-4F46-A895-CAF8EBCAD276}"/>
    <cellStyle name="Currency 5 2 2 3 2 5 3 4" xfId="14748" xr:uid="{BABBCAA0-858D-40B1-855F-16618BBA3CE0}"/>
    <cellStyle name="Currency 5 2 2 3 2 5 4" xfId="27419" xr:uid="{E46A03AE-87A0-4C05-BEED-7242F65A8AA4}"/>
    <cellStyle name="Currency 5 2 2 3 2 5 5" xfId="18978" xr:uid="{11FD2880-7A48-4AFA-A73E-A25465121E66}"/>
    <cellStyle name="Currency 5 2 2 3 2 5 6" xfId="10530" xr:uid="{89DE5072-69E0-4E28-85C8-C174B102E151}"/>
    <cellStyle name="Currency 5 2 2 3 2 6" xfId="2427" xr:uid="{00000000-0005-0000-0000-0000D80B0000}"/>
    <cellStyle name="Currency 5 2 2 3 2 6 2" xfId="6711" xr:uid="{00000000-0005-0000-0000-0000D90B0000}"/>
    <cellStyle name="Currency 5 2 2 3 2 6 2 2" xfId="32050" xr:uid="{E75D04C5-1CF5-449C-9F9E-EABABACBC7BE}"/>
    <cellStyle name="Currency 5 2 2 3 2 6 2 3" xfId="23609" xr:uid="{1BAB469B-5139-4406-81A2-B49B8CEAEDAD}"/>
    <cellStyle name="Currency 5 2 2 3 2 6 2 4" xfId="15161" xr:uid="{B6C36526-018D-41B9-AAE4-1B22B24BB360}"/>
    <cellStyle name="Currency 5 2 2 3 2 6 3" xfId="27832" xr:uid="{FF474708-972B-456C-9761-0E011F925A8E}"/>
    <cellStyle name="Currency 5 2 2 3 2 6 4" xfId="19391" xr:uid="{7014FAD7-DC74-4E81-895A-2D8AA4F3E3AC}"/>
    <cellStyle name="Currency 5 2 2 3 2 6 5" xfId="10943" xr:uid="{B82FBBF0-DDB1-4582-BEA1-524E64BAF6EC}"/>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32367" xr:uid="{4DF1FE91-0FE9-4F93-A440-72302C900A01}"/>
    <cellStyle name="Currency 5 2 2 3 2 8 2 3" xfId="23926" xr:uid="{9E9B4128-DB80-41E2-AAE8-9B0CC0B7E534}"/>
    <cellStyle name="Currency 5 2 2 3 2 8 2 4" xfId="15478" xr:uid="{C7286221-5E3D-4A28-A352-F2272853C301}"/>
    <cellStyle name="Currency 5 2 2 3 2 8 3" xfId="28149" xr:uid="{8762D679-E320-4DD4-9D00-1BE2FC2F7E2F}"/>
    <cellStyle name="Currency 5 2 2 3 2 8 4" xfId="19708" xr:uid="{A0D0ECC0-A6B2-48A1-8F4E-4D6E39E2B9E6}"/>
    <cellStyle name="Currency 5 2 2 3 2 8 5" xfId="11260" xr:uid="{6942CB10-A06B-418C-BFAF-6500F8AD9E38}"/>
    <cellStyle name="Currency 5 2 2 3 2 9" xfId="4645" xr:uid="{00000000-0005-0000-0000-0000DD0B0000}"/>
    <cellStyle name="Currency 5 2 2 3 2 9 2" xfId="29984" xr:uid="{508C522A-E8F9-4ADC-A430-08D11FC0670B}"/>
    <cellStyle name="Currency 5 2 2 3 2 9 3" xfId="21543" xr:uid="{230E8BE5-3748-4314-A1CB-0A39A14113D1}"/>
    <cellStyle name="Currency 5 2 2 3 2 9 4" xfId="13095" xr:uid="{B3842B81-7715-4585-8AB4-EA2B53206302}"/>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32542" xr:uid="{AE2737D0-FC1D-4C40-BEEC-BBB929FAD5A4}"/>
    <cellStyle name="Currency 5 2 2 3 3 2 2 3" xfId="24101" xr:uid="{8E5EB9C1-993C-4AC1-B65F-F7C9BB7B2E04}"/>
    <cellStyle name="Currency 5 2 2 3 3 2 2 4" xfId="15653" xr:uid="{AA259594-31E3-48C1-8E5D-1500BA3B9A86}"/>
    <cellStyle name="Currency 5 2 2 3 3 2 3" xfId="28324" xr:uid="{E0F2A2BB-8F86-4FEB-A4B2-57C89A090BDF}"/>
    <cellStyle name="Currency 5 2 2 3 3 2 4" xfId="19883" xr:uid="{B777C6FC-0A2E-44D7-BBB4-872040269982}"/>
    <cellStyle name="Currency 5 2 2 3 3 2 5" xfId="11435" xr:uid="{3A69336D-6B0D-415B-9F10-837EF761847D}"/>
    <cellStyle name="Currency 5 2 2 3 3 3" xfId="5058" xr:uid="{00000000-0005-0000-0000-0000E10B0000}"/>
    <cellStyle name="Currency 5 2 2 3 3 3 2" xfId="30397" xr:uid="{12E15C0E-C5D6-48E1-ABE0-46F73FAA547E}"/>
    <cellStyle name="Currency 5 2 2 3 3 3 3" xfId="21956" xr:uid="{2404E1F7-031B-4FA2-9C7A-CF8559777617}"/>
    <cellStyle name="Currency 5 2 2 3 3 3 4" xfId="13508" xr:uid="{8F01D801-7B91-4931-AE50-6E9F167CB2B4}"/>
    <cellStyle name="Currency 5 2 2 3 3 4" xfId="26179" xr:uid="{24BB16C0-4D81-44B8-AB46-58D66F989253}"/>
    <cellStyle name="Currency 5 2 2 3 3 5" xfId="17738" xr:uid="{17542246-9A4F-46FA-A14C-BDA830D510CD}"/>
    <cellStyle name="Currency 5 2 2 3 3 6" xfId="9290" xr:uid="{B7210DC6-7691-4BEE-9B14-0426415D9921}"/>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32955" xr:uid="{9D19048F-3B1A-43C0-B668-49A23F5AC89E}"/>
    <cellStyle name="Currency 5 2 2 3 4 2 2 3" xfId="24514" xr:uid="{ED8CA3BA-30C0-4CEE-8805-DA3E5676F892}"/>
    <cellStyle name="Currency 5 2 2 3 4 2 2 4" xfId="16066" xr:uid="{046B84E0-88D4-46DC-BB8F-4CCE8E5C6108}"/>
    <cellStyle name="Currency 5 2 2 3 4 2 3" xfId="28737" xr:uid="{89FC0ACF-728E-4E86-A362-08AC996942C3}"/>
    <cellStyle name="Currency 5 2 2 3 4 2 4" xfId="20296" xr:uid="{E635F498-B107-4113-9967-30F3731786D1}"/>
    <cellStyle name="Currency 5 2 2 3 4 2 5" xfId="11848" xr:uid="{7153862B-DCD3-4A44-8337-88AF730A4F98}"/>
    <cellStyle name="Currency 5 2 2 3 4 3" xfId="5471" xr:uid="{00000000-0005-0000-0000-0000E50B0000}"/>
    <cellStyle name="Currency 5 2 2 3 4 3 2" xfId="30810" xr:uid="{10B241C7-9B01-4CA1-8C1B-02539350890B}"/>
    <cellStyle name="Currency 5 2 2 3 4 3 3" xfId="22369" xr:uid="{5045B624-749D-45AC-AB4F-90D002DBC105}"/>
    <cellStyle name="Currency 5 2 2 3 4 3 4" xfId="13921" xr:uid="{4C4DB114-34F0-407F-BB82-278BA4355330}"/>
    <cellStyle name="Currency 5 2 2 3 4 4" xfId="26592" xr:uid="{F785552C-CD22-4570-9718-83798B06B134}"/>
    <cellStyle name="Currency 5 2 2 3 4 5" xfId="18151" xr:uid="{11E122F8-7C48-4A73-B35A-4EEC9F8776C4}"/>
    <cellStyle name="Currency 5 2 2 3 4 6" xfId="9703" xr:uid="{BF57D225-C6CB-43C4-9474-1092E9F6D1EE}"/>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33368" xr:uid="{0B384040-D55B-43D3-9199-E399CBF44F4B}"/>
    <cellStyle name="Currency 5 2 2 3 5 2 2 3" xfId="24927" xr:uid="{98164CB4-A2F7-4439-BEF1-4F10FD3DE3A9}"/>
    <cellStyle name="Currency 5 2 2 3 5 2 2 4" xfId="16479" xr:uid="{4E5E98F5-97DB-4B71-9533-065135831CB5}"/>
    <cellStyle name="Currency 5 2 2 3 5 2 3" xfId="29150" xr:uid="{5F7C9551-307F-43FB-B01A-719609112B24}"/>
    <cellStyle name="Currency 5 2 2 3 5 2 4" xfId="20709" xr:uid="{E2A0F7FB-CEE9-4E18-B4A0-EFDFE2272559}"/>
    <cellStyle name="Currency 5 2 2 3 5 2 5" xfId="12261" xr:uid="{A807ACE6-60B8-4B9B-8495-718A9195E961}"/>
    <cellStyle name="Currency 5 2 2 3 5 3" xfId="5884" xr:uid="{00000000-0005-0000-0000-0000E90B0000}"/>
    <cellStyle name="Currency 5 2 2 3 5 3 2" xfId="31223" xr:uid="{A314139C-78FE-4D4A-BE7C-428211BFA502}"/>
    <cellStyle name="Currency 5 2 2 3 5 3 3" xfId="22782" xr:uid="{EA04A10A-0380-4938-88EF-A913DBA5B064}"/>
    <cellStyle name="Currency 5 2 2 3 5 3 4" xfId="14334" xr:uid="{8F00D333-85CD-4D3D-896F-AE8AF6787A0F}"/>
    <cellStyle name="Currency 5 2 2 3 5 4" xfId="27005" xr:uid="{D2A877C8-C9C1-4598-BDC3-D257D50D15CA}"/>
    <cellStyle name="Currency 5 2 2 3 5 5" xfId="18564" xr:uid="{42F96A08-CEF9-4755-A66A-01EA42A692B9}"/>
    <cellStyle name="Currency 5 2 2 3 5 6" xfId="10116" xr:uid="{4FE3A237-1994-463B-A127-595D777E6FFB}"/>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33781" xr:uid="{A9688E56-64D1-4037-A418-07D6DD5B1C67}"/>
    <cellStyle name="Currency 5 2 2 3 6 2 2 3" xfId="25340" xr:uid="{D5C84ABC-5127-492E-AB66-2DFF932ADFD3}"/>
    <cellStyle name="Currency 5 2 2 3 6 2 2 4" xfId="16892" xr:uid="{7564E46C-8EB8-4D26-9177-E316F73F9910}"/>
    <cellStyle name="Currency 5 2 2 3 6 2 3" xfId="29563" xr:uid="{18415AAB-6BEF-425A-AAE2-4A8ABAE6619B}"/>
    <cellStyle name="Currency 5 2 2 3 6 2 4" xfId="21122" xr:uid="{FCE5089E-4DF3-4545-BF51-0D54C6358CC7}"/>
    <cellStyle name="Currency 5 2 2 3 6 2 5" xfId="12674" xr:uid="{3C8805D7-E08D-47CF-8D4A-0D97F0936FE6}"/>
    <cellStyle name="Currency 5 2 2 3 6 3" xfId="6297" xr:uid="{00000000-0005-0000-0000-0000ED0B0000}"/>
    <cellStyle name="Currency 5 2 2 3 6 3 2" xfId="31636" xr:uid="{FFC6F95F-221B-447D-B644-C78EC4F3365E}"/>
    <cellStyle name="Currency 5 2 2 3 6 3 3" xfId="23195" xr:uid="{240EC491-A7BB-48E2-A192-7683FA907DC1}"/>
    <cellStyle name="Currency 5 2 2 3 6 3 4" xfId="14747" xr:uid="{C46EA913-2B7F-4A8B-990F-4A783C953AF2}"/>
    <cellStyle name="Currency 5 2 2 3 6 4" xfId="27418" xr:uid="{5EDBB9D2-2F89-4B4F-8D5A-B184077D4595}"/>
    <cellStyle name="Currency 5 2 2 3 6 5" xfId="18977" xr:uid="{2FA29BCB-6BE6-4B5D-ADD0-A41A12757844}"/>
    <cellStyle name="Currency 5 2 2 3 6 6" xfId="10529" xr:uid="{1207B717-D765-409E-94BD-B7CD85D1E411}"/>
    <cellStyle name="Currency 5 2 2 3 7" xfId="2426" xr:uid="{00000000-0005-0000-0000-0000EE0B0000}"/>
    <cellStyle name="Currency 5 2 2 3 7 2" xfId="6710" xr:uid="{00000000-0005-0000-0000-0000EF0B0000}"/>
    <cellStyle name="Currency 5 2 2 3 7 2 2" xfId="32049" xr:uid="{B957A101-2DFD-4A7C-BB53-F25D523EAAD8}"/>
    <cellStyle name="Currency 5 2 2 3 7 2 3" xfId="23608" xr:uid="{818D1AD0-66CF-4A46-990E-9EA1C7E172DF}"/>
    <cellStyle name="Currency 5 2 2 3 7 2 4" xfId="15160" xr:uid="{FD606805-FB73-48B2-BAE8-69E7E03A0349}"/>
    <cellStyle name="Currency 5 2 2 3 7 3" xfId="27831" xr:uid="{F4F2254C-7F1A-48B0-9553-6837626E6567}"/>
    <cellStyle name="Currency 5 2 2 3 7 4" xfId="19390" xr:uid="{DE45A9B7-E5F5-4C5C-B47A-02853FB90452}"/>
    <cellStyle name="Currency 5 2 2 3 7 5" xfId="10942" xr:uid="{5560D206-6169-4007-A7A6-12755FCD9FF9}"/>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32366" xr:uid="{E1F9B1E5-B87F-41A9-9C2B-E40892583BD2}"/>
    <cellStyle name="Currency 5 2 2 3 9 2 3" xfId="23925" xr:uid="{91AE3105-BEA2-41AB-982B-729D0E1AA86C}"/>
    <cellStyle name="Currency 5 2 2 3 9 2 4" xfId="15477" xr:uid="{B95930BE-72CB-46A5-BC48-70FF93C1FB16}"/>
    <cellStyle name="Currency 5 2 2 3 9 3" xfId="28148" xr:uid="{890BF4C2-4833-4E09-9798-CA629031D76D}"/>
    <cellStyle name="Currency 5 2 2 3 9 4" xfId="19707" xr:uid="{A26C5EFC-E4E9-4BA4-9FCF-BCD85A4445FB}"/>
    <cellStyle name="Currency 5 2 2 3 9 5" xfId="11259" xr:uid="{CC4FCEFE-1701-4453-B162-076BA878BAC6}"/>
    <cellStyle name="Currency 5 2 2 4" xfId="202" xr:uid="{00000000-0005-0000-0000-0000F30B0000}"/>
    <cellStyle name="Currency 5 2 2 4 10" xfId="25767" xr:uid="{0FA1E9AF-D0FB-4124-81B5-C48C6B67399A}"/>
    <cellStyle name="Currency 5 2 2 4 11" xfId="17326" xr:uid="{2B8B9C59-CF33-470C-A207-5E011CCE6FBE}"/>
    <cellStyle name="Currency 5 2 2 4 12" xfId="8878" xr:uid="{8FCFDD4E-048B-425A-AFB1-07A2C46DCC39}"/>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32544" xr:uid="{54B479AC-6FEF-4DB6-B4AD-28BACA30C654}"/>
    <cellStyle name="Currency 5 2 2 4 2 2 2 3" xfId="24103" xr:uid="{1145CC62-9C34-4BF9-A209-F3247154F1A3}"/>
    <cellStyle name="Currency 5 2 2 4 2 2 2 4" xfId="15655" xr:uid="{C963D782-8D87-437A-AFEE-0E406A1FA099}"/>
    <cellStyle name="Currency 5 2 2 4 2 2 3" xfId="28326" xr:uid="{5A804B01-2D35-4B41-A66F-EBF425595F39}"/>
    <cellStyle name="Currency 5 2 2 4 2 2 4" xfId="19885" xr:uid="{2D351E0F-D9EC-425D-A34A-F130E742CAF2}"/>
    <cellStyle name="Currency 5 2 2 4 2 2 5" xfId="11437" xr:uid="{19B28972-A1F6-4017-A06F-0A3813810E05}"/>
    <cellStyle name="Currency 5 2 2 4 2 3" xfId="5060" xr:uid="{00000000-0005-0000-0000-0000F70B0000}"/>
    <cellStyle name="Currency 5 2 2 4 2 3 2" xfId="30399" xr:uid="{CD73EBF9-615D-4979-AB9F-AE6E00F8FEA0}"/>
    <cellStyle name="Currency 5 2 2 4 2 3 3" xfId="21958" xr:uid="{05D31862-4A49-481C-8FE8-2D8B043404AB}"/>
    <cellStyle name="Currency 5 2 2 4 2 3 4" xfId="13510" xr:uid="{894208D4-AD80-4658-9C7A-DF0653B0C85D}"/>
    <cellStyle name="Currency 5 2 2 4 2 4" xfId="26181" xr:uid="{A98F8833-2672-403A-8D0D-CCF2DD7A3CDA}"/>
    <cellStyle name="Currency 5 2 2 4 2 5" xfId="17740" xr:uid="{9AA9E991-79E5-42E8-A94C-1FEDD395224F}"/>
    <cellStyle name="Currency 5 2 2 4 2 6" xfId="9292" xr:uid="{4AE114D5-ABD5-4E81-A9A5-D8F5FCCD3B55}"/>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32957" xr:uid="{227FE928-D758-4814-996A-1A0009C1503B}"/>
    <cellStyle name="Currency 5 2 2 4 3 2 2 3" xfId="24516" xr:uid="{2BC1188D-51B2-4494-B3E6-FB07B3ABEE57}"/>
    <cellStyle name="Currency 5 2 2 4 3 2 2 4" xfId="16068" xr:uid="{3F9A383C-DF1A-4CA0-8FBA-9F097CB3FB31}"/>
    <cellStyle name="Currency 5 2 2 4 3 2 3" xfId="28739" xr:uid="{565AA710-0972-49AB-BF0A-8BBB02FD64D4}"/>
    <cellStyle name="Currency 5 2 2 4 3 2 4" xfId="20298" xr:uid="{60F4CCBF-B3FF-40D8-B3FA-A617632CDE7E}"/>
    <cellStyle name="Currency 5 2 2 4 3 2 5" xfId="11850" xr:uid="{5DF187C5-3747-4DF8-A9D7-87EC490A6319}"/>
    <cellStyle name="Currency 5 2 2 4 3 3" xfId="5473" xr:uid="{00000000-0005-0000-0000-0000FB0B0000}"/>
    <cellStyle name="Currency 5 2 2 4 3 3 2" xfId="30812" xr:uid="{4C9C2857-A3B3-40BA-B8B6-76A5259F55B3}"/>
    <cellStyle name="Currency 5 2 2 4 3 3 3" xfId="22371" xr:uid="{71C1DBF2-EA90-481C-BBFD-69F26DC6BEAB}"/>
    <cellStyle name="Currency 5 2 2 4 3 3 4" xfId="13923" xr:uid="{A7853512-2773-4024-93B7-661BBAC6A713}"/>
    <cellStyle name="Currency 5 2 2 4 3 4" xfId="26594" xr:uid="{477B72C5-C256-4026-8AF5-7ED1CB393AB6}"/>
    <cellStyle name="Currency 5 2 2 4 3 5" xfId="18153" xr:uid="{C579BCF3-A00E-4370-BFA5-81316FA37D0E}"/>
    <cellStyle name="Currency 5 2 2 4 3 6" xfId="9705" xr:uid="{0C03C837-74CB-4D9F-A258-7DAF2A7D56A7}"/>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33370" xr:uid="{87DF910C-6B54-47A9-A295-FCE00FDF385C}"/>
    <cellStyle name="Currency 5 2 2 4 4 2 2 3" xfId="24929" xr:uid="{A68D59A7-0DFB-408A-A7C6-B683ECE23BDB}"/>
    <cellStyle name="Currency 5 2 2 4 4 2 2 4" xfId="16481" xr:uid="{2FAF3283-D91D-453C-AA7C-753DFFEA96B2}"/>
    <cellStyle name="Currency 5 2 2 4 4 2 3" xfId="29152" xr:uid="{BA579443-48D8-48C1-8514-5794504AC0C2}"/>
    <cellStyle name="Currency 5 2 2 4 4 2 4" xfId="20711" xr:uid="{E3762F92-1EB3-43DA-A297-A6A52E44CE6E}"/>
    <cellStyle name="Currency 5 2 2 4 4 2 5" xfId="12263" xr:uid="{524806CC-3980-4C3F-B555-F23192859F8B}"/>
    <cellStyle name="Currency 5 2 2 4 4 3" xfId="5886" xr:uid="{00000000-0005-0000-0000-0000FF0B0000}"/>
    <cellStyle name="Currency 5 2 2 4 4 3 2" xfId="31225" xr:uid="{79C9C021-DAB6-4E52-9153-AA48B1F86C77}"/>
    <cellStyle name="Currency 5 2 2 4 4 3 3" xfId="22784" xr:uid="{863E31C6-DC46-4D10-AC99-E5019C098849}"/>
    <cellStyle name="Currency 5 2 2 4 4 3 4" xfId="14336" xr:uid="{A9E9AFB4-7313-4E9B-A4FE-C175EA789FEB}"/>
    <cellStyle name="Currency 5 2 2 4 4 4" xfId="27007" xr:uid="{029901DB-63C9-41C1-8953-D38CC232B7A5}"/>
    <cellStyle name="Currency 5 2 2 4 4 5" xfId="18566" xr:uid="{791C3523-1AE6-4DE0-8815-89094631FB7B}"/>
    <cellStyle name="Currency 5 2 2 4 4 6" xfId="10118" xr:uid="{16524897-ABF2-40A0-9911-9165D6B178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33783" xr:uid="{356AD164-C324-42BA-8FBE-46665B953D72}"/>
    <cellStyle name="Currency 5 2 2 4 5 2 2 3" xfId="25342" xr:uid="{4E0A1E97-8973-4545-A0EB-55D59EE01B94}"/>
    <cellStyle name="Currency 5 2 2 4 5 2 2 4" xfId="16894" xr:uid="{66DDC652-6C7D-4C76-BFF3-BB2CDDE8BABD}"/>
    <cellStyle name="Currency 5 2 2 4 5 2 3" xfId="29565" xr:uid="{D85692D6-AD51-44F0-84A8-FA9A7A1ED115}"/>
    <cellStyle name="Currency 5 2 2 4 5 2 4" xfId="21124" xr:uid="{7F4C59B7-DA66-4401-9B04-2745FC8B6FF1}"/>
    <cellStyle name="Currency 5 2 2 4 5 2 5" xfId="12676" xr:uid="{A17D2CFA-DF5C-4C90-9B2D-33784E2CB3BB}"/>
    <cellStyle name="Currency 5 2 2 4 5 3" xfId="6299" xr:uid="{00000000-0005-0000-0000-0000030C0000}"/>
    <cellStyle name="Currency 5 2 2 4 5 3 2" xfId="31638" xr:uid="{E0FF2381-FE72-4497-B940-07BCA6EEE1F1}"/>
    <cellStyle name="Currency 5 2 2 4 5 3 3" xfId="23197" xr:uid="{D0E942DE-ABD1-47DB-8778-BC8894990DFC}"/>
    <cellStyle name="Currency 5 2 2 4 5 3 4" xfId="14749" xr:uid="{CE8C64C1-C90B-481B-99F9-3EEA91F010C1}"/>
    <cellStyle name="Currency 5 2 2 4 5 4" xfId="27420" xr:uid="{155A17E6-8222-4202-BA43-A00C5B32AD07}"/>
    <cellStyle name="Currency 5 2 2 4 5 5" xfId="18979" xr:uid="{384B01BC-C298-4BBD-8E7B-C817E0209B49}"/>
    <cellStyle name="Currency 5 2 2 4 5 6" xfId="10531" xr:uid="{F35E71B7-6D7B-4B9F-91B9-C88805C5D3AF}"/>
    <cellStyle name="Currency 5 2 2 4 6" xfId="2428" xr:uid="{00000000-0005-0000-0000-0000040C0000}"/>
    <cellStyle name="Currency 5 2 2 4 6 2" xfId="6712" xr:uid="{00000000-0005-0000-0000-0000050C0000}"/>
    <cellStyle name="Currency 5 2 2 4 6 2 2" xfId="32051" xr:uid="{0F3D004A-F5F3-4BE1-A4EC-7F236746672C}"/>
    <cellStyle name="Currency 5 2 2 4 6 2 3" xfId="23610" xr:uid="{D0DAF613-9348-49AC-85A6-05C3E49544BD}"/>
    <cellStyle name="Currency 5 2 2 4 6 2 4" xfId="15162" xr:uid="{02387870-6D87-403C-9AA5-A2AF0B11F7B3}"/>
    <cellStyle name="Currency 5 2 2 4 6 3" xfId="27833" xr:uid="{8FF0EE60-3D3D-4427-B463-2787787AEF5B}"/>
    <cellStyle name="Currency 5 2 2 4 6 4" xfId="19392" xr:uid="{74261FBB-D15A-46A4-8079-97806BE0522D}"/>
    <cellStyle name="Currency 5 2 2 4 6 5" xfId="10944" xr:uid="{82AF3705-F648-4354-9F39-0E1612A8D1C0}"/>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32368" xr:uid="{F9D0A139-80DC-416F-926D-D474494670A4}"/>
    <cellStyle name="Currency 5 2 2 4 8 2 3" xfId="23927" xr:uid="{2BD78AED-3C38-4CBF-9FF0-D867DDA4A614}"/>
    <cellStyle name="Currency 5 2 2 4 8 2 4" xfId="15479" xr:uid="{83E1CD80-1CE4-4FC7-9CBF-5BD0CC65F36B}"/>
    <cellStyle name="Currency 5 2 2 4 8 3" xfId="28150" xr:uid="{10136F22-A916-4DF2-A795-5F2E236B130A}"/>
    <cellStyle name="Currency 5 2 2 4 8 4" xfId="19709" xr:uid="{8CB3BD91-EADD-47F4-BEB4-5278E16C4448}"/>
    <cellStyle name="Currency 5 2 2 4 8 5" xfId="11261" xr:uid="{6499A54E-93DC-4D5F-BDEF-3FE6793B9B58}"/>
    <cellStyle name="Currency 5 2 2 4 9" xfId="4646" xr:uid="{00000000-0005-0000-0000-0000090C0000}"/>
    <cellStyle name="Currency 5 2 2 4 9 2" xfId="29985" xr:uid="{25B5FB47-B9B4-48EE-A381-952E957B3690}"/>
    <cellStyle name="Currency 5 2 2 4 9 3" xfId="21544" xr:uid="{A46DCA17-8D94-4C45-9E99-EEAAC4E33DA3}"/>
    <cellStyle name="Currency 5 2 2 4 9 4" xfId="13096" xr:uid="{40135A75-0AE5-49DA-BF0E-4B90335A0210}"/>
    <cellStyle name="Currency 5 2 2 5" xfId="203" xr:uid="{00000000-0005-0000-0000-00000A0C0000}"/>
    <cellStyle name="Currency 5 2 2 5 10" xfId="25768" xr:uid="{33FB92E2-6C0A-4C1B-ACAA-4CB96E6551CB}"/>
    <cellStyle name="Currency 5 2 2 5 11" xfId="17327" xr:uid="{EC5F57D5-025C-49E7-96C3-167FD0EACB08}"/>
    <cellStyle name="Currency 5 2 2 5 12" xfId="8879" xr:uid="{8770E2B1-71BC-4CDC-8524-F25B72B52C5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32545" xr:uid="{D4F33195-D5BF-4A82-96E3-5D683B653EF3}"/>
    <cellStyle name="Currency 5 2 2 5 2 2 2 3" xfId="24104" xr:uid="{14A7565A-0F94-41E4-9C8B-E4CF4843D5D1}"/>
    <cellStyle name="Currency 5 2 2 5 2 2 2 4" xfId="15656" xr:uid="{4C7D1569-C798-4094-A436-90C525D82A46}"/>
    <cellStyle name="Currency 5 2 2 5 2 2 3" xfId="28327" xr:uid="{52183E1D-B905-4145-8DA9-3E0D2CAB5F0F}"/>
    <cellStyle name="Currency 5 2 2 5 2 2 4" xfId="19886" xr:uid="{36B17461-658F-4FF8-A152-3026AACE045D}"/>
    <cellStyle name="Currency 5 2 2 5 2 2 5" xfId="11438" xr:uid="{87F6580F-E846-4BD1-B46D-0C9BF108AB87}"/>
    <cellStyle name="Currency 5 2 2 5 2 3" xfId="5061" xr:uid="{00000000-0005-0000-0000-00000E0C0000}"/>
    <cellStyle name="Currency 5 2 2 5 2 3 2" xfId="30400" xr:uid="{D7BFF77E-C01C-4D5B-BE02-AB71337E87F6}"/>
    <cellStyle name="Currency 5 2 2 5 2 3 3" xfId="21959" xr:uid="{71E37B60-8B95-49F8-A3DC-069EC81182D6}"/>
    <cellStyle name="Currency 5 2 2 5 2 3 4" xfId="13511" xr:uid="{CC336125-2512-4096-AED7-938B0C020351}"/>
    <cellStyle name="Currency 5 2 2 5 2 4" xfId="26182" xr:uid="{CAA6D1D8-C7C1-4F99-BD63-3489EA7E5CF1}"/>
    <cellStyle name="Currency 5 2 2 5 2 5" xfId="17741" xr:uid="{5CA04212-61D0-46CC-B79D-E399E6E2A68C}"/>
    <cellStyle name="Currency 5 2 2 5 2 6" xfId="9293" xr:uid="{34518834-742B-4D54-9478-3A750C576FB5}"/>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32958" xr:uid="{DC49ED9E-3956-4F75-AFA8-127EC83BBDA0}"/>
    <cellStyle name="Currency 5 2 2 5 3 2 2 3" xfId="24517" xr:uid="{5A7284BC-FF43-4639-91D1-EB346FCE3CD2}"/>
    <cellStyle name="Currency 5 2 2 5 3 2 2 4" xfId="16069" xr:uid="{7269C38A-E708-4B0A-BA7B-F3A0F296F8E2}"/>
    <cellStyle name="Currency 5 2 2 5 3 2 3" xfId="28740" xr:uid="{242AA6AA-FF7D-4849-A588-2298AD588C60}"/>
    <cellStyle name="Currency 5 2 2 5 3 2 4" xfId="20299" xr:uid="{0D77C288-A67F-4FD7-BF2C-C2B3C7157EB7}"/>
    <cellStyle name="Currency 5 2 2 5 3 2 5" xfId="11851" xr:uid="{F0ECD43D-6580-4B67-AA10-2D8734085AEB}"/>
    <cellStyle name="Currency 5 2 2 5 3 3" xfId="5474" xr:uid="{00000000-0005-0000-0000-0000120C0000}"/>
    <cellStyle name="Currency 5 2 2 5 3 3 2" xfId="30813" xr:uid="{D2E5D14E-CD60-476D-A02B-8DB3B14C00A2}"/>
    <cellStyle name="Currency 5 2 2 5 3 3 3" xfId="22372" xr:uid="{BC0DC476-D548-4186-97E8-22314E393048}"/>
    <cellStyle name="Currency 5 2 2 5 3 3 4" xfId="13924" xr:uid="{442B0703-AE56-4321-89E3-3ED8DA953720}"/>
    <cellStyle name="Currency 5 2 2 5 3 4" xfId="26595" xr:uid="{8676EEBA-B037-4830-A9FE-D0F3933940BD}"/>
    <cellStyle name="Currency 5 2 2 5 3 5" xfId="18154" xr:uid="{ED82FA82-590A-4061-B749-89C865F3225F}"/>
    <cellStyle name="Currency 5 2 2 5 3 6" xfId="9706" xr:uid="{111665A9-BA39-4443-A961-E3BD5DC4A35D}"/>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33371" xr:uid="{35BF2F51-036F-4275-A893-E9543F9A7149}"/>
    <cellStyle name="Currency 5 2 2 5 4 2 2 3" xfId="24930" xr:uid="{78A3CB28-B7E5-4967-87BE-7D6D30699F63}"/>
    <cellStyle name="Currency 5 2 2 5 4 2 2 4" xfId="16482" xr:uid="{EC8F4E20-0020-41EE-9FB5-55EFB7087D87}"/>
    <cellStyle name="Currency 5 2 2 5 4 2 3" xfId="29153" xr:uid="{A95D7FF0-EEA6-4386-9EAE-966A60B92E9D}"/>
    <cellStyle name="Currency 5 2 2 5 4 2 4" xfId="20712" xr:uid="{84F1EFA7-9ACE-4F44-B81F-243B447FA302}"/>
    <cellStyle name="Currency 5 2 2 5 4 2 5" xfId="12264" xr:uid="{ED57E94B-7D9C-4250-B096-4F48BD346CE5}"/>
    <cellStyle name="Currency 5 2 2 5 4 3" xfId="5887" xr:uid="{00000000-0005-0000-0000-0000160C0000}"/>
    <cellStyle name="Currency 5 2 2 5 4 3 2" xfId="31226" xr:uid="{9DE5290C-64E3-44D4-9A74-A63A8A7D54F5}"/>
    <cellStyle name="Currency 5 2 2 5 4 3 3" xfId="22785" xr:uid="{26DE4D01-5991-423F-86A8-8BA8434E25EE}"/>
    <cellStyle name="Currency 5 2 2 5 4 3 4" xfId="14337" xr:uid="{640CCE93-FBCA-4A5A-80E2-D1F2B51FC62F}"/>
    <cellStyle name="Currency 5 2 2 5 4 4" xfId="27008" xr:uid="{A070843D-823C-44B8-AF8E-1FFD35167463}"/>
    <cellStyle name="Currency 5 2 2 5 4 5" xfId="18567" xr:uid="{187E2CC2-C2F4-4C32-B1B2-F1789EEBDBDA}"/>
    <cellStyle name="Currency 5 2 2 5 4 6" xfId="10119" xr:uid="{FBCC9C79-3C5E-4B98-8F9B-DD655B6995D5}"/>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33784" xr:uid="{8B654E58-352E-421C-8C7C-569176D8EA0A}"/>
    <cellStyle name="Currency 5 2 2 5 5 2 2 3" xfId="25343" xr:uid="{9759BE9C-6973-4C4E-A3F4-A5D6F698EB27}"/>
    <cellStyle name="Currency 5 2 2 5 5 2 2 4" xfId="16895" xr:uid="{9DC37D27-0517-4C4F-B43D-74891B6DD70F}"/>
    <cellStyle name="Currency 5 2 2 5 5 2 3" xfId="29566" xr:uid="{9F4E4658-EF47-4E7A-BACF-DBDF0BD33A66}"/>
    <cellStyle name="Currency 5 2 2 5 5 2 4" xfId="21125" xr:uid="{AEAE3D2F-E750-4F38-9114-ED153CC794E0}"/>
    <cellStyle name="Currency 5 2 2 5 5 2 5" xfId="12677" xr:uid="{3530680A-C5C3-4515-99F7-63841DDBD6C5}"/>
    <cellStyle name="Currency 5 2 2 5 5 3" xfId="6300" xr:uid="{00000000-0005-0000-0000-00001A0C0000}"/>
    <cellStyle name="Currency 5 2 2 5 5 3 2" xfId="31639" xr:uid="{31203D94-4EAF-48B4-A3BD-1F8E0BC3C9E5}"/>
    <cellStyle name="Currency 5 2 2 5 5 3 3" xfId="23198" xr:uid="{6725701D-A9D5-4321-B32F-89658902E994}"/>
    <cellStyle name="Currency 5 2 2 5 5 3 4" xfId="14750" xr:uid="{C64FA354-FFD8-4912-A4B0-C9AA63432285}"/>
    <cellStyle name="Currency 5 2 2 5 5 4" xfId="27421" xr:uid="{6E7EE503-DEEC-4B46-9671-6DD1D975D271}"/>
    <cellStyle name="Currency 5 2 2 5 5 5" xfId="18980" xr:uid="{CAB9F3B6-6205-425B-B4DC-870AF635FEBB}"/>
    <cellStyle name="Currency 5 2 2 5 5 6" xfId="10532" xr:uid="{3F174346-A839-4C9E-B391-6C6EB99D8C4A}"/>
    <cellStyle name="Currency 5 2 2 5 6" xfId="2429" xr:uid="{00000000-0005-0000-0000-00001B0C0000}"/>
    <cellStyle name="Currency 5 2 2 5 6 2" xfId="6713" xr:uid="{00000000-0005-0000-0000-00001C0C0000}"/>
    <cellStyle name="Currency 5 2 2 5 6 2 2" xfId="32052" xr:uid="{7A04A62A-5FFB-49AA-BEF2-2F3CD3245C26}"/>
    <cellStyle name="Currency 5 2 2 5 6 2 3" xfId="23611" xr:uid="{5F03DEB5-972D-4D08-9E81-BBC3D864D18B}"/>
    <cellStyle name="Currency 5 2 2 5 6 2 4" xfId="15163" xr:uid="{84F6F47C-A714-4E72-B77F-8F25F954766B}"/>
    <cellStyle name="Currency 5 2 2 5 6 3" xfId="27834" xr:uid="{13CE545C-FED8-49A8-96B3-FE371399D215}"/>
    <cellStyle name="Currency 5 2 2 5 6 4" xfId="19393" xr:uid="{F2352754-C733-46FD-AF3B-FF293CB5F9AE}"/>
    <cellStyle name="Currency 5 2 2 5 6 5" xfId="10945" xr:uid="{A9BFB846-38C6-4D88-8E68-32E93A8B2DF8}"/>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32369" xr:uid="{21B11AE4-95F5-4A83-BF49-6982FEC7F2CF}"/>
    <cellStyle name="Currency 5 2 2 5 8 2 3" xfId="23928" xr:uid="{5A69B5ED-7304-4961-B590-831E33BA48AC}"/>
    <cellStyle name="Currency 5 2 2 5 8 2 4" xfId="15480" xr:uid="{516A0E12-497C-4D3F-BA1C-63DD100D2A2C}"/>
    <cellStyle name="Currency 5 2 2 5 8 3" xfId="28151" xr:uid="{8A043119-F35A-4A27-B2EC-7EBB6F8C87E5}"/>
    <cellStyle name="Currency 5 2 2 5 8 4" xfId="19710" xr:uid="{E35BE4BB-8587-4676-A8C5-EB558D5DABC8}"/>
    <cellStyle name="Currency 5 2 2 5 8 5" xfId="11262" xr:uid="{EC8609F3-602C-45FA-B550-97F27755DE5E}"/>
    <cellStyle name="Currency 5 2 2 5 9" xfId="4647" xr:uid="{00000000-0005-0000-0000-0000200C0000}"/>
    <cellStyle name="Currency 5 2 2 5 9 2" xfId="29986" xr:uid="{49108DAC-221C-4215-8636-78123FCFDE8A}"/>
    <cellStyle name="Currency 5 2 2 5 9 3" xfId="21545" xr:uid="{00982F4E-E993-4343-BEA0-A041A8D01E27}"/>
    <cellStyle name="Currency 5 2 2 5 9 4" xfId="13097" xr:uid="{B0BEF4B4-0B52-45AA-91C0-18FDF045D14D}"/>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29987" xr:uid="{37E6E153-FC5E-4CD3-BE08-60AAC8458B61}"/>
    <cellStyle name="Currency 5 2 4 10 3" xfId="21546" xr:uid="{1C2DB4CB-6F1F-481C-902A-FB1F7B74D467}"/>
    <cellStyle name="Currency 5 2 4 10 4" xfId="13098" xr:uid="{F6597364-57BE-43FB-A076-BF9AFCFE4EF4}"/>
    <cellStyle name="Currency 5 2 4 11" xfId="25769" xr:uid="{341EA327-9411-4747-9F97-C925BF840DD9}"/>
    <cellStyle name="Currency 5 2 4 12" xfId="17328" xr:uid="{FC9A6311-79EB-4425-8092-52F802E5B1F1}"/>
    <cellStyle name="Currency 5 2 4 13" xfId="8880" xr:uid="{76B4B578-CA37-4B69-88AC-19F52DC059C2}"/>
    <cellStyle name="Currency 5 2 4 2" xfId="206" xr:uid="{00000000-0005-0000-0000-0000250C0000}"/>
    <cellStyle name="Currency 5 2 4 2 10" xfId="25770" xr:uid="{70CB01B4-B76D-46FC-AA47-C603247DEAE2}"/>
    <cellStyle name="Currency 5 2 4 2 11" xfId="17329" xr:uid="{47DFBD3A-98B6-469A-BC80-6F8C5E20CEBE}"/>
    <cellStyle name="Currency 5 2 4 2 12" xfId="8881" xr:uid="{ADD2E1E2-D0F5-45B7-865E-4E2660A2067B}"/>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32547" xr:uid="{4663448C-6F2E-4633-8A86-A139BAFE5589}"/>
    <cellStyle name="Currency 5 2 4 2 2 2 2 3" xfId="24106" xr:uid="{799B79A3-D824-4CD8-AB48-B236B4C30013}"/>
    <cellStyle name="Currency 5 2 4 2 2 2 2 4" xfId="15658" xr:uid="{689621C7-1068-4900-B819-83B17BD2B863}"/>
    <cellStyle name="Currency 5 2 4 2 2 2 3" xfId="28329" xr:uid="{EC7AD48B-48EC-4FA9-9E6B-2F30440A4976}"/>
    <cellStyle name="Currency 5 2 4 2 2 2 4" xfId="19888" xr:uid="{F1008137-E66F-4705-99FC-47DA7129AA15}"/>
    <cellStyle name="Currency 5 2 4 2 2 2 5" xfId="11440" xr:uid="{85D47433-DA3E-4883-963A-550C0A3F45D2}"/>
    <cellStyle name="Currency 5 2 4 2 2 3" xfId="5063" xr:uid="{00000000-0005-0000-0000-0000290C0000}"/>
    <cellStyle name="Currency 5 2 4 2 2 3 2" xfId="30402" xr:uid="{6AF0F909-7E2A-4112-924B-A233C55D6FC1}"/>
    <cellStyle name="Currency 5 2 4 2 2 3 3" xfId="21961" xr:uid="{33855C69-21F0-4DA8-93EE-1F2D660F0DA8}"/>
    <cellStyle name="Currency 5 2 4 2 2 3 4" xfId="13513" xr:uid="{936EDE1E-61BC-47F7-BDF9-ADA04097A87C}"/>
    <cellStyle name="Currency 5 2 4 2 2 4" xfId="26184" xr:uid="{833B6BE1-6B8E-4C99-9EB4-2E78C543D737}"/>
    <cellStyle name="Currency 5 2 4 2 2 5" xfId="17743" xr:uid="{D65B6AC1-968B-4984-967C-A974112F063D}"/>
    <cellStyle name="Currency 5 2 4 2 2 6" xfId="9295" xr:uid="{FDDF2960-19D2-48A5-A0E9-3A846262127A}"/>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32960" xr:uid="{B8203119-D712-4901-B564-5AEE0F6A6C4A}"/>
    <cellStyle name="Currency 5 2 4 2 3 2 2 3" xfId="24519" xr:uid="{52CA7E0A-C9DD-447E-A948-F1CD22B02B59}"/>
    <cellStyle name="Currency 5 2 4 2 3 2 2 4" xfId="16071" xr:uid="{7186880C-4DA2-43EE-9E3F-D29011D0D429}"/>
    <cellStyle name="Currency 5 2 4 2 3 2 3" xfId="28742" xr:uid="{DE1BC9C1-4E3A-4237-80E1-8815820589F4}"/>
    <cellStyle name="Currency 5 2 4 2 3 2 4" xfId="20301" xr:uid="{9AA1902C-866E-4615-AE6C-2881D012DB2D}"/>
    <cellStyle name="Currency 5 2 4 2 3 2 5" xfId="11853" xr:uid="{BC9BF1C1-A8DA-47F1-BF89-9EB0D8E25922}"/>
    <cellStyle name="Currency 5 2 4 2 3 3" xfId="5476" xr:uid="{00000000-0005-0000-0000-00002D0C0000}"/>
    <cellStyle name="Currency 5 2 4 2 3 3 2" xfId="30815" xr:uid="{B7A75F58-EBD2-43F7-8E1D-8DA9C0EF1C54}"/>
    <cellStyle name="Currency 5 2 4 2 3 3 3" xfId="22374" xr:uid="{1C0A4005-1248-4FB0-BEC4-891D6254FD4D}"/>
    <cellStyle name="Currency 5 2 4 2 3 3 4" xfId="13926" xr:uid="{6341506A-EC94-4160-B6F9-4E4AFBCC8FFE}"/>
    <cellStyle name="Currency 5 2 4 2 3 4" xfId="26597" xr:uid="{C9F589F2-1202-4C4D-8045-A79BD4890FE7}"/>
    <cellStyle name="Currency 5 2 4 2 3 5" xfId="18156" xr:uid="{0406D619-0EEF-46B5-94C0-B55E98EFB04F}"/>
    <cellStyle name="Currency 5 2 4 2 3 6" xfId="9708" xr:uid="{10C55478-A701-4696-A984-E18C5C38B8E7}"/>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33373" xr:uid="{CDDFFD0C-A89B-42D7-ABB0-84AAF40FF349}"/>
    <cellStyle name="Currency 5 2 4 2 4 2 2 3" xfId="24932" xr:uid="{65B22B13-B017-4F6C-9F9C-B850C9C14CF5}"/>
    <cellStyle name="Currency 5 2 4 2 4 2 2 4" xfId="16484" xr:uid="{79B7EBAE-53A4-4F78-85C8-74015F25F481}"/>
    <cellStyle name="Currency 5 2 4 2 4 2 3" xfId="29155" xr:uid="{03B749E1-75DC-4C8C-AA6E-BDAD2781B931}"/>
    <cellStyle name="Currency 5 2 4 2 4 2 4" xfId="20714" xr:uid="{BC8EC5CD-DF9A-47D7-8421-6423E9F38254}"/>
    <cellStyle name="Currency 5 2 4 2 4 2 5" xfId="12266" xr:uid="{6A6879DC-8C04-4CB1-9E02-C70FA70FF38E}"/>
    <cellStyle name="Currency 5 2 4 2 4 3" xfId="5889" xr:uid="{00000000-0005-0000-0000-0000310C0000}"/>
    <cellStyle name="Currency 5 2 4 2 4 3 2" xfId="31228" xr:uid="{98BB8F53-F6FA-4B1A-9DE8-FB6CFE03E1D7}"/>
    <cellStyle name="Currency 5 2 4 2 4 3 3" xfId="22787" xr:uid="{12599C4B-CE59-41DF-88C3-52704C6C3EC9}"/>
    <cellStyle name="Currency 5 2 4 2 4 3 4" xfId="14339" xr:uid="{EB4EE9D7-A783-4B5F-AF1A-6DC6272B0350}"/>
    <cellStyle name="Currency 5 2 4 2 4 4" xfId="27010" xr:uid="{56A155F8-0ABA-4217-BEFF-FC9AC1DCD4FF}"/>
    <cellStyle name="Currency 5 2 4 2 4 5" xfId="18569" xr:uid="{8CEA944C-1137-4C68-960A-E8DA15665903}"/>
    <cellStyle name="Currency 5 2 4 2 4 6" xfId="10121" xr:uid="{65E49789-BECE-4232-A03D-735DEED06F28}"/>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33786" xr:uid="{5297CBC9-9BBA-46B9-B10B-6EBE5E809F8B}"/>
    <cellStyle name="Currency 5 2 4 2 5 2 2 3" xfId="25345" xr:uid="{FBFEB1A4-58B1-44AD-81A7-83091037EAB0}"/>
    <cellStyle name="Currency 5 2 4 2 5 2 2 4" xfId="16897" xr:uid="{87941FD2-DC85-4DA4-8555-872435013368}"/>
    <cellStyle name="Currency 5 2 4 2 5 2 3" xfId="29568" xr:uid="{CC511262-81FA-4D68-8E81-B62A66086DE9}"/>
    <cellStyle name="Currency 5 2 4 2 5 2 4" xfId="21127" xr:uid="{185E89B3-040C-4335-B78F-A56F3C893144}"/>
    <cellStyle name="Currency 5 2 4 2 5 2 5" xfId="12679" xr:uid="{04B3BE39-EE7C-48A4-93FC-4E099184664E}"/>
    <cellStyle name="Currency 5 2 4 2 5 3" xfId="6302" xr:uid="{00000000-0005-0000-0000-0000350C0000}"/>
    <cellStyle name="Currency 5 2 4 2 5 3 2" xfId="31641" xr:uid="{AA202C82-E0D8-4814-A04A-51E4B794E423}"/>
    <cellStyle name="Currency 5 2 4 2 5 3 3" xfId="23200" xr:uid="{73284AA3-A47E-4D6C-9F7A-0BD3B0A3FA9E}"/>
    <cellStyle name="Currency 5 2 4 2 5 3 4" xfId="14752" xr:uid="{28332394-2D17-4CAA-9D10-3F8BD66FBFA0}"/>
    <cellStyle name="Currency 5 2 4 2 5 4" xfId="27423" xr:uid="{C613D443-1E7B-4791-90E2-E976C2C17684}"/>
    <cellStyle name="Currency 5 2 4 2 5 5" xfId="18982" xr:uid="{81358506-20EC-4E4E-89E8-6D9DA5585C5F}"/>
    <cellStyle name="Currency 5 2 4 2 5 6" xfId="10534" xr:uid="{51D2D3F8-F2D2-44B8-98DE-2992C12AA46E}"/>
    <cellStyle name="Currency 5 2 4 2 6" xfId="2431" xr:uid="{00000000-0005-0000-0000-0000360C0000}"/>
    <cellStyle name="Currency 5 2 4 2 6 2" xfId="6715" xr:uid="{00000000-0005-0000-0000-0000370C0000}"/>
    <cellStyle name="Currency 5 2 4 2 6 2 2" xfId="32054" xr:uid="{47AA7900-9D9A-4EA0-B046-9F9B86C2FC70}"/>
    <cellStyle name="Currency 5 2 4 2 6 2 3" xfId="23613" xr:uid="{E9262078-F1CA-4933-9FF4-D6FD374D257F}"/>
    <cellStyle name="Currency 5 2 4 2 6 2 4" xfId="15165" xr:uid="{FCE5DE04-9430-4B66-8286-F913DD7DF350}"/>
    <cellStyle name="Currency 5 2 4 2 6 3" xfId="27836" xr:uid="{EDFC13F6-E829-440E-8799-61C5D365FF70}"/>
    <cellStyle name="Currency 5 2 4 2 6 4" xfId="19395" xr:uid="{D6558DE1-EDDF-482E-BBD0-A668C0FDF932}"/>
    <cellStyle name="Currency 5 2 4 2 6 5" xfId="10947" xr:uid="{58DCF121-3737-48CB-B752-E1567D563E87}"/>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32371" xr:uid="{CB9B4486-40BD-4D61-8CA7-F2E0801851CC}"/>
    <cellStyle name="Currency 5 2 4 2 8 2 3" xfId="23930" xr:uid="{3B2F0D72-11FD-4AAA-9C6C-A59ABCF1057C}"/>
    <cellStyle name="Currency 5 2 4 2 8 2 4" xfId="15482" xr:uid="{E0B5E341-EAE9-424A-B86D-72A70A6CA3F8}"/>
    <cellStyle name="Currency 5 2 4 2 8 3" xfId="28153" xr:uid="{EEF6B0C6-9553-41E2-A986-488FA5842490}"/>
    <cellStyle name="Currency 5 2 4 2 8 4" xfId="19712" xr:uid="{EDDC6286-748C-44A4-A1F4-6DC43F201993}"/>
    <cellStyle name="Currency 5 2 4 2 8 5" xfId="11264" xr:uid="{363BABAA-5DC9-432F-902A-41E62BF6FF22}"/>
    <cellStyle name="Currency 5 2 4 2 9" xfId="4649" xr:uid="{00000000-0005-0000-0000-00003B0C0000}"/>
    <cellStyle name="Currency 5 2 4 2 9 2" xfId="29988" xr:uid="{4E6A6427-652B-4360-BD63-B75B613D58EA}"/>
    <cellStyle name="Currency 5 2 4 2 9 3" xfId="21547" xr:uid="{E881501E-5B13-4E06-9914-F1C1BAC8F421}"/>
    <cellStyle name="Currency 5 2 4 2 9 4" xfId="13099" xr:uid="{F1369D64-379C-461B-AF3F-773D687FD4A7}"/>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32546" xr:uid="{BCA2B23E-3654-4797-934A-4FBDB1E3FC65}"/>
    <cellStyle name="Currency 5 2 4 3 2 2 3" xfId="24105" xr:uid="{B11D6337-C9A9-4B6C-895F-D45C58E2C8C0}"/>
    <cellStyle name="Currency 5 2 4 3 2 2 4" xfId="15657" xr:uid="{95448679-6DD0-4B70-9598-BF3AC8174D59}"/>
    <cellStyle name="Currency 5 2 4 3 2 3" xfId="28328" xr:uid="{B3A78EEB-67F2-4885-AB7C-B08A64A959B9}"/>
    <cellStyle name="Currency 5 2 4 3 2 4" xfId="19887" xr:uid="{80FCF540-ECE4-4210-9414-EBA82AD24236}"/>
    <cellStyle name="Currency 5 2 4 3 2 5" xfId="11439" xr:uid="{A444F40D-FF16-42AD-BCDE-8E1FDFEBB850}"/>
    <cellStyle name="Currency 5 2 4 3 3" xfId="5062" xr:uid="{00000000-0005-0000-0000-00003F0C0000}"/>
    <cellStyle name="Currency 5 2 4 3 3 2" xfId="30401" xr:uid="{7778ED81-413A-4920-9D8C-461899B5986C}"/>
    <cellStyle name="Currency 5 2 4 3 3 3" xfId="21960" xr:uid="{6EEFD806-2E32-47FF-B92A-EDDE2D0337D2}"/>
    <cellStyle name="Currency 5 2 4 3 3 4" xfId="13512" xr:uid="{5E463E5B-8E2A-4759-BE6F-42A943DED493}"/>
    <cellStyle name="Currency 5 2 4 3 4" xfId="26183" xr:uid="{D5794412-26C9-48BC-BB36-8A3D30590CAF}"/>
    <cellStyle name="Currency 5 2 4 3 5" xfId="17742" xr:uid="{601AF1E0-6974-4746-8336-FB1C6A248E96}"/>
    <cellStyle name="Currency 5 2 4 3 6" xfId="9294" xr:uid="{EBB2512F-4FC5-4D0E-B6D8-456489DFCB40}"/>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32959" xr:uid="{2766267E-CEB8-4BFE-8FD1-905275BF8798}"/>
    <cellStyle name="Currency 5 2 4 4 2 2 3" xfId="24518" xr:uid="{23AF92C5-3160-435E-8B37-3E4EEA5BD4B6}"/>
    <cellStyle name="Currency 5 2 4 4 2 2 4" xfId="16070" xr:uid="{DAE4144F-EC7F-428A-974D-9D87A97B581C}"/>
    <cellStyle name="Currency 5 2 4 4 2 3" xfId="28741" xr:uid="{56302504-D2BD-404F-ACD2-943E05978FBC}"/>
    <cellStyle name="Currency 5 2 4 4 2 4" xfId="20300" xr:uid="{123371CE-D03C-4D4D-9CC7-C1482C727D6C}"/>
    <cellStyle name="Currency 5 2 4 4 2 5" xfId="11852" xr:uid="{7025CB5E-0687-48A3-92BB-83DADE077D5B}"/>
    <cellStyle name="Currency 5 2 4 4 3" xfId="5475" xr:uid="{00000000-0005-0000-0000-0000430C0000}"/>
    <cellStyle name="Currency 5 2 4 4 3 2" xfId="30814" xr:uid="{A77E2016-EF60-4C14-B1D7-918D83BC5B0D}"/>
    <cellStyle name="Currency 5 2 4 4 3 3" xfId="22373" xr:uid="{D4897024-0FD2-40CE-B291-22E41075B36B}"/>
    <cellStyle name="Currency 5 2 4 4 3 4" xfId="13925" xr:uid="{5B6E91D8-2B9E-4E0C-86CB-7C18A35195FB}"/>
    <cellStyle name="Currency 5 2 4 4 4" xfId="26596" xr:uid="{5D1E6918-8B0D-4A3E-ACE2-E7DF132A7DDF}"/>
    <cellStyle name="Currency 5 2 4 4 5" xfId="18155" xr:uid="{1C714FCB-50D8-4268-BB9D-0671EFC074E6}"/>
    <cellStyle name="Currency 5 2 4 4 6" xfId="9707" xr:uid="{7119C7BA-7FC8-4DC7-B8A8-B08EE5CB439C}"/>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33372" xr:uid="{BD9BA7DE-6742-4051-81FA-FBC736697F7B}"/>
    <cellStyle name="Currency 5 2 4 5 2 2 3" xfId="24931" xr:uid="{028ED543-8E76-48B7-9677-163F83D9CF2C}"/>
    <cellStyle name="Currency 5 2 4 5 2 2 4" xfId="16483" xr:uid="{F0B7049C-3657-4425-94F2-47C0EEC7DAD4}"/>
    <cellStyle name="Currency 5 2 4 5 2 3" xfId="29154" xr:uid="{93ABDA9C-C1BD-4231-A887-AC538788FEFB}"/>
    <cellStyle name="Currency 5 2 4 5 2 4" xfId="20713" xr:uid="{FDC60424-628B-40AE-8DAA-7777CF5FA5D2}"/>
    <cellStyle name="Currency 5 2 4 5 2 5" xfId="12265" xr:uid="{FA9662B6-1910-4EFC-A3CF-747867841AD5}"/>
    <cellStyle name="Currency 5 2 4 5 3" xfId="5888" xr:uid="{00000000-0005-0000-0000-0000470C0000}"/>
    <cellStyle name="Currency 5 2 4 5 3 2" xfId="31227" xr:uid="{49F3215B-A0E3-4F5F-99AC-F068D834B1B1}"/>
    <cellStyle name="Currency 5 2 4 5 3 3" xfId="22786" xr:uid="{70D03E97-4DD0-41BD-A394-4E83594A3A66}"/>
    <cellStyle name="Currency 5 2 4 5 3 4" xfId="14338" xr:uid="{B5F1A495-CDA9-4E5D-BD3C-BDF20BB4421E}"/>
    <cellStyle name="Currency 5 2 4 5 4" xfId="27009" xr:uid="{2466497B-A081-4C18-B327-67C096D87EA1}"/>
    <cellStyle name="Currency 5 2 4 5 5" xfId="18568" xr:uid="{808253C8-79EF-41D5-9142-1B8449A9BCBA}"/>
    <cellStyle name="Currency 5 2 4 5 6" xfId="10120" xr:uid="{2D88C697-53A3-4372-AD5C-7E9B446C90FC}"/>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33785" xr:uid="{245FAE2A-B6B9-4597-BD4C-6B807E03C32C}"/>
    <cellStyle name="Currency 5 2 4 6 2 2 3" xfId="25344" xr:uid="{FA93301C-1C5B-41E0-9D4F-FB609892CD7F}"/>
    <cellStyle name="Currency 5 2 4 6 2 2 4" xfId="16896" xr:uid="{9BCD1B3D-56B1-44BF-BBF3-F0F388AD6266}"/>
    <cellStyle name="Currency 5 2 4 6 2 3" xfId="29567" xr:uid="{4501426B-1AC0-4211-8929-C00DD8285395}"/>
    <cellStyle name="Currency 5 2 4 6 2 4" xfId="21126" xr:uid="{A6B41F8D-3D2B-43B2-A961-2945D166A24E}"/>
    <cellStyle name="Currency 5 2 4 6 2 5" xfId="12678" xr:uid="{A2350CCD-F3F1-4CA3-90FB-6493DF2EE1D3}"/>
    <cellStyle name="Currency 5 2 4 6 3" xfId="6301" xr:uid="{00000000-0005-0000-0000-00004B0C0000}"/>
    <cellStyle name="Currency 5 2 4 6 3 2" xfId="31640" xr:uid="{A5799AA6-8D0D-4F6A-A23A-41E9DE5C0A52}"/>
    <cellStyle name="Currency 5 2 4 6 3 3" xfId="23199" xr:uid="{3332F590-8253-49FF-958F-AFB2026851EC}"/>
    <cellStyle name="Currency 5 2 4 6 3 4" xfId="14751" xr:uid="{58796533-75A8-491C-8E8C-0E456DA40024}"/>
    <cellStyle name="Currency 5 2 4 6 4" xfId="27422" xr:uid="{BB8FCB15-98AD-4752-A28A-27B0B6F792EE}"/>
    <cellStyle name="Currency 5 2 4 6 5" xfId="18981" xr:uid="{AE2D9527-B856-4F30-9986-77204B2B7660}"/>
    <cellStyle name="Currency 5 2 4 6 6" xfId="10533" xr:uid="{4E9EFE94-7D50-439C-8972-3EED3B241EF8}"/>
    <cellStyle name="Currency 5 2 4 7" xfId="2430" xr:uid="{00000000-0005-0000-0000-00004C0C0000}"/>
    <cellStyle name="Currency 5 2 4 7 2" xfId="6714" xr:uid="{00000000-0005-0000-0000-00004D0C0000}"/>
    <cellStyle name="Currency 5 2 4 7 2 2" xfId="32053" xr:uid="{B59BCC5B-595E-4884-AB88-FF46F462F8D8}"/>
    <cellStyle name="Currency 5 2 4 7 2 3" xfId="23612" xr:uid="{1034036A-7D79-41EE-A620-6E516649BB0D}"/>
    <cellStyle name="Currency 5 2 4 7 2 4" xfId="15164" xr:uid="{1349C6B6-A311-4B8D-A0A6-D9FF02E35F8C}"/>
    <cellStyle name="Currency 5 2 4 7 3" xfId="27835" xr:uid="{2C8661DD-3E01-41EB-89BF-285F622C61AF}"/>
    <cellStyle name="Currency 5 2 4 7 4" xfId="19394" xr:uid="{28E4E933-590A-42AF-814B-F5A0ED4E34FE}"/>
    <cellStyle name="Currency 5 2 4 7 5" xfId="10946" xr:uid="{9BFA064C-B0B4-4795-84AD-E09B4FCAB560}"/>
    <cellStyle name="Currency 5 2 4 8" xfId="2727" xr:uid="{00000000-0005-0000-0000-00004E0C0000}"/>
    <cellStyle name="Currency 5 2 4 9" xfId="2808" xr:uid="{00000000-0005-0000-0000-00004F0C0000}"/>
    <cellStyle name="Currency 5 2 4 9 2" xfId="7031" xr:uid="{00000000-0005-0000-0000-0000500C0000}"/>
    <cellStyle name="Currency 5 2 4 9 2 2" xfId="32370" xr:uid="{1B8492B6-563C-4F1A-A6E0-9D53E8601DCA}"/>
    <cellStyle name="Currency 5 2 4 9 2 3" xfId="23929" xr:uid="{E9338F09-6A30-4910-A6C4-D82856F15F07}"/>
    <cellStyle name="Currency 5 2 4 9 2 4" xfId="15481" xr:uid="{C8E35F5A-0BAF-4EEA-ADD8-44E7E884451D}"/>
    <cellStyle name="Currency 5 2 4 9 3" xfId="28152" xr:uid="{0552A656-29DB-4DDB-B629-B2F522883A1A}"/>
    <cellStyle name="Currency 5 2 4 9 4" xfId="19711" xr:uid="{24908067-5185-4663-AED0-5C707B0F3D8B}"/>
    <cellStyle name="Currency 5 2 4 9 5" xfId="11263" xr:uid="{A4E189A9-D571-4B52-B208-09E1FE42400C}"/>
    <cellStyle name="Currency 5 2 5" xfId="207" xr:uid="{00000000-0005-0000-0000-0000510C0000}"/>
    <cellStyle name="Currency 5 2 5 10" xfId="25771" xr:uid="{AE05B049-63A9-40E8-B3CE-6FC2EE57F5EF}"/>
    <cellStyle name="Currency 5 2 5 11" xfId="17330" xr:uid="{F8C0732D-2737-4AE4-8E05-2419F41996FC}"/>
    <cellStyle name="Currency 5 2 5 12" xfId="8882" xr:uid="{A7D47845-188D-4122-A8F8-68798DDF36AF}"/>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32548" xr:uid="{334673A7-6BFC-4881-8051-78771F667E4D}"/>
    <cellStyle name="Currency 5 2 5 2 2 2 3" xfId="24107" xr:uid="{6229469E-C7A0-4027-86EA-C767386AE5C8}"/>
    <cellStyle name="Currency 5 2 5 2 2 2 4" xfId="15659" xr:uid="{0AC41A78-3F75-4980-91A2-D3EEDDE0CB35}"/>
    <cellStyle name="Currency 5 2 5 2 2 3" xfId="28330" xr:uid="{CC154A43-C090-421F-9939-129F93447B89}"/>
    <cellStyle name="Currency 5 2 5 2 2 4" xfId="19889" xr:uid="{5DEC1D49-F769-4F42-8C0D-96740E50472C}"/>
    <cellStyle name="Currency 5 2 5 2 2 5" xfId="11441" xr:uid="{4D562A96-CBF9-4B54-8BED-826D1CA86702}"/>
    <cellStyle name="Currency 5 2 5 2 3" xfId="5064" xr:uid="{00000000-0005-0000-0000-0000550C0000}"/>
    <cellStyle name="Currency 5 2 5 2 3 2" xfId="30403" xr:uid="{D0DCC617-BEF7-4FC6-B32F-A2F5F560DCBA}"/>
    <cellStyle name="Currency 5 2 5 2 3 3" xfId="21962" xr:uid="{66F3134D-A7EE-4596-A255-BF465D6F6436}"/>
    <cellStyle name="Currency 5 2 5 2 3 4" xfId="13514" xr:uid="{522E8756-5C91-408A-A59F-5393452239F8}"/>
    <cellStyle name="Currency 5 2 5 2 4" xfId="26185" xr:uid="{E6EE2FBC-5BE9-4463-B957-1E89AD1613FF}"/>
    <cellStyle name="Currency 5 2 5 2 5" xfId="17744" xr:uid="{08F10FF3-CA0A-455C-831A-5413CCB37210}"/>
    <cellStyle name="Currency 5 2 5 2 6" xfId="9296" xr:uid="{149F594C-CDF9-415B-8BDF-BABB7A1E3F46}"/>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32961" xr:uid="{38EFD762-CA63-464B-9C3C-4B9F3989F115}"/>
    <cellStyle name="Currency 5 2 5 3 2 2 3" xfId="24520" xr:uid="{5838601C-D097-4D9F-BF9C-98C50BFC44DC}"/>
    <cellStyle name="Currency 5 2 5 3 2 2 4" xfId="16072" xr:uid="{0E94EE1F-3145-46B2-B193-F1B03C59F793}"/>
    <cellStyle name="Currency 5 2 5 3 2 3" xfId="28743" xr:uid="{298D0EB9-FB24-4F9F-BE5F-469329226E01}"/>
    <cellStyle name="Currency 5 2 5 3 2 4" xfId="20302" xr:uid="{9C444AE7-1671-4AA4-8996-AE52527F4D38}"/>
    <cellStyle name="Currency 5 2 5 3 2 5" xfId="11854" xr:uid="{F4563861-5E45-4F82-A0B1-62BEB4F2E4B2}"/>
    <cellStyle name="Currency 5 2 5 3 3" xfId="5477" xr:uid="{00000000-0005-0000-0000-0000590C0000}"/>
    <cellStyle name="Currency 5 2 5 3 3 2" xfId="30816" xr:uid="{627BBBE2-15AB-4AB3-A884-1D2DBE928747}"/>
    <cellStyle name="Currency 5 2 5 3 3 3" xfId="22375" xr:uid="{EB22A96B-2383-4A56-8DEF-A01CA4996274}"/>
    <cellStyle name="Currency 5 2 5 3 3 4" xfId="13927" xr:uid="{57FB9184-BFA1-46CF-8C8B-B082A2C5CFF4}"/>
    <cellStyle name="Currency 5 2 5 3 4" xfId="26598" xr:uid="{E6F3DAA5-2C19-4941-93C4-8CDC3DD8E21A}"/>
    <cellStyle name="Currency 5 2 5 3 5" xfId="18157" xr:uid="{340101B2-961F-43D1-B547-9C1DF3F200EB}"/>
    <cellStyle name="Currency 5 2 5 3 6" xfId="9709" xr:uid="{71FB5CF6-3313-4920-97F1-CD4FF05A372F}"/>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33374" xr:uid="{08FBE43D-88B1-489E-AEEF-1D2CA3CB78EA}"/>
    <cellStyle name="Currency 5 2 5 4 2 2 3" xfId="24933" xr:uid="{13AA19E4-B552-4F56-91A4-F06A156C6D10}"/>
    <cellStyle name="Currency 5 2 5 4 2 2 4" xfId="16485" xr:uid="{C2C28832-4605-431C-8374-9CA43E6FCF8E}"/>
    <cellStyle name="Currency 5 2 5 4 2 3" xfId="29156" xr:uid="{E1BC68C3-0B40-43B6-82B7-017082470946}"/>
    <cellStyle name="Currency 5 2 5 4 2 4" xfId="20715" xr:uid="{BC43FFA7-43E9-4134-A0A3-B028D790401B}"/>
    <cellStyle name="Currency 5 2 5 4 2 5" xfId="12267" xr:uid="{A5A32319-B8DF-4DC2-ABB3-A5C7F7A1D767}"/>
    <cellStyle name="Currency 5 2 5 4 3" xfId="5890" xr:uid="{00000000-0005-0000-0000-00005D0C0000}"/>
    <cellStyle name="Currency 5 2 5 4 3 2" xfId="31229" xr:uid="{D4F76126-9583-4095-B441-544067D8C62D}"/>
    <cellStyle name="Currency 5 2 5 4 3 3" xfId="22788" xr:uid="{51C782CE-73E3-4227-BC9E-D2DC7C16FBAD}"/>
    <cellStyle name="Currency 5 2 5 4 3 4" xfId="14340" xr:uid="{FA92495D-1A17-4494-90A4-9AC83E6387FC}"/>
    <cellStyle name="Currency 5 2 5 4 4" xfId="27011" xr:uid="{860B6524-C3B9-4501-A6B7-35DF602256BA}"/>
    <cellStyle name="Currency 5 2 5 4 5" xfId="18570" xr:uid="{E09269C7-1226-4E5B-A6B6-6FF841CC6B7D}"/>
    <cellStyle name="Currency 5 2 5 4 6" xfId="10122" xr:uid="{25288911-5C5D-4C56-898A-486FEC839836}"/>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33787" xr:uid="{0F0E9F4F-9BD9-48F6-BDAB-7444147CDB24}"/>
    <cellStyle name="Currency 5 2 5 5 2 2 3" xfId="25346" xr:uid="{5C07F8CA-DEA1-47C9-90D8-846F2918FEC6}"/>
    <cellStyle name="Currency 5 2 5 5 2 2 4" xfId="16898" xr:uid="{9F840765-B399-40B5-8F56-020BE62D6DA5}"/>
    <cellStyle name="Currency 5 2 5 5 2 3" xfId="29569" xr:uid="{A3BBDB51-2575-4717-A5D8-0F4CE2E41F03}"/>
    <cellStyle name="Currency 5 2 5 5 2 4" xfId="21128" xr:uid="{967580D6-66DC-452B-B7AD-3A096F83894C}"/>
    <cellStyle name="Currency 5 2 5 5 2 5" xfId="12680" xr:uid="{93346794-8B70-42A1-8FC1-5B02991EDD9F}"/>
    <cellStyle name="Currency 5 2 5 5 3" xfId="6303" xr:uid="{00000000-0005-0000-0000-0000610C0000}"/>
    <cellStyle name="Currency 5 2 5 5 3 2" xfId="31642" xr:uid="{0A348679-D65C-4AD3-B985-BF9D841C38CE}"/>
    <cellStyle name="Currency 5 2 5 5 3 3" xfId="23201" xr:uid="{24B56070-80CE-435E-A646-0D7B471037E2}"/>
    <cellStyle name="Currency 5 2 5 5 3 4" xfId="14753" xr:uid="{D750EF0C-FE29-4643-80B4-50750E911078}"/>
    <cellStyle name="Currency 5 2 5 5 4" xfId="27424" xr:uid="{4F83D1AA-8195-40E9-BE51-10AB71420D3B}"/>
    <cellStyle name="Currency 5 2 5 5 5" xfId="18983" xr:uid="{A70F8D52-4E2C-482F-A30B-42EE2ED32E72}"/>
    <cellStyle name="Currency 5 2 5 5 6" xfId="10535" xr:uid="{1F03E4FA-11E8-40AE-A544-53A227A171F7}"/>
    <cellStyle name="Currency 5 2 5 6" xfId="2432" xr:uid="{00000000-0005-0000-0000-0000620C0000}"/>
    <cellStyle name="Currency 5 2 5 6 2" xfId="6716" xr:uid="{00000000-0005-0000-0000-0000630C0000}"/>
    <cellStyle name="Currency 5 2 5 6 2 2" xfId="32055" xr:uid="{D959B15F-5B48-43DE-8E29-B61718EDEDF1}"/>
    <cellStyle name="Currency 5 2 5 6 2 3" xfId="23614" xr:uid="{981ED0EF-C3A5-451A-AEB4-6D29780EC62C}"/>
    <cellStyle name="Currency 5 2 5 6 2 4" xfId="15166" xr:uid="{9491D244-100C-41CC-B97A-B6B17FF33CBB}"/>
    <cellStyle name="Currency 5 2 5 6 3" xfId="27837" xr:uid="{B34D6015-C837-410C-BCCE-BA2AEBC7540D}"/>
    <cellStyle name="Currency 5 2 5 6 4" xfId="19396" xr:uid="{5BA3A192-BB26-48E0-821B-D7ECDDA85838}"/>
    <cellStyle name="Currency 5 2 5 6 5" xfId="10948" xr:uid="{B01B151F-B64F-481D-B214-286291768237}"/>
    <cellStyle name="Currency 5 2 5 7" xfId="2729" xr:uid="{00000000-0005-0000-0000-0000640C0000}"/>
    <cellStyle name="Currency 5 2 5 8" xfId="2810" xr:uid="{00000000-0005-0000-0000-0000650C0000}"/>
    <cellStyle name="Currency 5 2 5 8 2" xfId="7033" xr:uid="{00000000-0005-0000-0000-0000660C0000}"/>
    <cellStyle name="Currency 5 2 5 8 2 2" xfId="32372" xr:uid="{D3B7DB97-3A1A-4A42-B5FF-B76ACCAE396C}"/>
    <cellStyle name="Currency 5 2 5 8 2 3" xfId="23931" xr:uid="{F7F225C8-7792-4FF1-9241-816990474D92}"/>
    <cellStyle name="Currency 5 2 5 8 2 4" xfId="15483" xr:uid="{25B6D999-B42F-4761-BE0A-7E2EC805ADF7}"/>
    <cellStyle name="Currency 5 2 5 8 3" xfId="28154" xr:uid="{CAE3DCDA-8407-44A1-9DFD-11E60B3E6C2E}"/>
    <cellStyle name="Currency 5 2 5 8 4" xfId="19713" xr:uid="{B99390EB-588E-4311-8787-47A839AA700C}"/>
    <cellStyle name="Currency 5 2 5 8 5" xfId="11265" xr:uid="{F289F6E0-50E3-4747-899D-F5DC38BD1125}"/>
    <cellStyle name="Currency 5 2 5 9" xfId="4650" xr:uid="{00000000-0005-0000-0000-0000670C0000}"/>
    <cellStyle name="Currency 5 2 5 9 2" xfId="29989" xr:uid="{1881071A-982D-44A8-99D3-ACF2D32F73E2}"/>
    <cellStyle name="Currency 5 2 5 9 3" xfId="21548" xr:uid="{FEF4E9F2-7BE9-47F7-8877-D31ED3CFB552}"/>
    <cellStyle name="Currency 5 2 5 9 4" xfId="13100" xr:uid="{98CC762F-90EC-48C7-9714-EC8BD24B98A9}"/>
    <cellStyle name="Currency 5 2 6" xfId="208" xr:uid="{00000000-0005-0000-0000-0000680C0000}"/>
    <cellStyle name="Currency 5 2 6 10" xfId="25772" xr:uid="{81E12D30-6B53-4493-A9FB-4E503DC27CA2}"/>
    <cellStyle name="Currency 5 2 6 11" xfId="17331" xr:uid="{103095C5-D9A9-4B76-BC34-F7739DA4B0EB}"/>
    <cellStyle name="Currency 5 2 6 12" xfId="8883" xr:uid="{E8B560F5-4922-405B-BD33-35B142E74E2A}"/>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32549" xr:uid="{36E234D5-2F5C-4C81-B1C1-F1E9D0A7F531}"/>
    <cellStyle name="Currency 5 2 6 2 2 2 3" xfId="24108" xr:uid="{06F2F217-28E5-4979-8AA5-07B54BEE83FE}"/>
    <cellStyle name="Currency 5 2 6 2 2 2 4" xfId="15660" xr:uid="{F427D476-9F3D-4DDD-9847-C3C291F9E16F}"/>
    <cellStyle name="Currency 5 2 6 2 2 3" xfId="28331" xr:uid="{3839ACD2-8B7F-4C19-BBCE-712C8A19C568}"/>
    <cellStyle name="Currency 5 2 6 2 2 4" xfId="19890" xr:uid="{01EB77A3-1D35-4A44-8CE5-512763F0E51C}"/>
    <cellStyle name="Currency 5 2 6 2 2 5" xfId="11442" xr:uid="{2913B2CC-A88F-4028-9B13-5A83DFFDA0C5}"/>
    <cellStyle name="Currency 5 2 6 2 3" xfId="5065" xr:uid="{00000000-0005-0000-0000-00006C0C0000}"/>
    <cellStyle name="Currency 5 2 6 2 3 2" xfId="30404" xr:uid="{47C14C5E-778D-4909-A442-031365C89076}"/>
    <cellStyle name="Currency 5 2 6 2 3 3" xfId="21963" xr:uid="{460157FE-6C7E-4D9B-ADF1-DE16B2B8FA7A}"/>
    <cellStyle name="Currency 5 2 6 2 3 4" xfId="13515" xr:uid="{4D76C3D9-091C-44AE-995E-AB9FE4E8D7C2}"/>
    <cellStyle name="Currency 5 2 6 2 4" xfId="26186" xr:uid="{1CC149CA-9466-404D-BB99-9EDB1667A939}"/>
    <cellStyle name="Currency 5 2 6 2 5" xfId="17745" xr:uid="{8843D911-6585-4FED-8936-8286A60690CA}"/>
    <cellStyle name="Currency 5 2 6 2 6" xfId="9297" xr:uid="{EE5FAA12-A525-46DB-A005-6B298026C925}"/>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32962" xr:uid="{15324594-1DF8-4776-8AA5-F58D8F8A378C}"/>
    <cellStyle name="Currency 5 2 6 3 2 2 3" xfId="24521" xr:uid="{97069508-2E3C-4956-9441-88EE7228D1BF}"/>
    <cellStyle name="Currency 5 2 6 3 2 2 4" xfId="16073" xr:uid="{4932ED8C-C68C-400B-B896-C3D5D5A0697A}"/>
    <cellStyle name="Currency 5 2 6 3 2 3" xfId="28744" xr:uid="{145B48CF-C160-4708-B31A-8750A1F682E0}"/>
    <cellStyle name="Currency 5 2 6 3 2 4" xfId="20303" xr:uid="{2356A9F2-CE47-4E7A-A0B1-39A1FE57FCFD}"/>
    <cellStyle name="Currency 5 2 6 3 2 5" xfId="11855" xr:uid="{2F6761E1-E77B-4F42-812E-F3C2B452F91B}"/>
    <cellStyle name="Currency 5 2 6 3 3" xfId="5478" xr:uid="{00000000-0005-0000-0000-0000700C0000}"/>
    <cellStyle name="Currency 5 2 6 3 3 2" xfId="30817" xr:uid="{5D5BBE07-BF65-4104-A9EA-6F06BACF8D04}"/>
    <cellStyle name="Currency 5 2 6 3 3 3" xfId="22376" xr:uid="{9CF08AA7-F8BA-4009-9AB5-7ED9EDA277DA}"/>
    <cellStyle name="Currency 5 2 6 3 3 4" xfId="13928" xr:uid="{5DC719FC-2D4C-4936-9A42-A946F0C3E826}"/>
    <cellStyle name="Currency 5 2 6 3 4" xfId="26599" xr:uid="{0D1CBEF5-8D1F-4BC6-8CCB-1E8F58A751E5}"/>
    <cellStyle name="Currency 5 2 6 3 5" xfId="18158" xr:uid="{704D3B23-9262-4D22-BD72-813963F8AB7A}"/>
    <cellStyle name="Currency 5 2 6 3 6" xfId="9710" xr:uid="{9978B195-B328-4AFD-BE7C-DD1D11FB97CE}"/>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33375" xr:uid="{E40F2E1F-E1F4-4613-B040-945B930E71A0}"/>
    <cellStyle name="Currency 5 2 6 4 2 2 3" xfId="24934" xr:uid="{545F5571-6A7C-4326-8346-C4F93EFA7394}"/>
    <cellStyle name="Currency 5 2 6 4 2 2 4" xfId="16486" xr:uid="{48DE11D4-A7D3-433E-ACB7-D56FE63A051E}"/>
    <cellStyle name="Currency 5 2 6 4 2 3" xfId="29157" xr:uid="{BF41699D-7088-449D-8C77-EBC4B02AD90A}"/>
    <cellStyle name="Currency 5 2 6 4 2 4" xfId="20716" xr:uid="{16BEA321-E10F-41FC-BF19-1DAF38C67456}"/>
    <cellStyle name="Currency 5 2 6 4 2 5" xfId="12268" xr:uid="{23D15BFE-A16E-4BB2-B8DF-82031D2EC0E4}"/>
    <cellStyle name="Currency 5 2 6 4 3" xfId="5891" xr:uid="{00000000-0005-0000-0000-0000740C0000}"/>
    <cellStyle name="Currency 5 2 6 4 3 2" xfId="31230" xr:uid="{9E4514AD-169B-457B-AD36-990BB0DA3B5F}"/>
    <cellStyle name="Currency 5 2 6 4 3 3" xfId="22789" xr:uid="{6C46880D-AF27-450D-96E3-D058C40F7AF8}"/>
    <cellStyle name="Currency 5 2 6 4 3 4" xfId="14341" xr:uid="{5B30ED1E-B7DB-4BC6-8181-D84BD28EAA7A}"/>
    <cellStyle name="Currency 5 2 6 4 4" xfId="27012" xr:uid="{D4CBABA9-3B88-4A5A-AE45-0DDFC2E72888}"/>
    <cellStyle name="Currency 5 2 6 4 5" xfId="18571" xr:uid="{46804F74-9D67-4A91-B7EC-AD59038C1DFA}"/>
    <cellStyle name="Currency 5 2 6 4 6" xfId="10123" xr:uid="{23D441C3-28A9-400F-9389-AEDD45873E9A}"/>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33788" xr:uid="{4CA66444-E1F4-4CF5-9E4C-153856BAE4F7}"/>
    <cellStyle name="Currency 5 2 6 5 2 2 3" xfId="25347" xr:uid="{3E5C01CD-EB3F-453D-912D-4DBC76A61AD7}"/>
    <cellStyle name="Currency 5 2 6 5 2 2 4" xfId="16899" xr:uid="{0BA59D64-EDB3-4D07-B5C9-F8B5686699F8}"/>
    <cellStyle name="Currency 5 2 6 5 2 3" xfId="29570" xr:uid="{80CDD050-896B-47FD-AB85-D13242B2CD69}"/>
    <cellStyle name="Currency 5 2 6 5 2 4" xfId="21129" xr:uid="{EB126B6D-D95D-4B4A-8B6E-EE492390A130}"/>
    <cellStyle name="Currency 5 2 6 5 2 5" xfId="12681" xr:uid="{8EE9B896-CF26-4CE7-A9FD-C1ECC72D65BC}"/>
    <cellStyle name="Currency 5 2 6 5 3" xfId="6304" xr:uid="{00000000-0005-0000-0000-0000780C0000}"/>
    <cellStyle name="Currency 5 2 6 5 3 2" xfId="31643" xr:uid="{FDED0E0F-CBE8-4380-A6BF-EA1DBAF88B15}"/>
    <cellStyle name="Currency 5 2 6 5 3 3" xfId="23202" xr:uid="{B69403EE-E0AD-4DD9-91C5-8717FDE3261A}"/>
    <cellStyle name="Currency 5 2 6 5 3 4" xfId="14754" xr:uid="{750E07FF-AB5F-4F00-A173-B06BB476F80A}"/>
    <cellStyle name="Currency 5 2 6 5 4" xfId="27425" xr:uid="{448825D8-D4A7-446E-8F46-70695F715BA5}"/>
    <cellStyle name="Currency 5 2 6 5 5" xfId="18984" xr:uid="{E9B4AD39-5E50-4625-A15B-1AD98F8D7C27}"/>
    <cellStyle name="Currency 5 2 6 5 6" xfId="10536" xr:uid="{750DC257-4E93-4DF3-98D3-68C6D96788BD}"/>
    <cellStyle name="Currency 5 2 6 6" xfId="2433" xr:uid="{00000000-0005-0000-0000-0000790C0000}"/>
    <cellStyle name="Currency 5 2 6 6 2" xfId="6717" xr:uid="{00000000-0005-0000-0000-00007A0C0000}"/>
    <cellStyle name="Currency 5 2 6 6 2 2" xfId="32056" xr:uid="{F606397A-8BD2-4096-8005-47CAF95DA74A}"/>
    <cellStyle name="Currency 5 2 6 6 2 3" xfId="23615" xr:uid="{ABD17392-1103-436F-8ED8-DC7B7523E6EE}"/>
    <cellStyle name="Currency 5 2 6 6 2 4" xfId="15167" xr:uid="{F68E636D-BBB2-4411-A605-F29D9D02FA4B}"/>
    <cellStyle name="Currency 5 2 6 6 3" xfId="27838" xr:uid="{3DABC9C4-F618-470E-8941-CD76EF8DD190}"/>
    <cellStyle name="Currency 5 2 6 6 4" xfId="19397" xr:uid="{CED76FD5-F81A-4240-A159-8351347771F6}"/>
    <cellStyle name="Currency 5 2 6 6 5" xfId="10949" xr:uid="{68151764-7D74-4505-B210-953BA2E3508C}"/>
    <cellStyle name="Currency 5 2 6 7" xfId="2730" xr:uid="{00000000-0005-0000-0000-00007B0C0000}"/>
    <cellStyle name="Currency 5 2 6 8" xfId="2811" xr:uid="{00000000-0005-0000-0000-00007C0C0000}"/>
    <cellStyle name="Currency 5 2 6 8 2" xfId="7034" xr:uid="{00000000-0005-0000-0000-00007D0C0000}"/>
    <cellStyle name="Currency 5 2 6 8 2 2" xfId="32373" xr:uid="{AB2DB12C-7B72-4DCB-8E02-C46218AEF3EF}"/>
    <cellStyle name="Currency 5 2 6 8 2 3" xfId="23932" xr:uid="{CD2F7089-B142-49EA-8B89-824BBEF8E714}"/>
    <cellStyle name="Currency 5 2 6 8 2 4" xfId="15484" xr:uid="{5B060D61-8821-4FDF-84B6-281E386CFAAA}"/>
    <cellStyle name="Currency 5 2 6 8 3" xfId="28155" xr:uid="{3496E7C0-7C13-4857-AC78-451EF6DE48A7}"/>
    <cellStyle name="Currency 5 2 6 8 4" xfId="19714" xr:uid="{1BB6239E-D59C-4CFC-B753-FE3AAF517D53}"/>
    <cellStyle name="Currency 5 2 6 8 5" xfId="11266" xr:uid="{C6A27536-D4F9-44AA-9CC8-09B5C13EEA74}"/>
    <cellStyle name="Currency 5 2 6 9" xfId="4651" xr:uid="{00000000-0005-0000-0000-00007E0C0000}"/>
    <cellStyle name="Currency 5 2 6 9 2" xfId="29990" xr:uid="{9F1ACFCA-F63A-48FB-B0B5-22CBD70FD935}"/>
    <cellStyle name="Currency 5 2 6 9 3" xfId="21549" xr:uid="{DECE9B79-2ECE-4595-A549-6F1F7286E69F}"/>
    <cellStyle name="Currency 5 2 6 9 4" xfId="13101" xr:uid="{CA3A851A-524D-45A2-B32A-A8CF9F0BA657}"/>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32374" xr:uid="{0E1BF041-F0A6-4EE9-850E-316650657764}"/>
    <cellStyle name="Currency 5 3 2 10 2 3" xfId="23933" xr:uid="{5F2C11E4-E338-4A26-9299-66A6D6467D56}"/>
    <cellStyle name="Currency 5 3 2 10 2 4" xfId="15485" xr:uid="{B779EDF6-F79C-43AD-B87C-9F272CB50F9D}"/>
    <cellStyle name="Currency 5 3 2 10 3" xfId="28156" xr:uid="{6E7DECA8-5A7F-4652-991A-C530A6F488BA}"/>
    <cellStyle name="Currency 5 3 2 10 4" xfId="19715" xr:uid="{5C5DDC0B-A01F-4A9B-A7E2-29D78F15020F}"/>
    <cellStyle name="Currency 5 3 2 10 5" xfId="11267" xr:uid="{F38E38E1-6C5A-4550-BD8C-E2EABCBD3CCC}"/>
    <cellStyle name="Currency 5 3 2 11" xfId="4652" xr:uid="{00000000-0005-0000-0000-0000840C0000}"/>
    <cellStyle name="Currency 5 3 2 11 2" xfId="29991" xr:uid="{5B0481B2-F295-4C63-80C2-CB6AB05B9855}"/>
    <cellStyle name="Currency 5 3 2 11 3" xfId="21550" xr:uid="{4A645B59-ACB4-46D0-B5AB-23133BFE5FEF}"/>
    <cellStyle name="Currency 5 3 2 11 4" xfId="13102" xr:uid="{92B4E15F-27ED-418E-B56D-4D27AE5F75EB}"/>
    <cellStyle name="Currency 5 3 2 12" xfId="25773" xr:uid="{635C89A3-6EC9-4809-8384-30A20036D9DF}"/>
    <cellStyle name="Currency 5 3 2 13" xfId="17332" xr:uid="{8292B06A-23C0-4A54-A997-04CE12B85424}"/>
    <cellStyle name="Currency 5 3 2 14" xfId="8884" xr:uid="{7F6620F4-F8C0-437B-A963-9AA1B7151CA4}"/>
    <cellStyle name="Currency 5 3 2 2" xfId="211" xr:uid="{00000000-0005-0000-0000-0000850C0000}"/>
    <cellStyle name="Currency 5 3 2 2 10" xfId="4653" xr:uid="{00000000-0005-0000-0000-0000860C0000}"/>
    <cellStyle name="Currency 5 3 2 2 10 2" xfId="29992" xr:uid="{50EB5EA0-5507-4CA8-8565-8D59FB60C4DD}"/>
    <cellStyle name="Currency 5 3 2 2 10 3" xfId="21551" xr:uid="{3A6D6158-2237-4E52-8A03-C54EB5340E48}"/>
    <cellStyle name="Currency 5 3 2 2 10 4" xfId="13103" xr:uid="{6FB972EF-FE42-4AE8-9C8E-FA6883AE949F}"/>
    <cellStyle name="Currency 5 3 2 2 11" xfId="25774" xr:uid="{01A235A5-D0D0-410F-9521-A2CF77ABDF4D}"/>
    <cellStyle name="Currency 5 3 2 2 12" xfId="17333" xr:uid="{BA2468C0-47D2-45BA-AC50-C7C3BD4E4FAA}"/>
    <cellStyle name="Currency 5 3 2 2 13" xfId="8885" xr:uid="{CC9A045B-6C0B-4452-A1DD-49CBCC46ACC4}"/>
    <cellStyle name="Currency 5 3 2 2 2" xfId="212" xr:uid="{00000000-0005-0000-0000-0000870C0000}"/>
    <cellStyle name="Currency 5 3 2 2 2 10" xfId="25775" xr:uid="{4231776F-9286-44CE-94B6-8D7C4CF6C9DF}"/>
    <cellStyle name="Currency 5 3 2 2 2 11" xfId="17334" xr:uid="{605D6BF9-5841-4481-A2F8-9BF16CA7E803}"/>
    <cellStyle name="Currency 5 3 2 2 2 12" xfId="8886" xr:uid="{86344040-81D2-45E3-85FC-AD9DE6A1E44C}"/>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32552" xr:uid="{CDF1EE00-6A89-4AC1-B6A0-26F36566EBE1}"/>
    <cellStyle name="Currency 5 3 2 2 2 2 2 2 3" xfId="24111" xr:uid="{5F2F0362-B965-4C59-9E77-0BD24CFE0583}"/>
    <cellStyle name="Currency 5 3 2 2 2 2 2 2 4" xfId="15663" xr:uid="{071686A7-BC9A-471C-A939-99FFD11DB306}"/>
    <cellStyle name="Currency 5 3 2 2 2 2 2 3" xfId="28334" xr:uid="{BE71B4EB-3930-40F7-B640-429406CA2745}"/>
    <cellStyle name="Currency 5 3 2 2 2 2 2 4" xfId="19893" xr:uid="{330E25CC-81BA-4B52-B7CE-D2133BA08A9F}"/>
    <cellStyle name="Currency 5 3 2 2 2 2 2 5" xfId="11445" xr:uid="{9C3E80AE-6B79-4B19-AE1E-73845CA8C91C}"/>
    <cellStyle name="Currency 5 3 2 2 2 2 3" xfId="5068" xr:uid="{00000000-0005-0000-0000-00008B0C0000}"/>
    <cellStyle name="Currency 5 3 2 2 2 2 3 2" xfId="30407" xr:uid="{297E0572-4B35-4325-9D5D-67F1A6B2442D}"/>
    <cellStyle name="Currency 5 3 2 2 2 2 3 3" xfId="21966" xr:uid="{263D1F7B-57E1-43E3-8BEC-2A4924F65E39}"/>
    <cellStyle name="Currency 5 3 2 2 2 2 3 4" xfId="13518" xr:uid="{E6469F5D-2106-4C49-883E-70C2DE1066DB}"/>
    <cellStyle name="Currency 5 3 2 2 2 2 4" xfId="26189" xr:uid="{94CA78E8-997F-4165-B615-1DF5F5768B0F}"/>
    <cellStyle name="Currency 5 3 2 2 2 2 5" xfId="17748" xr:uid="{068B5A80-3AB1-4444-9B4F-612F56517470}"/>
    <cellStyle name="Currency 5 3 2 2 2 2 6" xfId="9300" xr:uid="{6DAAA602-8A0D-450C-A6CD-93E96124DF3D}"/>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32965" xr:uid="{21974326-15EA-47B5-9B48-2BEDA6F07265}"/>
    <cellStyle name="Currency 5 3 2 2 2 3 2 2 3" xfId="24524" xr:uid="{6B206933-4AE3-4BEE-B533-87DBAD54AD15}"/>
    <cellStyle name="Currency 5 3 2 2 2 3 2 2 4" xfId="16076" xr:uid="{6E113249-CFC2-4669-9165-A69BBE96B3AE}"/>
    <cellStyle name="Currency 5 3 2 2 2 3 2 3" xfId="28747" xr:uid="{9B7878F0-F170-4758-A1D5-0802082BC564}"/>
    <cellStyle name="Currency 5 3 2 2 2 3 2 4" xfId="20306" xr:uid="{44093479-3432-47AA-AE79-203DF82FE7F7}"/>
    <cellStyle name="Currency 5 3 2 2 2 3 2 5" xfId="11858" xr:uid="{B2424437-5860-44D5-AC3F-6293E5EF86FA}"/>
    <cellStyle name="Currency 5 3 2 2 2 3 3" xfId="5481" xr:uid="{00000000-0005-0000-0000-00008F0C0000}"/>
    <cellStyle name="Currency 5 3 2 2 2 3 3 2" xfId="30820" xr:uid="{D2D1950A-AA8B-40DD-824D-F7E19306FC39}"/>
    <cellStyle name="Currency 5 3 2 2 2 3 3 3" xfId="22379" xr:uid="{79B44577-CBD1-4173-A5D7-F32455A2A033}"/>
    <cellStyle name="Currency 5 3 2 2 2 3 3 4" xfId="13931" xr:uid="{1E32BE6C-3C76-4E4A-A450-F786EB6F5186}"/>
    <cellStyle name="Currency 5 3 2 2 2 3 4" xfId="26602" xr:uid="{EFBC9E0C-A3D6-41A7-BAB2-D80202C0ECB3}"/>
    <cellStyle name="Currency 5 3 2 2 2 3 5" xfId="18161" xr:uid="{34F92048-CDD6-49F5-9F88-C9C34C7B2144}"/>
    <cellStyle name="Currency 5 3 2 2 2 3 6" xfId="9713" xr:uid="{A4313554-8C8F-4025-A1EA-055FCD9FE4B1}"/>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33378" xr:uid="{6BE0E854-4273-48E5-92FB-FDC077B0C3E3}"/>
    <cellStyle name="Currency 5 3 2 2 2 4 2 2 3" xfId="24937" xr:uid="{0FB7C267-BB29-4468-954D-2F5E2E1F09AD}"/>
    <cellStyle name="Currency 5 3 2 2 2 4 2 2 4" xfId="16489" xr:uid="{17048495-E65E-41B2-BA72-B93B207C3328}"/>
    <cellStyle name="Currency 5 3 2 2 2 4 2 3" xfId="29160" xr:uid="{4D9654E5-F3D5-4536-86B4-36C07BA24BBC}"/>
    <cellStyle name="Currency 5 3 2 2 2 4 2 4" xfId="20719" xr:uid="{F13C282B-07C9-404A-9AFC-DE8778E51D1F}"/>
    <cellStyle name="Currency 5 3 2 2 2 4 2 5" xfId="12271" xr:uid="{5DD434ED-DE44-40AB-9639-28A902568F4B}"/>
    <cellStyle name="Currency 5 3 2 2 2 4 3" xfId="5894" xr:uid="{00000000-0005-0000-0000-0000930C0000}"/>
    <cellStyle name="Currency 5 3 2 2 2 4 3 2" xfId="31233" xr:uid="{ED5E3082-7B31-49AE-9B5A-C84EA7C3EE5E}"/>
    <cellStyle name="Currency 5 3 2 2 2 4 3 3" xfId="22792" xr:uid="{B82272B9-5189-4FAC-B3EF-AE73D15DCD9F}"/>
    <cellStyle name="Currency 5 3 2 2 2 4 3 4" xfId="14344" xr:uid="{4DB13D88-350C-4884-BA4A-F2E52AA707C6}"/>
    <cellStyle name="Currency 5 3 2 2 2 4 4" xfId="27015" xr:uid="{FAD31E7D-4B50-43E4-A3EA-E4855D602127}"/>
    <cellStyle name="Currency 5 3 2 2 2 4 5" xfId="18574" xr:uid="{EC58611F-D503-4D36-82FC-0A526432C89C}"/>
    <cellStyle name="Currency 5 3 2 2 2 4 6" xfId="10126" xr:uid="{E87DBA31-6DC2-43C2-BE82-56DF7061D233}"/>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33791" xr:uid="{64114A33-9331-4ABB-8D7E-14A087AA088D}"/>
    <cellStyle name="Currency 5 3 2 2 2 5 2 2 3" xfId="25350" xr:uid="{65A41C1B-4B97-4758-8D76-A842A63E5BE5}"/>
    <cellStyle name="Currency 5 3 2 2 2 5 2 2 4" xfId="16902" xr:uid="{4EDC5740-74F0-4E24-97A6-C81292796E40}"/>
    <cellStyle name="Currency 5 3 2 2 2 5 2 3" xfId="29573" xr:uid="{0B54B8C1-C1AB-4B8E-B1A6-58C81926ACF6}"/>
    <cellStyle name="Currency 5 3 2 2 2 5 2 4" xfId="21132" xr:uid="{01BB3E6B-2175-4D00-9F57-021300E64AEB}"/>
    <cellStyle name="Currency 5 3 2 2 2 5 2 5" xfId="12684" xr:uid="{317CB344-0702-4778-8C74-03A357C9369B}"/>
    <cellStyle name="Currency 5 3 2 2 2 5 3" xfId="6307" xr:uid="{00000000-0005-0000-0000-0000970C0000}"/>
    <cellStyle name="Currency 5 3 2 2 2 5 3 2" xfId="31646" xr:uid="{D6BB58D9-93AF-4F44-9006-3C0796627B5F}"/>
    <cellStyle name="Currency 5 3 2 2 2 5 3 3" xfId="23205" xr:uid="{CF253EBB-B85A-4828-A738-82E71F336FCA}"/>
    <cellStyle name="Currency 5 3 2 2 2 5 3 4" xfId="14757" xr:uid="{FF0C950A-1EC9-4B0D-8F16-A439288B1780}"/>
    <cellStyle name="Currency 5 3 2 2 2 5 4" xfId="27428" xr:uid="{F0DCB4EC-448B-49B0-ADB4-987448788C3C}"/>
    <cellStyle name="Currency 5 3 2 2 2 5 5" xfId="18987" xr:uid="{A8F9766A-8AA7-4277-AD30-55FED21B9B1C}"/>
    <cellStyle name="Currency 5 3 2 2 2 5 6" xfId="10539" xr:uid="{371B5830-5F19-49FB-84E9-1D1946679F1E}"/>
    <cellStyle name="Currency 5 3 2 2 2 6" xfId="2436" xr:uid="{00000000-0005-0000-0000-0000980C0000}"/>
    <cellStyle name="Currency 5 3 2 2 2 6 2" xfId="6720" xr:uid="{00000000-0005-0000-0000-0000990C0000}"/>
    <cellStyle name="Currency 5 3 2 2 2 6 2 2" xfId="32059" xr:uid="{21402A1F-131A-4633-9665-EC1D7E6D9CE6}"/>
    <cellStyle name="Currency 5 3 2 2 2 6 2 3" xfId="23618" xr:uid="{2C7A5F04-D6AD-4000-8704-66A2294DFAFC}"/>
    <cellStyle name="Currency 5 3 2 2 2 6 2 4" xfId="15170" xr:uid="{D38DF578-88CF-4FDD-AE2A-8F8AFAF344FE}"/>
    <cellStyle name="Currency 5 3 2 2 2 6 3" xfId="27841" xr:uid="{041ECA18-56F3-4158-8E3F-E02A14334075}"/>
    <cellStyle name="Currency 5 3 2 2 2 6 4" xfId="19400" xr:uid="{2A47B8E0-A6B8-478E-8928-1552F3207C9F}"/>
    <cellStyle name="Currency 5 3 2 2 2 6 5" xfId="10952" xr:uid="{4B53D522-DBDF-4C3F-A670-B41635595074}"/>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32376" xr:uid="{6EC6FE9A-830D-4A9B-89FC-6E78BC83B482}"/>
    <cellStyle name="Currency 5 3 2 2 2 8 2 3" xfId="23935" xr:uid="{E3C654EB-4598-44CE-8528-658CB5B5C81A}"/>
    <cellStyle name="Currency 5 3 2 2 2 8 2 4" xfId="15487" xr:uid="{AA5C6DF7-74D0-423C-A1CC-5D4F81D15B86}"/>
    <cellStyle name="Currency 5 3 2 2 2 8 3" xfId="28158" xr:uid="{3124BEF6-D1B4-4129-84B4-A0F3B0BD88C1}"/>
    <cellStyle name="Currency 5 3 2 2 2 8 4" xfId="19717" xr:uid="{E2578137-49E2-4021-B523-CC27CE36DB4E}"/>
    <cellStyle name="Currency 5 3 2 2 2 8 5" xfId="11269" xr:uid="{213F0794-7CFA-4766-8D5E-A923847ED64D}"/>
    <cellStyle name="Currency 5 3 2 2 2 9" xfId="4654" xr:uid="{00000000-0005-0000-0000-00009D0C0000}"/>
    <cellStyle name="Currency 5 3 2 2 2 9 2" xfId="29993" xr:uid="{4E1A426C-D7BE-44DA-A31E-8F632B763295}"/>
    <cellStyle name="Currency 5 3 2 2 2 9 3" xfId="21552" xr:uid="{E7213F34-C772-4D90-A2C3-6725A28DE9F8}"/>
    <cellStyle name="Currency 5 3 2 2 2 9 4" xfId="13104" xr:uid="{76019482-41AB-45E7-8FD9-3965515C9F86}"/>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32551" xr:uid="{5D834B80-3A9D-49DC-9F6E-A622C9BA23FF}"/>
    <cellStyle name="Currency 5 3 2 2 3 2 2 3" xfId="24110" xr:uid="{5BA458E5-AA95-4777-9532-52DCA2C6B5FE}"/>
    <cellStyle name="Currency 5 3 2 2 3 2 2 4" xfId="15662" xr:uid="{727C49B7-1D9F-427D-BF88-D56C21E77573}"/>
    <cellStyle name="Currency 5 3 2 2 3 2 3" xfId="28333" xr:uid="{CBBC0BE4-67B0-4CCC-9FB2-CD518A00A7BA}"/>
    <cellStyle name="Currency 5 3 2 2 3 2 4" xfId="19892" xr:uid="{B0905C0A-7305-4503-B17B-AA89C764B429}"/>
    <cellStyle name="Currency 5 3 2 2 3 2 5" xfId="11444" xr:uid="{77720847-065D-4502-85A5-F592E59B78F7}"/>
    <cellStyle name="Currency 5 3 2 2 3 3" xfId="5067" xr:uid="{00000000-0005-0000-0000-0000A10C0000}"/>
    <cellStyle name="Currency 5 3 2 2 3 3 2" xfId="30406" xr:uid="{0A5E83E2-C22A-4E0D-9D88-1BD583034518}"/>
    <cellStyle name="Currency 5 3 2 2 3 3 3" xfId="21965" xr:uid="{9FFCA57E-A6C7-49AA-A759-D84A50AED1CB}"/>
    <cellStyle name="Currency 5 3 2 2 3 3 4" xfId="13517" xr:uid="{3F380AC3-E099-4A5E-AA79-615613F02532}"/>
    <cellStyle name="Currency 5 3 2 2 3 4" xfId="26188" xr:uid="{E0741742-150D-421C-B3F8-7E86F2EF6BC7}"/>
    <cellStyle name="Currency 5 3 2 2 3 5" xfId="17747" xr:uid="{6427B80E-F011-4339-8E57-A33218BED1FD}"/>
    <cellStyle name="Currency 5 3 2 2 3 6" xfId="9299" xr:uid="{3A8C0A1F-E7A8-4730-958B-406229F2AD1B}"/>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32964" xr:uid="{82ECA84A-C517-4DD1-8989-60A6FBE651F3}"/>
    <cellStyle name="Currency 5 3 2 2 4 2 2 3" xfId="24523" xr:uid="{982B8D3C-944F-495E-A5F2-07F0F1274469}"/>
    <cellStyle name="Currency 5 3 2 2 4 2 2 4" xfId="16075" xr:uid="{54D83890-DFB9-443E-9A27-3CEDA8B85E04}"/>
    <cellStyle name="Currency 5 3 2 2 4 2 3" xfId="28746" xr:uid="{B60701AC-8018-4C51-AC4A-B8D3ADE28324}"/>
    <cellStyle name="Currency 5 3 2 2 4 2 4" xfId="20305" xr:uid="{3E7BAF38-E574-40FB-A20D-34B91BB5CE58}"/>
    <cellStyle name="Currency 5 3 2 2 4 2 5" xfId="11857" xr:uid="{755A2FD9-4587-4F4A-B061-EAFCCE1FC889}"/>
    <cellStyle name="Currency 5 3 2 2 4 3" xfId="5480" xr:uid="{00000000-0005-0000-0000-0000A50C0000}"/>
    <cellStyle name="Currency 5 3 2 2 4 3 2" xfId="30819" xr:uid="{F3542965-A087-43D7-98E5-B00EB0795EC7}"/>
    <cellStyle name="Currency 5 3 2 2 4 3 3" xfId="22378" xr:uid="{EECBCF60-89F6-4C00-B0DF-EE78CF5077F9}"/>
    <cellStyle name="Currency 5 3 2 2 4 3 4" xfId="13930" xr:uid="{E745E8BA-3FFE-4BA5-A873-4F6B5B80FF26}"/>
    <cellStyle name="Currency 5 3 2 2 4 4" xfId="26601" xr:uid="{9AF9999B-92CC-4751-B808-E799996A26D5}"/>
    <cellStyle name="Currency 5 3 2 2 4 5" xfId="18160" xr:uid="{966A5E31-3A68-4437-BFA7-204E72A01DC6}"/>
    <cellStyle name="Currency 5 3 2 2 4 6" xfId="9712" xr:uid="{48334170-2220-4EFF-B843-BA679CCF3C09}"/>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33377" xr:uid="{94BA2E80-7F98-4D4D-AC4E-B8364C30FE52}"/>
    <cellStyle name="Currency 5 3 2 2 5 2 2 3" xfId="24936" xr:uid="{AB458C79-2D7F-4F50-980C-2357EFD8037B}"/>
    <cellStyle name="Currency 5 3 2 2 5 2 2 4" xfId="16488" xr:uid="{6AE590E2-29CF-4C1A-8884-7A0444F4E21D}"/>
    <cellStyle name="Currency 5 3 2 2 5 2 3" xfId="29159" xr:uid="{0CFE7CEB-EC47-4A92-A9CD-9C3E8561D327}"/>
    <cellStyle name="Currency 5 3 2 2 5 2 4" xfId="20718" xr:uid="{028187CD-EA68-4123-B08F-C3E4B4F26B20}"/>
    <cellStyle name="Currency 5 3 2 2 5 2 5" xfId="12270" xr:uid="{78F57A9D-1AC7-42AD-83C3-B3361018D83D}"/>
    <cellStyle name="Currency 5 3 2 2 5 3" xfId="5893" xr:uid="{00000000-0005-0000-0000-0000A90C0000}"/>
    <cellStyle name="Currency 5 3 2 2 5 3 2" xfId="31232" xr:uid="{7C1D2BB4-9248-483D-8DBA-9008F0E610DC}"/>
    <cellStyle name="Currency 5 3 2 2 5 3 3" xfId="22791" xr:uid="{185AF195-26FA-40F7-87A8-4A1C61EE3B95}"/>
    <cellStyle name="Currency 5 3 2 2 5 3 4" xfId="14343" xr:uid="{A3C1DCC4-8C24-401D-BF37-213C80B418E3}"/>
    <cellStyle name="Currency 5 3 2 2 5 4" xfId="27014" xr:uid="{EF06BFBB-310D-4276-8D96-32F41D3EC950}"/>
    <cellStyle name="Currency 5 3 2 2 5 5" xfId="18573" xr:uid="{A2CFAD86-A222-4A57-9BC0-967812F04789}"/>
    <cellStyle name="Currency 5 3 2 2 5 6" xfId="10125" xr:uid="{A7C4F8B5-F353-4147-BE6B-8A04EF288FB7}"/>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33790" xr:uid="{215B168C-7B34-472A-91FB-F3CBC71D88E5}"/>
    <cellStyle name="Currency 5 3 2 2 6 2 2 3" xfId="25349" xr:uid="{699FE81F-65A1-4A2E-826A-E80DFEBE69C3}"/>
    <cellStyle name="Currency 5 3 2 2 6 2 2 4" xfId="16901" xr:uid="{06A87905-6CA2-401A-8FBD-1BF8A45A42DA}"/>
    <cellStyle name="Currency 5 3 2 2 6 2 3" xfId="29572" xr:uid="{A0755457-B7FC-4B83-BC94-F2993A08810B}"/>
    <cellStyle name="Currency 5 3 2 2 6 2 4" xfId="21131" xr:uid="{4C7A8DC8-8C8F-462F-89C4-F5E2A2089304}"/>
    <cellStyle name="Currency 5 3 2 2 6 2 5" xfId="12683" xr:uid="{45F6A7B8-0B7B-4A29-9D65-50887F7DB87D}"/>
    <cellStyle name="Currency 5 3 2 2 6 3" xfId="6306" xr:uid="{00000000-0005-0000-0000-0000AD0C0000}"/>
    <cellStyle name="Currency 5 3 2 2 6 3 2" xfId="31645" xr:uid="{AFFCC9C6-6C5E-484A-8A8A-9F6D559D232B}"/>
    <cellStyle name="Currency 5 3 2 2 6 3 3" xfId="23204" xr:uid="{8878E794-7C58-43AF-A7E2-761FED2C9AE6}"/>
    <cellStyle name="Currency 5 3 2 2 6 3 4" xfId="14756" xr:uid="{69B45FB2-D14C-47C0-ACEC-43CA3D2979B3}"/>
    <cellStyle name="Currency 5 3 2 2 6 4" xfId="27427" xr:uid="{7E346AD5-C2A2-439B-ADF6-917B259C1D8C}"/>
    <cellStyle name="Currency 5 3 2 2 6 5" xfId="18986" xr:uid="{254C297A-D612-4757-8402-AEFE7A7EF23D}"/>
    <cellStyle name="Currency 5 3 2 2 6 6" xfId="10538" xr:uid="{D3E912AE-EDD6-4927-B5D3-70CDAAEB0012}"/>
    <cellStyle name="Currency 5 3 2 2 7" xfId="2435" xr:uid="{00000000-0005-0000-0000-0000AE0C0000}"/>
    <cellStyle name="Currency 5 3 2 2 7 2" xfId="6719" xr:uid="{00000000-0005-0000-0000-0000AF0C0000}"/>
    <cellStyle name="Currency 5 3 2 2 7 2 2" xfId="32058" xr:uid="{5B27A3AC-927E-4359-83BF-27A2B5FC5D76}"/>
    <cellStyle name="Currency 5 3 2 2 7 2 3" xfId="23617" xr:uid="{A1D2A644-7BAE-4498-85F1-E6CAC8449BE9}"/>
    <cellStyle name="Currency 5 3 2 2 7 2 4" xfId="15169" xr:uid="{C2C37051-C280-4CD6-AD1E-7A0DA7D300A1}"/>
    <cellStyle name="Currency 5 3 2 2 7 3" xfId="27840" xr:uid="{942426D4-B868-4AC5-B3EC-6AC26CECA56D}"/>
    <cellStyle name="Currency 5 3 2 2 7 4" xfId="19399" xr:uid="{1E8FF991-6C1E-4690-A716-DD46FCBB56A9}"/>
    <cellStyle name="Currency 5 3 2 2 7 5" xfId="10951" xr:uid="{BAEB2EB6-25B4-423B-9E4E-0B9D0918CFD9}"/>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32375" xr:uid="{3F4B5D2A-4960-43EE-BC25-842BF4991E5B}"/>
    <cellStyle name="Currency 5 3 2 2 9 2 3" xfId="23934" xr:uid="{3A3E080A-9994-4697-98F5-94DB420F5AF7}"/>
    <cellStyle name="Currency 5 3 2 2 9 2 4" xfId="15486" xr:uid="{87BE5A0D-0AA1-4996-9FE6-E51432A1F1F3}"/>
    <cellStyle name="Currency 5 3 2 2 9 3" xfId="28157" xr:uid="{AD69063C-FD72-4838-8F0A-22BC7A4EF45A}"/>
    <cellStyle name="Currency 5 3 2 2 9 4" xfId="19716" xr:uid="{452CA698-023F-471F-9B78-BC0B1E6E34BA}"/>
    <cellStyle name="Currency 5 3 2 2 9 5" xfId="11268" xr:uid="{1E3AAC55-D501-41E2-B00F-9C84FC9E2652}"/>
    <cellStyle name="Currency 5 3 2 3" xfId="213" xr:uid="{00000000-0005-0000-0000-0000B30C0000}"/>
    <cellStyle name="Currency 5 3 2 3 10" xfId="25776" xr:uid="{56D28730-92F7-45A3-94F5-2100F9006863}"/>
    <cellStyle name="Currency 5 3 2 3 11" xfId="17335" xr:uid="{D4DB7D5C-CF42-41CF-A361-EAE494F08CC2}"/>
    <cellStyle name="Currency 5 3 2 3 12" xfId="8887" xr:uid="{437AF09B-685A-47D0-8902-FA31592767B4}"/>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32553" xr:uid="{F18ADE16-5796-4BD9-954D-B3925D63CDDE}"/>
    <cellStyle name="Currency 5 3 2 3 2 2 2 3" xfId="24112" xr:uid="{4BC5F170-38AF-4A28-822F-C76FBDFB5CF8}"/>
    <cellStyle name="Currency 5 3 2 3 2 2 2 4" xfId="15664" xr:uid="{2B25812E-0F5D-4F56-A487-8AA9A5861F08}"/>
    <cellStyle name="Currency 5 3 2 3 2 2 3" xfId="28335" xr:uid="{04C76C49-C3F1-4008-8A9C-BE05EC041157}"/>
    <cellStyle name="Currency 5 3 2 3 2 2 4" xfId="19894" xr:uid="{3BC6E5E9-374B-449C-96C7-49135F0652CE}"/>
    <cellStyle name="Currency 5 3 2 3 2 2 5" xfId="11446" xr:uid="{09BF93E5-9E16-40F9-B5C9-B06E8E768114}"/>
    <cellStyle name="Currency 5 3 2 3 2 3" xfId="5069" xr:uid="{00000000-0005-0000-0000-0000B70C0000}"/>
    <cellStyle name="Currency 5 3 2 3 2 3 2" xfId="30408" xr:uid="{7B06682E-C1F1-4891-BBA4-F2A0F040AD94}"/>
    <cellStyle name="Currency 5 3 2 3 2 3 3" xfId="21967" xr:uid="{646C72AA-0EC6-46DF-B70E-D80175B09585}"/>
    <cellStyle name="Currency 5 3 2 3 2 3 4" xfId="13519" xr:uid="{652882EE-7771-42FC-A0D3-59651EA4886A}"/>
    <cellStyle name="Currency 5 3 2 3 2 4" xfId="26190" xr:uid="{1A1591DF-DDFF-4D10-B53B-CF7A1343E74E}"/>
    <cellStyle name="Currency 5 3 2 3 2 5" xfId="17749" xr:uid="{9E2E9BEB-2521-40F8-A79A-521E9030F2EF}"/>
    <cellStyle name="Currency 5 3 2 3 2 6" xfId="9301" xr:uid="{E8F8265B-F3CB-4E5F-89D2-C1BB9C5E4526}"/>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32966" xr:uid="{AF99B592-5CB8-464F-96EE-E27546AB1E01}"/>
    <cellStyle name="Currency 5 3 2 3 3 2 2 3" xfId="24525" xr:uid="{51B15371-C610-4C36-828C-9EA49D403456}"/>
    <cellStyle name="Currency 5 3 2 3 3 2 2 4" xfId="16077" xr:uid="{C2D0FF5A-F089-426A-ABB3-D33B0347E916}"/>
    <cellStyle name="Currency 5 3 2 3 3 2 3" xfId="28748" xr:uid="{38280AD3-7181-45F9-BDC5-E6095B88A6BE}"/>
    <cellStyle name="Currency 5 3 2 3 3 2 4" xfId="20307" xr:uid="{563552CA-7D26-49F5-A870-68DFC7FEC699}"/>
    <cellStyle name="Currency 5 3 2 3 3 2 5" xfId="11859" xr:uid="{75AFD82F-C34F-4C4C-8E8C-B3B34198DC05}"/>
    <cellStyle name="Currency 5 3 2 3 3 3" xfId="5482" xr:uid="{00000000-0005-0000-0000-0000BB0C0000}"/>
    <cellStyle name="Currency 5 3 2 3 3 3 2" xfId="30821" xr:uid="{CFF57B4F-8081-46CD-96BF-F42D857F976D}"/>
    <cellStyle name="Currency 5 3 2 3 3 3 3" xfId="22380" xr:uid="{0E276ED3-3B40-479D-AA81-4D6C97395F1D}"/>
    <cellStyle name="Currency 5 3 2 3 3 3 4" xfId="13932" xr:uid="{6A74B94A-3829-4DF5-AFFC-0C7655205333}"/>
    <cellStyle name="Currency 5 3 2 3 3 4" xfId="26603" xr:uid="{458CF23C-A8C4-4F8C-8EF6-7ABAB3034E8B}"/>
    <cellStyle name="Currency 5 3 2 3 3 5" xfId="18162" xr:uid="{D7EB5C76-7538-41D4-BB5D-B40F6D251844}"/>
    <cellStyle name="Currency 5 3 2 3 3 6" xfId="9714" xr:uid="{C3443E1C-3987-4CDF-85CA-9F61FA27B361}"/>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33379" xr:uid="{18E10983-F501-481F-AE76-D6229CF12136}"/>
    <cellStyle name="Currency 5 3 2 3 4 2 2 3" xfId="24938" xr:uid="{3BB2D2A0-BBD0-4780-B524-532D8A7DBB11}"/>
    <cellStyle name="Currency 5 3 2 3 4 2 2 4" xfId="16490" xr:uid="{6007D12C-BC70-403E-880D-522EB843B234}"/>
    <cellStyle name="Currency 5 3 2 3 4 2 3" xfId="29161" xr:uid="{A650BD68-8963-41C5-BD53-79E192F45C3B}"/>
    <cellStyle name="Currency 5 3 2 3 4 2 4" xfId="20720" xr:uid="{9F3597E2-6A47-462C-8552-DA8B46DAADF9}"/>
    <cellStyle name="Currency 5 3 2 3 4 2 5" xfId="12272" xr:uid="{C6C246F4-2CF3-490D-83EA-067DA7A5F50E}"/>
    <cellStyle name="Currency 5 3 2 3 4 3" xfId="5895" xr:uid="{00000000-0005-0000-0000-0000BF0C0000}"/>
    <cellStyle name="Currency 5 3 2 3 4 3 2" xfId="31234" xr:uid="{96B71361-AE66-4109-B773-CBB7F7F846BF}"/>
    <cellStyle name="Currency 5 3 2 3 4 3 3" xfId="22793" xr:uid="{F8380C01-9248-457A-831C-D1815E020D05}"/>
    <cellStyle name="Currency 5 3 2 3 4 3 4" xfId="14345" xr:uid="{5ADAAF6B-349A-4358-B8AC-8F329EFAB993}"/>
    <cellStyle name="Currency 5 3 2 3 4 4" xfId="27016" xr:uid="{556BA394-B5D9-4D06-99D3-3DB49C0FD921}"/>
    <cellStyle name="Currency 5 3 2 3 4 5" xfId="18575" xr:uid="{9C028166-A030-4DBD-B1E6-4FDB0A446112}"/>
    <cellStyle name="Currency 5 3 2 3 4 6" xfId="10127" xr:uid="{F4937EF7-E9BA-4D15-8A0D-B5ACAD859AA4}"/>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33792" xr:uid="{8E29C643-9978-4D14-B041-298B24555401}"/>
    <cellStyle name="Currency 5 3 2 3 5 2 2 3" xfId="25351" xr:uid="{A4A2E7D1-94A9-4F07-81FE-CDBF45EE6509}"/>
    <cellStyle name="Currency 5 3 2 3 5 2 2 4" xfId="16903" xr:uid="{B70554AD-185A-487B-814B-1182550D638E}"/>
    <cellStyle name="Currency 5 3 2 3 5 2 3" xfId="29574" xr:uid="{5A4EDB62-DA84-41C9-9B9F-13D742A980FB}"/>
    <cellStyle name="Currency 5 3 2 3 5 2 4" xfId="21133" xr:uid="{FCC85EF4-2CAD-4A06-9B54-4844C920A61D}"/>
    <cellStyle name="Currency 5 3 2 3 5 2 5" xfId="12685" xr:uid="{5974160D-B9D4-480D-BFC9-52267CEA1E43}"/>
    <cellStyle name="Currency 5 3 2 3 5 3" xfId="6308" xr:uid="{00000000-0005-0000-0000-0000C30C0000}"/>
    <cellStyle name="Currency 5 3 2 3 5 3 2" xfId="31647" xr:uid="{06A6451C-2965-4422-AAF4-3090998C00D3}"/>
    <cellStyle name="Currency 5 3 2 3 5 3 3" xfId="23206" xr:uid="{E7D49319-475C-4337-B2AA-CFD3828B6112}"/>
    <cellStyle name="Currency 5 3 2 3 5 3 4" xfId="14758" xr:uid="{1789D1DB-74C2-42B8-8354-D23547C243CE}"/>
    <cellStyle name="Currency 5 3 2 3 5 4" xfId="27429" xr:uid="{94B57AFF-5F7B-441A-B708-5752ABE3D660}"/>
    <cellStyle name="Currency 5 3 2 3 5 5" xfId="18988" xr:uid="{4E7478B6-C6AD-4C2B-8B18-34D427D3115F}"/>
    <cellStyle name="Currency 5 3 2 3 5 6" xfId="10540" xr:uid="{236FF3E9-4803-4B82-AD37-080B1251D306}"/>
    <cellStyle name="Currency 5 3 2 3 6" xfId="2437" xr:uid="{00000000-0005-0000-0000-0000C40C0000}"/>
    <cellStyle name="Currency 5 3 2 3 6 2" xfId="6721" xr:uid="{00000000-0005-0000-0000-0000C50C0000}"/>
    <cellStyle name="Currency 5 3 2 3 6 2 2" xfId="32060" xr:uid="{98092252-DDC9-4D24-9154-54B64BEF66B6}"/>
    <cellStyle name="Currency 5 3 2 3 6 2 3" xfId="23619" xr:uid="{1E98BB08-9C9D-4E1F-A578-C728F743207B}"/>
    <cellStyle name="Currency 5 3 2 3 6 2 4" xfId="15171" xr:uid="{736C4E5B-9058-4E0C-8453-FE037559C29A}"/>
    <cellStyle name="Currency 5 3 2 3 6 3" xfId="27842" xr:uid="{BF2480B6-5E02-4426-977B-7B3C51881F00}"/>
    <cellStyle name="Currency 5 3 2 3 6 4" xfId="19401" xr:uid="{28F0ED20-A52B-4D11-B0F8-CED464B56DC5}"/>
    <cellStyle name="Currency 5 3 2 3 6 5" xfId="10953" xr:uid="{5ECAD911-90C1-4A69-BC9B-CD98ECF0C648}"/>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32377" xr:uid="{8B09C40B-F7A4-40E3-9BA2-96CAA6DB732D}"/>
    <cellStyle name="Currency 5 3 2 3 8 2 3" xfId="23936" xr:uid="{CD42777E-D04C-421B-A74B-A4CF8F2B27D0}"/>
    <cellStyle name="Currency 5 3 2 3 8 2 4" xfId="15488" xr:uid="{E196A5C4-6439-419B-9EF0-E424FF9DA9CF}"/>
    <cellStyle name="Currency 5 3 2 3 8 3" xfId="28159" xr:uid="{C221274E-C36C-4EE6-B11D-882011470E27}"/>
    <cellStyle name="Currency 5 3 2 3 8 4" xfId="19718" xr:uid="{84082F42-571E-477D-AB06-E68FC2B5965A}"/>
    <cellStyle name="Currency 5 3 2 3 8 5" xfId="11270" xr:uid="{853E0FD8-32FE-4A03-9B95-05534DC6397E}"/>
    <cellStyle name="Currency 5 3 2 3 9" xfId="4655" xr:uid="{00000000-0005-0000-0000-0000C90C0000}"/>
    <cellStyle name="Currency 5 3 2 3 9 2" xfId="29994" xr:uid="{7D5B0D7B-FB70-424F-875B-74AA0E1CB235}"/>
    <cellStyle name="Currency 5 3 2 3 9 3" xfId="21553" xr:uid="{A57906A7-E538-4753-9354-196820FE1EB2}"/>
    <cellStyle name="Currency 5 3 2 3 9 4" xfId="13105" xr:uid="{F804DE29-E749-4D77-BC41-C268008D7113}"/>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32550" xr:uid="{5515DA2B-FACE-4B1A-898F-B5BB8C021EB6}"/>
    <cellStyle name="Currency 5 3 2 4 2 2 3" xfId="24109" xr:uid="{C348BED6-AD1C-4299-ACF6-757EADC19E4C}"/>
    <cellStyle name="Currency 5 3 2 4 2 2 4" xfId="15661" xr:uid="{630BD483-26CD-4F76-98E2-1CA37C56AA1C}"/>
    <cellStyle name="Currency 5 3 2 4 2 3" xfId="28332" xr:uid="{D9F63E74-D144-461E-90E4-2E805DFD8298}"/>
    <cellStyle name="Currency 5 3 2 4 2 4" xfId="19891" xr:uid="{3846EE0F-0E87-4955-BB51-BF7AB61E2672}"/>
    <cellStyle name="Currency 5 3 2 4 2 5" xfId="11443" xr:uid="{5F45665D-9D8D-4FC5-AEBF-3D36D12D7EF0}"/>
    <cellStyle name="Currency 5 3 2 4 3" xfId="5066" xr:uid="{00000000-0005-0000-0000-0000CD0C0000}"/>
    <cellStyle name="Currency 5 3 2 4 3 2" xfId="30405" xr:uid="{25523B44-0755-4393-B351-6821C5EA95D8}"/>
    <cellStyle name="Currency 5 3 2 4 3 3" xfId="21964" xr:uid="{2F8BFD69-7F6F-4104-B853-206F849A279D}"/>
    <cellStyle name="Currency 5 3 2 4 3 4" xfId="13516" xr:uid="{0A4E6454-1602-425B-A481-97786CB9AE81}"/>
    <cellStyle name="Currency 5 3 2 4 4" xfId="26187" xr:uid="{90909AC8-7226-4D1A-A3B7-80420C512B91}"/>
    <cellStyle name="Currency 5 3 2 4 5" xfId="17746" xr:uid="{AB77FAAC-5D3F-428E-9B58-82E9A0E323F8}"/>
    <cellStyle name="Currency 5 3 2 4 6" xfId="9298" xr:uid="{3DC30E7A-091E-43D0-A12C-C13FB966D70B}"/>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32963" xr:uid="{0751EF45-B75F-4E26-AA02-F3467274FC6C}"/>
    <cellStyle name="Currency 5 3 2 5 2 2 3" xfId="24522" xr:uid="{BF127C0F-75D1-4275-84D3-F84711F2F92C}"/>
    <cellStyle name="Currency 5 3 2 5 2 2 4" xfId="16074" xr:uid="{BFFF0A9E-42B9-4C93-9C9C-5049502F57D0}"/>
    <cellStyle name="Currency 5 3 2 5 2 3" xfId="28745" xr:uid="{6964BE81-D3C0-42BB-96B5-A594A2D60802}"/>
    <cellStyle name="Currency 5 3 2 5 2 4" xfId="20304" xr:uid="{8B5D94E5-513E-4DDD-93A7-6427374DBF29}"/>
    <cellStyle name="Currency 5 3 2 5 2 5" xfId="11856" xr:uid="{FA23043A-4AD5-4E61-A0AA-35536A7F77DC}"/>
    <cellStyle name="Currency 5 3 2 5 3" xfId="5479" xr:uid="{00000000-0005-0000-0000-0000D10C0000}"/>
    <cellStyle name="Currency 5 3 2 5 3 2" xfId="30818" xr:uid="{BAB0A4BB-2997-4F9B-B529-C5CEADEC9122}"/>
    <cellStyle name="Currency 5 3 2 5 3 3" xfId="22377" xr:uid="{2E6DDC88-547E-4E3D-BD8D-4717AB3D0835}"/>
    <cellStyle name="Currency 5 3 2 5 3 4" xfId="13929" xr:uid="{A0BF4B00-B165-4D0C-9266-3EBE0F8B2703}"/>
    <cellStyle name="Currency 5 3 2 5 4" xfId="26600" xr:uid="{35EF0CEF-74FF-4D49-ACD9-ED7EAAF43AA6}"/>
    <cellStyle name="Currency 5 3 2 5 5" xfId="18159" xr:uid="{D2298FAF-EBCC-4DBF-9DB6-C99CB271A276}"/>
    <cellStyle name="Currency 5 3 2 5 6" xfId="9711" xr:uid="{2F289047-AFBF-46AE-857A-4B9EF908CD64}"/>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33376" xr:uid="{02AD77C6-2EF5-4B5C-BF98-231C602CE67E}"/>
    <cellStyle name="Currency 5 3 2 6 2 2 3" xfId="24935" xr:uid="{6B528341-358A-425B-954C-0F68E2263D84}"/>
    <cellStyle name="Currency 5 3 2 6 2 2 4" xfId="16487" xr:uid="{FDBE8A17-E350-4572-ACCA-3A97C8B60FF3}"/>
    <cellStyle name="Currency 5 3 2 6 2 3" xfId="29158" xr:uid="{08E1B62A-32B3-4C8B-9659-BAD2D569CE9F}"/>
    <cellStyle name="Currency 5 3 2 6 2 4" xfId="20717" xr:uid="{3EE36F29-8B1C-410A-934A-367DF1CA05CD}"/>
    <cellStyle name="Currency 5 3 2 6 2 5" xfId="12269" xr:uid="{589DB15E-131B-4315-967A-761836681A65}"/>
    <cellStyle name="Currency 5 3 2 6 3" xfId="5892" xr:uid="{00000000-0005-0000-0000-0000D50C0000}"/>
    <cellStyle name="Currency 5 3 2 6 3 2" xfId="31231" xr:uid="{7067E507-AA91-4061-BDCF-11DBAB9A56F8}"/>
    <cellStyle name="Currency 5 3 2 6 3 3" xfId="22790" xr:uid="{DA0B5F66-0AA2-47D2-B09D-883EFBDBF374}"/>
    <cellStyle name="Currency 5 3 2 6 3 4" xfId="14342" xr:uid="{F3D92AD2-2580-4626-9202-E9B207434ABC}"/>
    <cellStyle name="Currency 5 3 2 6 4" xfId="27013" xr:uid="{53B5BE62-7ABA-45C4-B276-6DD622DCA675}"/>
    <cellStyle name="Currency 5 3 2 6 5" xfId="18572" xr:uid="{687F588E-F41D-465C-AA4E-A7D2BA250B4B}"/>
    <cellStyle name="Currency 5 3 2 6 6" xfId="10124" xr:uid="{6ACDF287-A9C9-4F41-B034-152C88419949}"/>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33789" xr:uid="{F21D8EE4-F3E2-491C-A7E4-AE961A93D869}"/>
    <cellStyle name="Currency 5 3 2 7 2 2 3" xfId="25348" xr:uid="{8C4C097B-A23E-4AE3-9984-BDF922839ABF}"/>
    <cellStyle name="Currency 5 3 2 7 2 2 4" xfId="16900" xr:uid="{3C7EDFC4-D298-4E16-A63E-FFDFF9963FAB}"/>
    <cellStyle name="Currency 5 3 2 7 2 3" xfId="29571" xr:uid="{675CE380-94B5-4250-B404-58997F2F7F01}"/>
    <cellStyle name="Currency 5 3 2 7 2 4" xfId="21130" xr:uid="{3B5BD8EF-9B27-4E66-AA11-14F8E1A7B71F}"/>
    <cellStyle name="Currency 5 3 2 7 2 5" xfId="12682" xr:uid="{9DABDBD0-2E0A-4748-970E-233BA84FAA9A}"/>
    <cellStyle name="Currency 5 3 2 7 3" xfId="6305" xr:uid="{00000000-0005-0000-0000-0000D90C0000}"/>
    <cellStyle name="Currency 5 3 2 7 3 2" xfId="31644" xr:uid="{BF25DACF-DBD2-4369-AF05-12349F19AEFB}"/>
    <cellStyle name="Currency 5 3 2 7 3 3" xfId="23203" xr:uid="{0091D816-A075-4BAF-92CD-B1C081D699A7}"/>
    <cellStyle name="Currency 5 3 2 7 3 4" xfId="14755" xr:uid="{17B3CE72-C16A-4915-BF09-DED33CBCACF8}"/>
    <cellStyle name="Currency 5 3 2 7 4" xfId="27426" xr:uid="{5D1A6D59-4CE9-4EF5-AFBA-BF74C2797698}"/>
    <cellStyle name="Currency 5 3 2 7 5" xfId="18985" xr:uid="{E8E885FD-BB2D-49E0-86C0-21B491F8F677}"/>
    <cellStyle name="Currency 5 3 2 7 6" xfId="10537" xr:uid="{6244CA37-0B7F-4714-975F-9F8378D4BFC1}"/>
    <cellStyle name="Currency 5 3 2 8" xfId="2434" xr:uid="{00000000-0005-0000-0000-0000DA0C0000}"/>
    <cellStyle name="Currency 5 3 2 8 2" xfId="6718" xr:uid="{00000000-0005-0000-0000-0000DB0C0000}"/>
    <cellStyle name="Currency 5 3 2 8 2 2" xfId="32057" xr:uid="{D54390A6-E243-444C-B09E-D20C60958B8A}"/>
    <cellStyle name="Currency 5 3 2 8 2 3" xfId="23616" xr:uid="{7187ED30-B22B-41A3-9555-D0EDC03ED495}"/>
    <cellStyle name="Currency 5 3 2 8 2 4" xfId="15168" xr:uid="{0BAB08F4-E39F-4D02-82C9-6309C532FDD0}"/>
    <cellStyle name="Currency 5 3 2 8 3" xfId="27839" xr:uid="{E08BB455-7EEC-4717-83CE-0C5A759F978D}"/>
    <cellStyle name="Currency 5 3 2 8 4" xfId="19398" xr:uid="{3689456C-04A7-49F7-A878-20C734C443FA}"/>
    <cellStyle name="Currency 5 3 2 8 5" xfId="10950" xr:uid="{5F5E6439-98B8-496C-9D7E-E6FC8D15A73D}"/>
    <cellStyle name="Currency 5 3 2 9" xfId="2731" xr:uid="{00000000-0005-0000-0000-0000DC0C0000}"/>
    <cellStyle name="Currency 5 3 3" xfId="214" xr:uid="{00000000-0005-0000-0000-0000DD0C0000}"/>
    <cellStyle name="Currency 5 3 3 10" xfId="4656" xr:uid="{00000000-0005-0000-0000-0000DE0C0000}"/>
    <cellStyle name="Currency 5 3 3 10 2" xfId="29995" xr:uid="{1F1014EB-0AF5-46E4-B4D0-863F09BFC13D}"/>
    <cellStyle name="Currency 5 3 3 10 3" xfId="21554" xr:uid="{399AE493-3921-4E53-912F-CA19DB484791}"/>
    <cellStyle name="Currency 5 3 3 10 4" xfId="13106" xr:uid="{1210D2B0-051F-4417-98CB-DE0B1AC13784}"/>
    <cellStyle name="Currency 5 3 3 11" xfId="25777" xr:uid="{BBE8BCD1-0FC8-40BD-85FB-59FFBB235DAF}"/>
    <cellStyle name="Currency 5 3 3 12" xfId="17336" xr:uid="{97862446-57BC-4D35-9C71-B6FC031C5B9A}"/>
    <cellStyle name="Currency 5 3 3 13" xfId="8888" xr:uid="{57488F24-B9C4-4AFE-BC8B-EC2EE2248D73}"/>
    <cellStyle name="Currency 5 3 3 2" xfId="215" xr:uid="{00000000-0005-0000-0000-0000DF0C0000}"/>
    <cellStyle name="Currency 5 3 3 2 10" xfId="25778" xr:uid="{4F543647-6895-48DD-8485-C73B85CA66A7}"/>
    <cellStyle name="Currency 5 3 3 2 11" xfId="17337" xr:uid="{547BF84D-A604-4731-BFF2-6A582210E436}"/>
    <cellStyle name="Currency 5 3 3 2 12" xfId="8889" xr:uid="{E99ED6EC-F07F-4C69-8864-B301E988F1D2}"/>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32555" xr:uid="{D9ECB0C6-1EA4-4A48-8129-2B0F5F2B1F78}"/>
    <cellStyle name="Currency 5 3 3 2 2 2 2 3" xfId="24114" xr:uid="{3E3AC1AE-8A1E-4871-AB35-221850E8D4BE}"/>
    <cellStyle name="Currency 5 3 3 2 2 2 2 4" xfId="15666" xr:uid="{F9E2DEA0-EFEA-4D34-8A15-B86E57C5044D}"/>
    <cellStyle name="Currency 5 3 3 2 2 2 3" xfId="28337" xr:uid="{143B3575-55B5-4A08-9970-1A46557D68FF}"/>
    <cellStyle name="Currency 5 3 3 2 2 2 4" xfId="19896" xr:uid="{7D4F3C50-EFF5-45AB-99DB-E78400A09FCF}"/>
    <cellStyle name="Currency 5 3 3 2 2 2 5" xfId="11448" xr:uid="{2A97FF55-7E85-4886-8D9C-DD6842F09F95}"/>
    <cellStyle name="Currency 5 3 3 2 2 3" xfId="5071" xr:uid="{00000000-0005-0000-0000-0000E30C0000}"/>
    <cellStyle name="Currency 5 3 3 2 2 3 2" xfId="30410" xr:uid="{3F96B362-A881-4B29-90BF-558A43B57A84}"/>
    <cellStyle name="Currency 5 3 3 2 2 3 3" xfId="21969" xr:uid="{E209F6BE-1817-4D65-BEB9-C3A51B7C21BC}"/>
    <cellStyle name="Currency 5 3 3 2 2 3 4" xfId="13521" xr:uid="{88DAD135-F988-4F2D-BB75-AF762DEC7DA7}"/>
    <cellStyle name="Currency 5 3 3 2 2 4" xfId="26192" xr:uid="{9E3942F3-8186-4855-9797-55D2979E6009}"/>
    <cellStyle name="Currency 5 3 3 2 2 5" xfId="17751" xr:uid="{34E0AAB2-7EE1-451F-B7A3-0DC0C33ACFE1}"/>
    <cellStyle name="Currency 5 3 3 2 2 6" xfId="9303" xr:uid="{6F6EDD55-A531-42ED-8CA9-5C07EEF4D128}"/>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32968" xr:uid="{5AC3D545-0DC7-4868-9F06-FA78A336623B}"/>
    <cellStyle name="Currency 5 3 3 2 3 2 2 3" xfId="24527" xr:uid="{A9D02592-E562-462C-9B9B-AE6953106620}"/>
    <cellStyle name="Currency 5 3 3 2 3 2 2 4" xfId="16079" xr:uid="{8F8439D5-8F9C-40E8-92CF-4BD88595333E}"/>
    <cellStyle name="Currency 5 3 3 2 3 2 3" xfId="28750" xr:uid="{06A8107C-6D17-4301-B385-1B39F04532F4}"/>
    <cellStyle name="Currency 5 3 3 2 3 2 4" xfId="20309" xr:uid="{8A9154FA-8CFF-4284-87AE-194C36525CC8}"/>
    <cellStyle name="Currency 5 3 3 2 3 2 5" xfId="11861" xr:uid="{1F9C6588-653C-446C-A22B-B7F879864CE2}"/>
    <cellStyle name="Currency 5 3 3 2 3 3" xfId="5484" xr:uid="{00000000-0005-0000-0000-0000E70C0000}"/>
    <cellStyle name="Currency 5 3 3 2 3 3 2" xfId="30823" xr:uid="{D279A938-2B6C-4CC7-80AC-B49F44A921AA}"/>
    <cellStyle name="Currency 5 3 3 2 3 3 3" xfId="22382" xr:uid="{F602F5DF-2654-4E1A-A9D5-90F4766E7E84}"/>
    <cellStyle name="Currency 5 3 3 2 3 3 4" xfId="13934" xr:uid="{C714D6D9-061A-4001-96EA-FA1AFAA7467F}"/>
    <cellStyle name="Currency 5 3 3 2 3 4" xfId="26605" xr:uid="{F8934B6B-7240-4BA3-84A2-C72AD32C4D70}"/>
    <cellStyle name="Currency 5 3 3 2 3 5" xfId="18164" xr:uid="{23193858-2C19-4BE0-8484-F64BA58708D7}"/>
    <cellStyle name="Currency 5 3 3 2 3 6" xfId="9716" xr:uid="{ADEE303C-8A85-4B59-82BD-329837A59839}"/>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33381" xr:uid="{D3283CC5-4FC8-468D-98CC-FB326053A0FF}"/>
    <cellStyle name="Currency 5 3 3 2 4 2 2 3" xfId="24940" xr:uid="{81887772-7D3A-422D-BEE4-033DE9156079}"/>
    <cellStyle name="Currency 5 3 3 2 4 2 2 4" xfId="16492" xr:uid="{52D3EEEA-CEF3-4848-96F8-3AB2BC324E35}"/>
    <cellStyle name="Currency 5 3 3 2 4 2 3" xfId="29163" xr:uid="{2EF284D7-4E63-4B9B-8F0B-8F42F85D8494}"/>
    <cellStyle name="Currency 5 3 3 2 4 2 4" xfId="20722" xr:uid="{8BCF6B62-80E3-4057-8DB2-9C7EEEB3A647}"/>
    <cellStyle name="Currency 5 3 3 2 4 2 5" xfId="12274" xr:uid="{FADFF228-9DF7-40CA-99AA-6D2F8621D7AD}"/>
    <cellStyle name="Currency 5 3 3 2 4 3" xfId="5897" xr:uid="{00000000-0005-0000-0000-0000EB0C0000}"/>
    <cellStyle name="Currency 5 3 3 2 4 3 2" xfId="31236" xr:uid="{ACD62370-0174-43FE-A1AB-27014BBDF559}"/>
    <cellStyle name="Currency 5 3 3 2 4 3 3" xfId="22795" xr:uid="{1A231D5A-2D8C-4A4B-8327-DFF50523D84E}"/>
    <cellStyle name="Currency 5 3 3 2 4 3 4" xfId="14347" xr:uid="{559831FF-95B7-420D-9602-6D8CA5A51C7E}"/>
    <cellStyle name="Currency 5 3 3 2 4 4" xfId="27018" xr:uid="{DDA7C8ED-358C-4630-A8B0-994948533845}"/>
    <cellStyle name="Currency 5 3 3 2 4 5" xfId="18577" xr:uid="{9BE2C57A-0F5A-489E-8080-9BE550E2336B}"/>
    <cellStyle name="Currency 5 3 3 2 4 6" xfId="10129" xr:uid="{A5FD14C3-49CF-4B53-9AD6-F2AC2761B7C2}"/>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33794" xr:uid="{3711956B-4864-40D1-89B2-9710BA1C3AE5}"/>
    <cellStyle name="Currency 5 3 3 2 5 2 2 3" xfId="25353" xr:uid="{62B7F323-C682-4B6E-B026-6B03B23432FA}"/>
    <cellStyle name="Currency 5 3 3 2 5 2 2 4" xfId="16905" xr:uid="{3A655E0B-E1D0-4739-9B3F-2AB8CD105343}"/>
    <cellStyle name="Currency 5 3 3 2 5 2 3" xfId="29576" xr:uid="{67993E56-E514-4AAC-AD10-A13F3131C432}"/>
    <cellStyle name="Currency 5 3 3 2 5 2 4" xfId="21135" xr:uid="{089C6D2C-4744-4589-B969-37A945A46167}"/>
    <cellStyle name="Currency 5 3 3 2 5 2 5" xfId="12687" xr:uid="{8828DD03-445F-48B6-85D2-626A742235A1}"/>
    <cellStyle name="Currency 5 3 3 2 5 3" xfId="6310" xr:uid="{00000000-0005-0000-0000-0000EF0C0000}"/>
    <cellStyle name="Currency 5 3 3 2 5 3 2" xfId="31649" xr:uid="{9FB2A373-1532-4223-9720-C7AD165E1C0F}"/>
    <cellStyle name="Currency 5 3 3 2 5 3 3" xfId="23208" xr:uid="{52CD44BD-E7A8-4030-9B6F-96BD27B31528}"/>
    <cellStyle name="Currency 5 3 3 2 5 3 4" xfId="14760" xr:uid="{C55B71AD-0DB6-4026-983A-2845669331C8}"/>
    <cellStyle name="Currency 5 3 3 2 5 4" xfId="27431" xr:uid="{15C7A66B-BBB5-4A43-AC3D-86EA96ADBD3D}"/>
    <cellStyle name="Currency 5 3 3 2 5 5" xfId="18990" xr:uid="{EB48723F-9247-487F-A7C6-4ACDDE6DD75A}"/>
    <cellStyle name="Currency 5 3 3 2 5 6" xfId="10542" xr:uid="{B1A9634C-867C-45F4-82C3-A7EEBFC3572D}"/>
    <cellStyle name="Currency 5 3 3 2 6" xfId="2439" xr:uid="{00000000-0005-0000-0000-0000F00C0000}"/>
    <cellStyle name="Currency 5 3 3 2 6 2" xfId="6723" xr:uid="{00000000-0005-0000-0000-0000F10C0000}"/>
    <cellStyle name="Currency 5 3 3 2 6 2 2" xfId="32062" xr:uid="{2A4AB921-16BD-45F2-8E2D-D097D56C2CCF}"/>
    <cellStyle name="Currency 5 3 3 2 6 2 3" xfId="23621" xr:uid="{F493DDBE-A7B1-42E1-97B0-1093E2C8518A}"/>
    <cellStyle name="Currency 5 3 3 2 6 2 4" xfId="15173" xr:uid="{C61DC759-2F2F-4546-A6B8-A738BF1410B7}"/>
    <cellStyle name="Currency 5 3 3 2 6 3" xfId="27844" xr:uid="{2867AC9B-41D5-40A0-AF4C-65F2F1B4560A}"/>
    <cellStyle name="Currency 5 3 3 2 6 4" xfId="19403" xr:uid="{AE5A8977-776C-43F2-ADB4-1C8782CDE5AF}"/>
    <cellStyle name="Currency 5 3 3 2 6 5" xfId="10955" xr:uid="{9452F153-A62D-44F1-8525-89B4E582C65B}"/>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32379" xr:uid="{B3748E28-6ABE-4D5D-A30B-AC11BE1141B7}"/>
    <cellStyle name="Currency 5 3 3 2 8 2 3" xfId="23938" xr:uid="{2CD6D2E9-8583-40F3-A14A-EB73FCA3F6E3}"/>
    <cellStyle name="Currency 5 3 3 2 8 2 4" xfId="15490" xr:uid="{7F9A7AC8-C9FD-49FC-94ED-DE6EBE966833}"/>
    <cellStyle name="Currency 5 3 3 2 8 3" xfId="28161" xr:uid="{A2E029CC-8340-45E6-824F-3F22953EEF74}"/>
    <cellStyle name="Currency 5 3 3 2 8 4" xfId="19720" xr:uid="{E6C5C5EF-0B66-4D0A-ABE9-6170DD15C159}"/>
    <cellStyle name="Currency 5 3 3 2 8 5" xfId="11272" xr:uid="{DFC30D8B-2437-468B-8BA6-EBF8DC8E7AFF}"/>
    <cellStyle name="Currency 5 3 3 2 9" xfId="4657" xr:uid="{00000000-0005-0000-0000-0000F50C0000}"/>
    <cellStyle name="Currency 5 3 3 2 9 2" xfId="29996" xr:uid="{89AE2AC0-FC18-4ECF-8123-45C287ACDCF3}"/>
    <cellStyle name="Currency 5 3 3 2 9 3" xfId="21555" xr:uid="{B8B125B3-481E-491D-8412-F9FAB66C15B5}"/>
    <cellStyle name="Currency 5 3 3 2 9 4" xfId="13107" xr:uid="{7FC2EB97-D61B-4706-91B6-57B02E13BCD7}"/>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32554" xr:uid="{C6350438-B08F-4810-8E93-C86293863CEB}"/>
    <cellStyle name="Currency 5 3 3 3 2 2 3" xfId="24113" xr:uid="{E6A1C42E-7016-485D-8514-C809459406B6}"/>
    <cellStyle name="Currency 5 3 3 3 2 2 4" xfId="15665" xr:uid="{1695B900-ABF7-42AF-BA12-6BE7AA2ACE66}"/>
    <cellStyle name="Currency 5 3 3 3 2 3" xfId="28336" xr:uid="{FAA25291-DE6E-4D34-9E90-89446DAD85B0}"/>
    <cellStyle name="Currency 5 3 3 3 2 4" xfId="19895" xr:uid="{E5968111-F629-48C5-A130-3B4E85B5B313}"/>
    <cellStyle name="Currency 5 3 3 3 2 5" xfId="11447" xr:uid="{FCC5F319-F632-43C5-BCCC-B9C75213A67D}"/>
    <cellStyle name="Currency 5 3 3 3 3" xfId="5070" xr:uid="{00000000-0005-0000-0000-0000F90C0000}"/>
    <cellStyle name="Currency 5 3 3 3 3 2" xfId="30409" xr:uid="{104F2DCC-1F91-4C0E-BBCF-3E9D22E15C70}"/>
    <cellStyle name="Currency 5 3 3 3 3 3" xfId="21968" xr:uid="{B6933079-FEDC-40D7-9039-E5612C0F3863}"/>
    <cellStyle name="Currency 5 3 3 3 3 4" xfId="13520" xr:uid="{04634C1B-E9B8-4C55-AF0B-234DCF5A571E}"/>
    <cellStyle name="Currency 5 3 3 3 4" xfId="26191" xr:uid="{9E7620F6-1148-4247-A70B-8409C60B69D6}"/>
    <cellStyle name="Currency 5 3 3 3 5" xfId="17750" xr:uid="{EE84B9E1-F75D-4161-8070-DFA82D934373}"/>
    <cellStyle name="Currency 5 3 3 3 6" xfId="9302" xr:uid="{B34054EB-502D-4DB7-8DB4-01EE6971ABB9}"/>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32967" xr:uid="{B14329AF-D015-4FDC-8410-1BA744040D74}"/>
    <cellStyle name="Currency 5 3 3 4 2 2 3" xfId="24526" xr:uid="{FEBC65E4-DC1C-4E0D-A2B4-FDA3CE60E618}"/>
    <cellStyle name="Currency 5 3 3 4 2 2 4" xfId="16078" xr:uid="{98045DB7-18EA-4B1B-AD57-24D9CC752FC0}"/>
    <cellStyle name="Currency 5 3 3 4 2 3" xfId="28749" xr:uid="{4BAB646A-8FE4-49E0-AC48-D7E9F523DC32}"/>
    <cellStyle name="Currency 5 3 3 4 2 4" xfId="20308" xr:uid="{57EC8CAD-8A7F-410D-81D2-C864631DFE55}"/>
    <cellStyle name="Currency 5 3 3 4 2 5" xfId="11860" xr:uid="{8854C036-1BE6-4A31-B2FF-55CC11C91C61}"/>
    <cellStyle name="Currency 5 3 3 4 3" xfId="5483" xr:uid="{00000000-0005-0000-0000-0000FD0C0000}"/>
    <cellStyle name="Currency 5 3 3 4 3 2" xfId="30822" xr:uid="{13228C38-AFBA-4093-B07E-BD1BF3A240C9}"/>
    <cellStyle name="Currency 5 3 3 4 3 3" xfId="22381" xr:uid="{9579CC87-6381-4D74-9C9C-120986947721}"/>
    <cellStyle name="Currency 5 3 3 4 3 4" xfId="13933" xr:uid="{ABFC1127-4EEA-4694-AC00-4C981AA45582}"/>
    <cellStyle name="Currency 5 3 3 4 4" xfId="26604" xr:uid="{31893E32-0478-40B0-819B-98A1EAFEFAAC}"/>
    <cellStyle name="Currency 5 3 3 4 5" xfId="18163" xr:uid="{99E546D0-8ABD-4EF1-9805-D08099078A74}"/>
    <cellStyle name="Currency 5 3 3 4 6" xfId="9715" xr:uid="{35EDADF5-CA6E-430D-ADD6-821C3FFBDE18}"/>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33380" xr:uid="{E95E8DFB-B46B-4FBB-9F04-6EA29ECD0257}"/>
    <cellStyle name="Currency 5 3 3 5 2 2 3" xfId="24939" xr:uid="{977D5E64-3A73-41D4-96B2-1DEE18B565D5}"/>
    <cellStyle name="Currency 5 3 3 5 2 2 4" xfId="16491" xr:uid="{148CD030-1635-4D57-B9E0-CAEDFFF02498}"/>
    <cellStyle name="Currency 5 3 3 5 2 3" xfId="29162" xr:uid="{D3E2B955-3128-4846-A4DF-D9F6115419CF}"/>
    <cellStyle name="Currency 5 3 3 5 2 4" xfId="20721" xr:uid="{56798834-151E-4B55-AC2B-3060BDAC2240}"/>
    <cellStyle name="Currency 5 3 3 5 2 5" xfId="12273" xr:uid="{869CEB32-0AA5-436F-9D9A-F6ACB48BBDA5}"/>
    <cellStyle name="Currency 5 3 3 5 3" xfId="5896" xr:uid="{00000000-0005-0000-0000-0000010D0000}"/>
    <cellStyle name="Currency 5 3 3 5 3 2" xfId="31235" xr:uid="{17EF0B41-EDE2-4AEF-9DA7-55A8537E9BA6}"/>
    <cellStyle name="Currency 5 3 3 5 3 3" xfId="22794" xr:uid="{A7A6BF71-7CFA-4A46-9D90-DA5882CD8DF8}"/>
    <cellStyle name="Currency 5 3 3 5 3 4" xfId="14346" xr:uid="{52D81A70-839A-458A-9FF3-5A7887259C3E}"/>
    <cellStyle name="Currency 5 3 3 5 4" xfId="27017" xr:uid="{A761D46D-486B-416A-91DF-DA56819E7C5A}"/>
    <cellStyle name="Currency 5 3 3 5 5" xfId="18576" xr:uid="{F2935206-1820-4AA7-BB89-C5B7CFCD5CD5}"/>
    <cellStyle name="Currency 5 3 3 5 6" xfId="10128" xr:uid="{DA90E8C9-529E-4EF1-9E43-0B7B86D0EE23}"/>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33793" xr:uid="{923CA055-7390-4224-B6D0-7D23731D7E15}"/>
    <cellStyle name="Currency 5 3 3 6 2 2 3" xfId="25352" xr:uid="{7E06C274-0915-4A04-8362-BC9DA39251CD}"/>
    <cellStyle name="Currency 5 3 3 6 2 2 4" xfId="16904" xr:uid="{84565581-3F6A-4DD7-8836-2260DD191539}"/>
    <cellStyle name="Currency 5 3 3 6 2 3" xfId="29575" xr:uid="{DF60C210-B853-40DC-B9D3-859B369D435E}"/>
    <cellStyle name="Currency 5 3 3 6 2 4" xfId="21134" xr:uid="{5FF4E717-F365-4550-BA10-6FEEF4BA6442}"/>
    <cellStyle name="Currency 5 3 3 6 2 5" xfId="12686" xr:uid="{449787AE-0495-42C5-9138-8E565CB7B358}"/>
    <cellStyle name="Currency 5 3 3 6 3" xfId="6309" xr:uid="{00000000-0005-0000-0000-0000050D0000}"/>
    <cellStyle name="Currency 5 3 3 6 3 2" xfId="31648" xr:uid="{1B9B40CE-BBC3-4B36-BC01-2FF635B1E9EE}"/>
    <cellStyle name="Currency 5 3 3 6 3 3" xfId="23207" xr:uid="{433DED05-5748-4A32-97CC-15E57B190D6E}"/>
    <cellStyle name="Currency 5 3 3 6 3 4" xfId="14759" xr:uid="{DE698475-9733-4419-BCB5-27DE94089686}"/>
    <cellStyle name="Currency 5 3 3 6 4" xfId="27430" xr:uid="{AA855C79-2CBE-4E83-ABB9-E0B666B84F2B}"/>
    <cellStyle name="Currency 5 3 3 6 5" xfId="18989" xr:uid="{D926D3AB-FD47-4B5C-BE34-3FAE994E17C4}"/>
    <cellStyle name="Currency 5 3 3 6 6" xfId="10541" xr:uid="{1BC29389-5720-4385-9B6B-2352529240F2}"/>
    <cellStyle name="Currency 5 3 3 7" xfId="2438" xr:uid="{00000000-0005-0000-0000-0000060D0000}"/>
    <cellStyle name="Currency 5 3 3 7 2" xfId="6722" xr:uid="{00000000-0005-0000-0000-0000070D0000}"/>
    <cellStyle name="Currency 5 3 3 7 2 2" xfId="32061" xr:uid="{E5FC0633-3B8B-418A-A777-82AF494EFCE3}"/>
    <cellStyle name="Currency 5 3 3 7 2 3" xfId="23620" xr:uid="{5E1A904A-2A25-4881-8876-39723026EDCF}"/>
    <cellStyle name="Currency 5 3 3 7 2 4" xfId="15172" xr:uid="{C54632C4-B317-4E76-81BB-AD623BFE7ABE}"/>
    <cellStyle name="Currency 5 3 3 7 3" xfId="27843" xr:uid="{ADF3C0B4-BA94-426C-A233-CDDE19A654F0}"/>
    <cellStyle name="Currency 5 3 3 7 4" xfId="19402" xr:uid="{3E0C2B3A-AB43-402C-978D-4BD0BB298D33}"/>
    <cellStyle name="Currency 5 3 3 7 5" xfId="10954" xr:uid="{22657B13-A63D-4322-807A-3A3E0F8DEFF7}"/>
    <cellStyle name="Currency 5 3 3 8" xfId="2735" xr:uid="{00000000-0005-0000-0000-0000080D0000}"/>
    <cellStyle name="Currency 5 3 3 9" xfId="2816" xr:uid="{00000000-0005-0000-0000-0000090D0000}"/>
    <cellStyle name="Currency 5 3 3 9 2" xfId="7039" xr:uid="{00000000-0005-0000-0000-00000A0D0000}"/>
    <cellStyle name="Currency 5 3 3 9 2 2" xfId="32378" xr:uid="{14976C6D-17D1-4443-834C-557D2177905D}"/>
    <cellStyle name="Currency 5 3 3 9 2 3" xfId="23937" xr:uid="{8E730A2D-39BD-43FC-951A-681B9F858B2B}"/>
    <cellStyle name="Currency 5 3 3 9 2 4" xfId="15489" xr:uid="{C8EB1F01-D2B2-4980-9EDE-E9FB4F9F6FA4}"/>
    <cellStyle name="Currency 5 3 3 9 3" xfId="28160" xr:uid="{F9FD2C57-9613-442D-9D2F-8AB6F95B13DD}"/>
    <cellStyle name="Currency 5 3 3 9 4" xfId="19719" xr:uid="{4D594043-9A5E-41FF-A742-FAE8348549F3}"/>
    <cellStyle name="Currency 5 3 3 9 5" xfId="11271" xr:uid="{51539059-6363-40F5-9DD0-50BFE5E50587}"/>
    <cellStyle name="Currency 5 3 4" xfId="216" xr:uid="{00000000-0005-0000-0000-00000B0D0000}"/>
    <cellStyle name="Currency 5 3 4 10" xfId="25779" xr:uid="{35F0C39B-E36B-4048-B4B5-C1B67AFEBF53}"/>
    <cellStyle name="Currency 5 3 4 11" xfId="17338" xr:uid="{0DE7A73F-619D-45CD-9B4C-DE29EC6C65A5}"/>
    <cellStyle name="Currency 5 3 4 12" xfId="8890" xr:uid="{611100AA-641D-4BCD-8D5E-3F194089EE50}"/>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32556" xr:uid="{0E5109E2-ADA7-4860-A5BE-66ABF2989BAC}"/>
    <cellStyle name="Currency 5 3 4 2 2 2 3" xfId="24115" xr:uid="{338BC116-BB25-4A63-92FD-7B5B15729422}"/>
    <cellStyle name="Currency 5 3 4 2 2 2 4" xfId="15667" xr:uid="{64C09360-7E31-4C0D-A1EF-4E4784089D73}"/>
    <cellStyle name="Currency 5 3 4 2 2 3" xfId="28338" xr:uid="{AEEE7BBA-7965-4468-9E9B-4997584A0BCE}"/>
    <cellStyle name="Currency 5 3 4 2 2 4" xfId="19897" xr:uid="{6F04F04D-F0C5-4EB7-B691-52978005A4D2}"/>
    <cellStyle name="Currency 5 3 4 2 2 5" xfId="11449" xr:uid="{FA57C684-4D63-4D55-A561-D52E381FE023}"/>
    <cellStyle name="Currency 5 3 4 2 3" xfId="5072" xr:uid="{00000000-0005-0000-0000-00000F0D0000}"/>
    <cellStyle name="Currency 5 3 4 2 3 2" xfId="30411" xr:uid="{6C45EF8F-5F0B-48ED-8BA3-7D037B9D619D}"/>
    <cellStyle name="Currency 5 3 4 2 3 3" xfId="21970" xr:uid="{5936BAF2-FFC2-42AC-82E5-BC2138111CC8}"/>
    <cellStyle name="Currency 5 3 4 2 3 4" xfId="13522" xr:uid="{AF41C29C-E5A8-4C56-B869-1B3B3506B4AE}"/>
    <cellStyle name="Currency 5 3 4 2 4" xfId="26193" xr:uid="{D5353B27-33D4-4DF2-A815-AAF785AC70CB}"/>
    <cellStyle name="Currency 5 3 4 2 5" xfId="17752" xr:uid="{95794627-D450-48BE-B1A1-19C6EE59D46E}"/>
    <cellStyle name="Currency 5 3 4 2 6" xfId="9304" xr:uid="{5A5AF5EA-C7D6-4FA2-9A1B-F7C6C6AD4E0C}"/>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32969" xr:uid="{A3F0E2B3-0BEC-4981-8807-3E720508CE6C}"/>
    <cellStyle name="Currency 5 3 4 3 2 2 3" xfId="24528" xr:uid="{8A082B4A-F439-4449-9ACD-408DBA2D9495}"/>
    <cellStyle name="Currency 5 3 4 3 2 2 4" xfId="16080" xr:uid="{090459A9-146B-4439-895F-8A03E6BF043F}"/>
    <cellStyle name="Currency 5 3 4 3 2 3" xfId="28751" xr:uid="{14BB89FC-3F75-4417-9BAD-1CA8901E0B04}"/>
    <cellStyle name="Currency 5 3 4 3 2 4" xfId="20310" xr:uid="{3A7473B9-0047-4B1E-B561-70FD58AECEDA}"/>
    <cellStyle name="Currency 5 3 4 3 2 5" xfId="11862" xr:uid="{C3099C05-C3BF-455C-81A9-D00D40D064B8}"/>
    <cellStyle name="Currency 5 3 4 3 3" xfId="5485" xr:uid="{00000000-0005-0000-0000-0000130D0000}"/>
    <cellStyle name="Currency 5 3 4 3 3 2" xfId="30824" xr:uid="{BF514552-5D56-4D44-8F95-77C87B1A077F}"/>
    <cellStyle name="Currency 5 3 4 3 3 3" xfId="22383" xr:uid="{21CD5F38-425A-424B-9B81-4642AEEF487C}"/>
    <cellStyle name="Currency 5 3 4 3 3 4" xfId="13935" xr:uid="{60A37E1B-498F-4A3C-8A93-506766BE818B}"/>
    <cellStyle name="Currency 5 3 4 3 4" xfId="26606" xr:uid="{BB2BA5A9-8534-40AF-8769-CB0C1B48D513}"/>
    <cellStyle name="Currency 5 3 4 3 5" xfId="18165" xr:uid="{4C82D71B-4724-4B91-8F70-57519B63B047}"/>
    <cellStyle name="Currency 5 3 4 3 6" xfId="9717" xr:uid="{229D9085-07C7-4058-8E70-D06B6134D013}"/>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33382" xr:uid="{1179AC68-D72D-48CA-ACAC-D5C11D29219D}"/>
    <cellStyle name="Currency 5 3 4 4 2 2 3" xfId="24941" xr:uid="{AB2A5ED9-8AFE-4C3D-A636-E9F1811D8D25}"/>
    <cellStyle name="Currency 5 3 4 4 2 2 4" xfId="16493" xr:uid="{F37B265D-83B1-41E1-91DE-AA0CAEF8AC81}"/>
    <cellStyle name="Currency 5 3 4 4 2 3" xfId="29164" xr:uid="{7A9A7AC0-603F-48C9-8AA6-0318A66446D3}"/>
    <cellStyle name="Currency 5 3 4 4 2 4" xfId="20723" xr:uid="{32208454-AABC-4106-8401-DDB150741DC0}"/>
    <cellStyle name="Currency 5 3 4 4 2 5" xfId="12275" xr:uid="{9AA7DFB4-03E2-4690-A95A-478556F9BE60}"/>
    <cellStyle name="Currency 5 3 4 4 3" xfId="5898" xr:uid="{00000000-0005-0000-0000-0000170D0000}"/>
    <cellStyle name="Currency 5 3 4 4 3 2" xfId="31237" xr:uid="{02706AB1-C014-4C9E-B55F-0087F46DB58F}"/>
    <cellStyle name="Currency 5 3 4 4 3 3" xfId="22796" xr:uid="{134FF688-7766-476B-92A1-C3BD7F70D2DC}"/>
    <cellStyle name="Currency 5 3 4 4 3 4" xfId="14348" xr:uid="{741BF5A7-D3AE-40A2-AACC-15F90168B2F8}"/>
    <cellStyle name="Currency 5 3 4 4 4" xfId="27019" xr:uid="{6721D86A-3661-48BD-B3F3-C465B2A711DB}"/>
    <cellStyle name="Currency 5 3 4 4 5" xfId="18578" xr:uid="{BE675252-D7FF-4682-9A1B-1E905D4A3FBE}"/>
    <cellStyle name="Currency 5 3 4 4 6" xfId="10130" xr:uid="{620B2C45-73C9-4B58-B594-D5A42C727351}"/>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33795" xr:uid="{83EEE2C1-C773-4B11-B171-33D575708D61}"/>
    <cellStyle name="Currency 5 3 4 5 2 2 3" xfId="25354" xr:uid="{86325442-74EC-4B4C-8FB0-9AA0B7A1D94A}"/>
    <cellStyle name="Currency 5 3 4 5 2 2 4" xfId="16906" xr:uid="{8663AE00-3947-4A52-9651-3135030AC3ED}"/>
    <cellStyle name="Currency 5 3 4 5 2 3" xfId="29577" xr:uid="{A905A00C-7FE7-43E1-AA26-30A10550B73D}"/>
    <cellStyle name="Currency 5 3 4 5 2 4" xfId="21136" xr:uid="{94F5ABC4-BF13-4252-9F31-A751349FF4C9}"/>
    <cellStyle name="Currency 5 3 4 5 2 5" xfId="12688" xr:uid="{D643B28B-34CC-4F5E-9B70-620D7880C5EA}"/>
    <cellStyle name="Currency 5 3 4 5 3" xfId="6311" xr:uid="{00000000-0005-0000-0000-00001B0D0000}"/>
    <cellStyle name="Currency 5 3 4 5 3 2" xfId="31650" xr:uid="{BA2B2ADA-8BD1-4F63-A0C7-B043328857F0}"/>
    <cellStyle name="Currency 5 3 4 5 3 3" xfId="23209" xr:uid="{704FE098-195F-433C-9CC3-13BB0BBFD353}"/>
    <cellStyle name="Currency 5 3 4 5 3 4" xfId="14761" xr:uid="{1FCABF14-C322-4785-8608-4996DE765A90}"/>
    <cellStyle name="Currency 5 3 4 5 4" xfId="27432" xr:uid="{A808B036-8A02-4ABD-B9F8-70063902E5E3}"/>
    <cellStyle name="Currency 5 3 4 5 5" xfId="18991" xr:uid="{62D42F70-F68E-4261-AEB5-36EDBB5F8A1D}"/>
    <cellStyle name="Currency 5 3 4 5 6" xfId="10543" xr:uid="{5F2BF0BB-46CD-45DD-8E8A-22348A8757E8}"/>
    <cellStyle name="Currency 5 3 4 6" xfId="2440" xr:uid="{00000000-0005-0000-0000-00001C0D0000}"/>
    <cellStyle name="Currency 5 3 4 6 2" xfId="6724" xr:uid="{00000000-0005-0000-0000-00001D0D0000}"/>
    <cellStyle name="Currency 5 3 4 6 2 2" xfId="32063" xr:uid="{A32FCBF3-2F33-4932-BF7B-4DB85FB5EBF3}"/>
    <cellStyle name="Currency 5 3 4 6 2 3" xfId="23622" xr:uid="{2B4D50BE-1FC4-4A80-8677-286CB89114D0}"/>
    <cellStyle name="Currency 5 3 4 6 2 4" xfId="15174" xr:uid="{36D0F7F3-7A02-4F16-9372-D999C3FBCABC}"/>
    <cellStyle name="Currency 5 3 4 6 3" xfId="27845" xr:uid="{CF83C3B0-7C99-4E16-B3A1-5606B3A75FD1}"/>
    <cellStyle name="Currency 5 3 4 6 4" xfId="19404" xr:uid="{A5B8D2F9-CE04-41FA-B879-EC5B3BE2F057}"/>
    <cellStyle name="Currency 5 3 4 6 5" xfId="10956" xr:uid="{E94F9124-1770-4932-A41D-1725A0982421}"/>
    <cellStyle name="Currency 5 3 4 7" xfId="2737" xr:uid="{00000000-0005-0000-0000-00001E0D0000}"/>
    <cellStyle name="Currency 5 3 4 8" xfId="2818" xr:uid="{00000000-0005-0000-0000-00001F0D0000}"/>
    <cellStyle name="Currency 5 3 4 8 2" xfId="7041" xr:uid="{00000000-0005-0000-0000-0000200D0000}"/>
    <cellStyle name="Currency 5 3 4 8 2 2" xfId="32380" xr:uid="{AA5D2915-CAB2-4F19-8E9F-FCC8FAE276C0}"/>
    <cellStyle name="Currency 5 3 4 8 2 3" xfId="23939" xr:uid="{3C764C1F-9280-4662-BC7E-34B733C1DC5A}"/>
    <cellStyle name="Currency 5 3 4 8 2 4" xfId="15491" xr:uid="{4D12BB71-382C-4DFF-8111-FA5223C13E79}"/>
    <cellStyle name="Currency 5 3 4 8 3" xfId="28162" xr:uid="{C36ABFBE-9335-4C04-A8BB-30C07B327ADF}"/>
    <cellStyle name="Currency 5 3 4 8 4" xfId="19721" xr:uid="{2EE5747C-E6B4-4A8A-8853-5CADCBCBA3F5}"/>
    <cellStyle name="Currency 5 3 4 8 5" xfId="11273" xr:uid="{A2D160C9-41B2-4B9C-AC0D-6059836A6275}"/>
    <cellStyle name="Currency 5 3 4 9" xfId="4658" xr:uid="{00000000-0005-0000-0000-0000210D0000}"/>
    <cellStyle name="Currency 5 3 4 9 2" xfId="29997" xr:uid="{327EABA4-6CE3-47DE-A4A7-8E857171D12F}"/>
    <cellStyle name="Currency 5 3 4 9 3" xfId="21556" xr:uid="{C23F43B6-DCA3-47E2-81E5-52909AD89E97}"/>
    <cellStyle name="Currency 5 3 4 9 4" xfId="13108" xr:uid="{57222B21-7A84-4C62-8C2B-D72853A90CE3}"/>
    <cellStyle name="Currency 5 3 5" xfId="217" xr:uid="{00000000-0005-0000-0000-0000220D0000}"/>
    <cellStyle name="Currency 5 3 5 10" xfId="25780" xr:uid="{16EEF05B-D238-4713-8A21-05227052AADB}"/>
    <cellStyle name="Currency 5 3 5 11" xfId="17339" xr:uid="{ABEFD9FE-6756-4457-82AB-FC44A224A537}"/>
    <cellStyle name="Currency 5 3 5 12" xfId="8891" xr:uid="{3C13DB0A-1A76-41E7-AA90-59224A271A07}"/>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32557" xr:uid="{7B37043B-EF1C-49C0-826E-834FFEB48670}"/>
    <cellStyle name="Currency 5 3 5 2 2 2 3" xfId="24116" xr:uid="{D645CBCA-4E15-48AB-8774-7430F6F81181}"/>
    <cellStyle name="Currency 5 3 5 2 2 2 4" xfId="15668" xr:uid="{6E4D840A-14B7-4C87-A4A6-277280B9F3C2}"/>
    <cellStyle name="Currency 5 3 5 2 2 3" xfId="28339" xr:uid="{4A494E7A-C240-4E62-86C5-DD54214C5CF2}"/>
    <cellStyle name="Currency 5 3 5 2 2 4" xfId="19898" xr:uid="{21818BD6-991D-4D1A-91F7-C59CEBE1F486}"/>
    <cellStyle name="Currency 5 3 5 2 2 5" xfId="11450" xr:uid="{472ECF8E-73C1-4E9E-B7E8-3E8AD5C49EEB}"/>
    <cellStyle name="Currency 5 3 5 2 3" xfId="5073" xr:uid="{00000000-0005-0000-0000-0000260D0000}"/>
    <cellStyle name="Currency 5 3 5 2 3 2" xfId="30412" xr:uid="{DC5E27DB-163B-4725-B47C-9ED1D975B999}"/>
    <cellStyle name="Currency 5 3 5 2 3 3" xfId="21971" xr:uid="{2DA2A016-E3C9-46F1-8DEF-2B9FDA12486B}"/>
    <cellStyle name="Currency 5 3 5 2 3 4" xfId="13523" xr:uid="{B7B67505-A6C5-49CF-B063-3BFA532C821C}"/>
    <cellStyle name="Currency 5 3 5 2 4" xfId="26194" xr:uid="{FCCA686C-2FEF-452B-BB14-FA1A1B1A1DEF}"/>
    <cellStyle name="Currency 5 3 5 2 5" xfId="17753" xr:uid="{3500C066-7CA3-4428-92D7-D9F569F1A121}"/>
    <cellStyle name="Currency 5 3 5 2 6" xfId="9305" xr:uid="{204E28C8-A4D0-4D57-BE88-7E28CEAEFE8F}"/>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32970" xr:uid="{425864D1-D700-44D9-BCB1-8E1C2DA1C963}"/>
    <cellStyle name="Currency 5 3 5 3 2 2 3" xfId="24529" xr:uid="{35CA5203-165B-4113-BB50-1DC46720BC76}"/>
    <cellStyle name="Currency 5 3 5 3 2 2 4" xfId="16081" xr:uid="{79E78FEC-5BB9-45BA-AE0B-0DCCCC38F950}"/>
    <cellStyle name="Currency 5 3 5 3 2 3" xfId="28752" xr:uid="{0231D814-FCBC-4FB0-98AB-32FC49CF9450}"/>
    <cellStyle name="Currency 5 3 5 3 2 4" xfId="20311" xr:uid="{9F9938BB-2951-43F1-AE10-F7BB801166FD}"/>
    <cellStyle name="Currency 5 3 5 3 2 5" xfId="11863" xr:uid="{770487CA-DFB1-4666-964B-70FDB8E7488C}"/>
    <cellStyle name="Currency 5 3 5 3 3" xfId="5486" xr:uid="{00000000-0005-0000-0000-00002A0D0000}"/>
    <cellStyle name="Currency 5 3 5 3 3 2" xfId="30825" xr:uid="{35CC4595-D3F0-440A-A6E5-67E8FACF5FFB}"/>
    <cellStyle name="Currency 5 3 5 3 3 3" xfId="22384" xr:uid="{8BF989D4-25C8-42BE-A417-95E07D768577}"/>
    <cellStyle name="Currency 5 3 5 3 3 4" xfId="13936" xr:uid="{F43A2A6B-D29E-4FB8-995B-BE7DB4E8D7D1}"/>
    <cellStyle name="Currency 5 3 5 3 4" xfId="26607" xr:uid="{028C6AD6-C28B-48AE-9370-A9F7E4387AFC}"/>
    <cellStyle name="Currency 5 3 5 3 5" xfId="18166" xr:uid="{9A45F9EA-D9F4-4497-AF6E-DCFEBC40D53A}"/>
    <cellStyle name="Currency 5 3 5 3 6" xfId="9718" xr:uid="{15CD17A7-671F-4525-8992-7CDE08709906}"/>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33383" xr:uid="{6677A075-E54E-4ABF-B439-DAE714FAE6ED}"/>
    <cellStyle name="Currency 5 3 5 4 2 2 3" xfId="24942" xr:uid="{290A6A1C-95FD-4794-B267-A2262715081C}"/>
    <cellStyle name="Currency 5 3 5 4 2 2 4" xfId="16494" xr:uid="{A098EB8D-6345-408B-965F-A135FDDA4F29}"/>
    <cellStyle name="Currency 5 3 5 4 2 3" xfId="29165" xr:uid="{C05A513A-E99A-49D7-B66D-C9AE51C5C0E6}"/>
    <cellStyle name="Currency 5 3 5 4 2 4" xfId="20724" xr:uid="{2CBFE2EB-1912-40D2-AF95-6268A9444317}"/>
    <cellStyle name="Currency 5 3 5 4 2 5" xfId="12276" xr:uid="{A5B200EE-EB0C-4137-B1CA-420AB4370138}"/>
    <cellStyle name="Currency 5 3 5 4 3" xfId="5899" xr:uid="{00000000-0005-0000-0000-00002E0D0000}"/>
    <cellStyle name="Currency 5 3 5 4 3 2" xfId="31238" xr:uid="{5375140C-698C-40CF-9059-57215774FEEC}"/>
    <cellStyle name="Currency 5 3 5 4 3 3" xfId="22797" xr:uid="{5ED3CC4F-898B-45C6-A0BF-BADECE4DB8CC}"/>
    <cellStyle name="Currency 5 3 5 4 3 4" xfId="14349" xr:uid="{7FD80D80-92E3-4E17-87CD-D6CDC1B5E196}"/>
    <cellStyle name="Currency 5 3 5 4 4" xfId="27020" xr:uid="{0BABEDD1-DC20-4A5C-801C-D17751A62C94}"/>
    <cellStyle name="Currency 5 3 5 4 5" xfId="18579" xr:uid="{3A88EA41-394E-46BB-A76C-06D52830ABC1}"/>
    <cellStyle name="Currency 5 3 5 4 6" xfId="10131" xr:uid="{B9062247-6789-4DEC-AABC-0D88F6A7B02C}"/>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33796" xr:uid="{B4265E08-3C25-46F9-AA2F-CCD484BC01E8}"/>
    <cellStyle name="Currency 5 3 5 5 2 2 3" xfId="25355" xr:uid="{475886DE-8A3D-4AAF-9DCA-8C67E7B1C472}"/>
    <cellStyle name="Currency 5 3 5 5 2 2 4" xfId="16907" xr:uid="{2B616C1D-0D59-46B7-8B61-234C86CF795A}"/>
    <cellStyle name="Currency 5 3 5 5 2 3" xfId="29578" xr:uid="{ED168310-B82B-4E03-9EC5-5516B6CC3456}"/>
    <cellStyle name="Currency 5 3 5 5 2 4" xfId="21137" xr:uid="{6E26B33E-F442-472F-ACC7-2951C092C712}"/>
    <cellStyle name="Currency 5 3 5 5 2 5" xfId="12689" xr:uid="{915D25BD-3B05-4446-BE4D-6D6A6D824D7E}"/>
    <cellStyle name="Currency 5 3 5 5 3" xfId="6312" xr:uid="{00000000-0005-0000-0000-0000320D0000}"/>
    <cellStyle name="Currency 5 3 5 5 3 2" xfId="31651" xr:uid="{F73C74A2-5ADE-459F-8E0D-0BF6FC328DDA}"/>
    <cellStyle name="Currency 5 3 5 5 3 3" xfId="23210" xr:uid="{7D416FC3-2599-4779-B4FE-788B2ABED79A}"/>
    <cellStyle name="Currency 5 3 5 5 3 4" xfId="14762" xr:uid="{333351D7-2C3C-4AB7-B9D0-4EDC519C70DC}"/>
    <cellStyle name="Currency 5 3 5 5 4" xfId="27433" xr:uid="{C5E8C136-25E4-4EAF-9F6C-78362AEBDCAC}"/>
    <cellStyle name="Currency 5 3 5 5 5" xfId="18992" xr:uid="{7320850B-6D04-4D23-AB91-139F7AABEED2}"/>
    <cellStyle name="Currency 5 3 5 5 6" xfId="10544" xr:uid="{942DE21A-6A65-4726-AF1C-E9B9D12E6A66}"/>
    <cellStyle name="Currency 5 3 5 6" xfId="2441" xr:uid="{00000000-0005-0000-0000-0000330D0000}"/>
    <cellStyle name="Currency 5 3 5 6 2" xfId="6725" xr:uid="{00000000-0005-0000-0000-0000340D0000}"/>
    <cellStyle name="Currency 5 3 5 6 2 2" xfId="32064" xr:uid="{2C23AB41-CB25-4530-9F7B-5D592623EDF5}"/>
    <cellStyle name="Currency 5 3 5 6 2 3" xfId="23623" xr:uid="{7F89CFEB-B634-4AB4-B6A3-882EBF39B11D}"/>
    <cellStyle name="Currency 5 3 5 6 2 4" xfId="15175" xr:uid="{E6B81376-392A-479E-86E7-70951A3D59A9}"/>
    <cellStyle name="Currency 5 3 5 6 3" xfId="27846" xr:uid="{B0C7739E-4B8A-4021-B5CA-94AAF97936F1}"/>
    <cellStyle name="Currency 5 3 5 6 4" xfId="19405" xr:uid="{97D4D33F-AF23-4BB5-AFD4-F191472DFEF2}"/>
    <cellStyle name="Currency 5 3 5 6 5" xfId="10957" xr:uid="{784276D5-395E-4455-A6FC-2487EE6609DF}"/>
    <cellStyle name="Currency 5 3 5 7" xfId="2738" xr:uid="{00000000-0005-0000-0000-0000350D0000}"/>
    <cellStyle name="Currency 5 3 5 8" xfId="2819" xr:uid="{00000000-0005-0000-0000-0000360D0000}"/>
    <cellStyle name="Currency 5 3 5 8 2" xfId="7042" xr:uid="{00000000-0005-0000-0000-0000370D0000}"/>
    <cellStyle name="Currency 5 3 5 8 2 2" xfId="32381" xr:uid="{ABE48C00-5512-4FC4-9AA6-4D35A40E843E}"/>
    <cellStyle name="Currency 5 3 5 8 2 3" xfId="23940" xr:uid="{6D6360B9-DB20-4B18-950C-822D75BED26B}"/>
    <cellStyle name="Currency 5 3 5 8 2 4" xfId="15492" xr:uid="{1C2424F0-EEA3-4782-9F56-E12E119FCF69}"/>
    <cellStyle name="Currency 5 3 5 8 3" xfId="28163" xr:uid="{E8E67C1D-774C-4518-ADF9-6F91B2DDE17E}"/>
    <cellStyle name="Currency 5 3 5 8 4" xfId="19722" xr:uid="{1C111D5F-0B00-45E4-B087-7F55E7F15AB2}"/>
    <cellStyle name="Currency 5 3 5 8 5" xfId="11274" xr:uid="{D6699ADF-DBBC-49CA-93CD-2CB53CFE7DEB}"/>
    <cellStyle name="Currency 5 3 5 9" xfId="4659" xr:uid="{00000000-0005-0000-0000-0000380D0000}"/>
    <cellStyle name="Currency 5 3 5 9 2" xfId="29998" xr:uid="{DC217475-66F2-466F-A93A-33D2D07DAEEC}"/>
    <cellStyle name="Currency 5 3 5 9 3" xfId="21557" xr:uid="{FC18CB86-E13F-4CA6-95D2-CF7DC7061A8E}"/>
    <cellStyle name="Currency 5 3 5 9 4" xfId="13109" xr:uid="{AD75DFB8-E2F9-400F-B5E3-D10117E10EC2}"/>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29999" xr:uid="{5F16B7F2-F9A2-4976-9DB9-47C0F80DC0FE}"/>
    <cellStyle name="Currency 5 5 10 3" xfId="21558" xr:uid="{3EB7B61B-9057-4256-B527-6F688B68F8DF}"/>
    <cellStyle name="Currency 5 5 10 4" xfId="13110" xr:uid="{EAEFF599-72C7-4536-8EA6-D57C49C59BF0}"/>
    <cellStyle name="Currency 5 5 11" xfId="25781" xr:uid="{17D649D3-994F-4FA1-96B8-297BC4CF438C}"/>
    <cellStyle name="Currency 5 5 12" xfId="17340" xr:uid="{452347BC-70E5-42D8-8C6A-14C3156277B5}"/>
    <cellStyle name="Currency 5 5 13" xfId="8892" xr:uid="{5C052364-18CB-4918-800A-26984DB105DA}"/>
    <cellStyle name="Currency 5 5 2" xfId="220" xr:uid="{00000000-0005-0000-0000-00003D0D0000}"/>
    <cellStyle name="Currency 5 5 2 10" xfId="25782" xr:uid="{7CF24D86-BCD3-4B77-82F1-32D7CCEA2969}"/>
    <cellStyle name="Currency 5 5 2 11" xfId="17341" xr:uid="{AA5F4A41-C602-48B6-AAF0-6C16F440BF31}"/>
    <cellStyle name="Currency 5 5 2 12" xfId="8893" xr:uid="{2B77919A-4707-4A02-B024-21A6DD3E1C31}"/>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32559" xr:uid="{3FA9F84C-56AD-4589-94D1-FA75C01059B2}"/>
    <cellStyle name="Currency 5 5 2 2 2 2 3" xfId="24118" xr:uid="{3AAD2705-246C-4744-8552-E5C583B02899}"/>
    <cellStyle name="Currency 5 5 2 2 2 2 4" xfId="15670" xr:uid="{858F5B79-1D0E-4AE3-8E9E-C15EDCDB969C}"/>
    <cellStyle name="Currency 5 5 2 2 2 3" xfId="28341" xr:uid="{3BC5DD00-CB6F-400C-90B5-1639D6E47C1F}"/>
    <cellStyle name="Currency 5 5 2 2 2 4" xfId="19900" xr:uid="{FF04A9EA-5512-41BB-A8EB-18DE78B4ACCC}"/>
    <cellStyle name="Currency 5 5 2 2 2 5" xfId="11452" xr:uid="{AAEC22F1-82F5-40F8-AAA6-222A804F5281}"/>
    <cellStyle name="Currency 5 5 2 2 3" xfId="5075" xr:uid="{00000000-0005-0000-0000-0000410D0000}"/>
    <cellStyle name="Currency 5 5 2 2 3 2" xfId="30414" xr:uid="{6B86AB60-92EB-4783-AAF9-3FD658579D32}"/>
    <cellStyle name="Currency 5 5 2 2 3 3" xfId="21973" xr:uid="{1A2F3532-3468-4B37-8A01-2750C04537C6}"/>
    <cellStyle name="Currency 5 5 2 2 3 4" xfId="13525" xr:uid="{1CE06E32-FE6D-4BA8-9790-BB94837CCD39}"/>
    <cellStyle name="Currency 5 5 2 2 4" xfId="26196" xr:uid="{F0B52309-26F5-4AA5-AB95-177B6DB0B2C9}"/>
    <cellStyle name="Currency 5 5 2 2 5" xfId="17755" xr:uid="{F8A3BEA2-FBC4-44F3-BE9B-25C84B6B0552}"/>
    <cellStyle name="Currency 5 5 2 2 6" xfId="9307" xr:uid="{BFE87C98-0277-4AD6-8317-D771E4D4A12C}"/>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32972" xr:uid="{D86338A3-E07B-4D89-846D-A7EC817AD8EE}"/>
    <cellStyle name="Currency 5 5 2 3 2 2 3" xfId="24531" xr:uid="{FBA9047E-F28C-4F37-942F-7224D9E5B37C}"/>
    <cellStyle name="Currency 5 5 2 3 2 2 4" xfId="16083" xr:uid="{FCE1C4A8-0F61-41AE-99C5-D14C640027D8}"/>
    <cellStyle name="Currency 5 5 2 3 2 3" xfId="28754" xr:uid="{D2135AFD-D088-412A-BC10-78FA3D26CCF3}"/>
    <cellStyle name="Currency 5 5 2 3 2 4" xfId="20313" xr:uid="{3C794B46-3727-491B-BB71-67E2FECCD338}"/>
    <cellStyle name="Currency 5 5 2 3 2 5" xfId="11865" xr:uid="{AD9BD7FD-BD5D-46E0-8716-549A74B64CE4}"/>
    <cellStyle name="Currency 5 5 2 3 3" xfId="5488" xr:uid="{00000000-0005-0000-0000-0000450D0000}"/>
    <cellStyle name="Currency 5 5 2 3 3 2" xfId="30827" xr:uid="{0227BF5A-AC51-4F42-9D93-C36A5159B464}"/>
    <cellStyle name="Currency 5 5 2 3 3 3" xfId="22386" xr:uid="{BE2AF3A9-05B5-4066-B347-D8083B2F0DB3}"/>
    <cellStyle name="Currency 5 5 2 3 3 4" xfId="13938" xr:uid="{A96A7A40-00B4-4667-B33B-0327B966B524}"/>
    <cellStyle name="Currency 5 5 2 3 4" xfId="26609" xr:uid="{6101C3E6-525F-4E41-B976-42B6F5CA2AE0}"/>
    <cellStyle name="Currency 5 5 2 3 5" xfId="18168" xr:uid="{B1512EA6-418B-47F3-B0F9-F87FE79CF3BF}"/>
    <cellStyle name="Currency 5 5 2 3 6" xfId="9720" xr:uid="{A7696E95-8DA2-447E-9102-B2BD10ADA60C}"/>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33385" xr:uid="{DC649473-FF20-47E9-8375-5B5290EF77B5}"/>
    <cellStyle name="Currency 5 5 2 4 2 2 3" xfId="24944" xr:uid="{0B641DAC-71C9-4764-A68D-79DF15315A17}"/>
    <cellStyle name="Currency 5 5 2 4 2 2 4" xfId="16496" xr:uid="{06EDBE4F-74D6-4E02-8F51-68C64E992893}"/>
    <cellStyle name="Currency 5 5 2 4 2 3" xfId="29167" xr:uid="{96B15AB1-43D1-4CC2-A8C1-10CB962CA847}"/>
    <cellStyle name="Currency 5 5 2 4 2 4" xfId="20726" xr:uid="{19645C2A-FA05-4E65-B7D3-401CC1338E3B}"/>
    <cellStyle name="Currency 5 5 2 4 2 5" xfId="12278" xr:uid="{1D34A16B-D620-42EF-92C3-69FDB7953535}"/>
    <cellStyle name="Currency 5 5 2 4 3" xfId="5901" xr:uid="{00000000-0005-0000-0000-0000490D0000}"/>
    <cellStyle name="Currency 5 5 2 4 3 2" xfId="31240" xr:uid="{04BA53A9-B7E4-4494-8586-5CDDC13DD9F0}"/>
    <cellStyle name="Currency 5 5 2 4 3 3" xfId="22799" xr:uid="{2F66EC92-C499-449F-A072-83C12C5A03B9}"/>
    <cellStyle name="Currency 5 5 2 4 3 4" xfId="14351" xr:uid="{94D4BFE6-0B29-4FBA-BC1E-5FF6A1CA7D65}"/>
    <cellStyle name="Currency 5 5 2 4 4" xfId="27022" xr:uid="{D75CF1D6-3571-4386-975D-6C769E4942AC}"/>
    <cellStyle name="Currency 5 5 2 4 5" xfId="18581" xr:uid="{1D59EC54-8857-4375-9C16-AEDC334CE51F}"/>
    <cellStyle name="Currency 5 5 2 4 6" xfId="10133" xr:uid="{F5868BA2-408C-4241-AC1A-42A8ABAF9C35}"/>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33798" xr:uid="{95CD4539-525B-490C-8358-5544BBAC37AB}"/>
    <cellStyle name="Currency 5 5 2 5 2 2 3" xfId="25357" xr:uid="{EC084714-EE27-4BB2-8A0C-333E40FE12F6}"/>
    <cellStyle name="Currency 5 5 2 5 2 2 4" xfId="16909" xr:uid="{663C4907-7BD7-427C-95AC-67F8724A7D72}"/>
    <cellStyle name="Currency 5 5 2 5 2 3" xfId="29580" xr:uid="{B39969C2-9869-49F6-8790-83F9155A7808}"/>
    <cellStyle name="Currency 5 5 2 5 2 4" xfId="21139" xr:uid="{106107B4-E35C-4401-B4E7-4DC45F5D2E24}"/>
    <cellStyle name="Currency 5 5 2 5 2 5" xfId="12691" xr:uid="{25491192-D43D-4EA8-923D-455D5AA00159}"/>
    <cellStyle name="Currency 5 5 2 5 3" xfId="6314" xr:uid="{00000000-0005-0000-0000-00004D0D0000}"/>
    <cellStyle name="Currency 5 5 2 5 3 2" xfId="31653" xr:uid="{D206D3A4-BC27-46CA-B39D-0B5C9DC0ADE1}"/>
    <cellStyle name="Currency 5 5 2 5 3 3" xfId="23212" xr:uid="{290D522F-4C1E-42C4-80DB-3AB82D0CE403}"/>
    <cellStyle name="Currency 5 5 2 5 3 4" xfId="14764" xr:uid="{41027AB9-5718-4A3C-A3CF-E98BEA9FEC24}"/>
    <cellStyle name="Currency 5 5 2 5 4" xfId="27435" xr:uid="{EE7CBF46-33D7-42D0-832E-1868947B3149}"/>
    <cellStyle name="Currency 5 5 2 5 5" xfId="18994" xr:uid="{0E20EBD8-B9F1-48A2-93DF-660F0646E38A}"/>
    <cellStyle name="Currency 5 5 2 5 6" xfId="10546" xr:uid="{4EBB6D97-63B8-45DC-BEC1-CB99E38B7099}"/>
    <cellStyle name="Currency 5 5 2 6" xfId="2443" xr:uid="{00000000-0005-0000-0000-00004E0D0000}"/>
    <cellStyle name="Currency 5 5 2 6 2" xfId="6727" xr:uid="{00000000-0005-0000-0000-00004F0D0000}"/>
    <cellStyle name="Currency 5 5 2 6 2 2" xfId="32066" xr:uid="{587E9BEB-FA82-49D0-B66F-FA039FE96F64}"/>
    <cellStyle name="Currency 5 5 2 6 2 3" xfId="23625" xr:uid="{70062F16-0CE7-4274-A10B-59719CA0DB94}"/>
    <cellStyle name="Currency 5 5 2 6 2 4" xfId="15177" xr:uid="{40FBCAA1-5EDB-4366-BBA4-AB99C7CD4AD8}"/>
    <cellStyle name="Currency 5 5 2 6 3" xfId="27848" xr:uid="{6E77DBBA-E891-48F6-B179-4FC85F858EF2}"/>
    <cellStyle name="Currency 5 5 2 6 4" xfId="19407" xr:uid="{CC3E0893-AAD6-4A41-9408-81F9AF127906}"/>
    <cellStyle name="Currency 5 5 2 6 5" xfId="10959" xr:uid="{AB1107F0-CBBF-4A8B-8A6F-94EEB9141F01}"/>
    <cellStyle name="Currency 5 5 2 7" xfId="2740" xr:uid="{00000000-0005-0000-0000-0000500D0000}"/>
    <cellStyle name="Currency 5 5 2 8" xfId="2821" xr:uid="{00000000-0005-0000-0000-0000510D0000}"/>
    <cellStyle name="Currency 5 5 2 8 2" xfId="7044" xr:uid="{00000000-0005-0000-0000-0000520D0000}"/>
    <cellStyle name="Currency 5 5 2 8 2 2" xfId="32383" xr:uid="{CDDDC5E0-A464-4929-B9FD-85022D231EE2}"/>
    <cellStyle name="Currency 5 5 2 8 2 3" xfId="23942" xr:uid="{3CB04E47-6756-4896-919C-8FCF8D72CEAB}"/>
    <cellStyle name="Currency 5 5 2 8 2 4" xfId="15494" xr:uid="{21DC90E1-0F64-4F87-A9E6-5183C8394965}"/>
    <cellStyle name="Currency 5 5 2 8 3" xfId="28165" xr:uid="{A8C6686E-9C20-433C-A6C1-0FC98A1215BA}"/>
    <cellStyle name="Currency 5 5 2 8 4" xfId="19724" xr:uid="{888D56D1-D9DE-4302-A115-A05AAD515D77}"/>
    <cellStyle name="Currency 5 5 2 8 5" xfId="11276" xr:uid="{365FDF1D-7292-4F32-9CFE-062A620B5541}"/>
    <cellStyle name="Currency 5 5 2 9" xfId="4661" xr:uid="{00000000-0005-0000-0000-0000530D0000}"/>
    <cellStyle name="Currency 5 5 2 9 2" xfId="30000" xr:uid="{5962422E-8AE6-43D0-88D4-AE745C0AA975}"/>
    <cellStyle name="Currency 5 5 2 9 3" xfId="21559" xr:uid="{E8678F99-2BBD-4CAF-AF60-155ADF9DD9F2}"/>
    <cellStyle name="Currency 5 5 2 9 4" xfId="13111" xr:uid="{49891F42-5CC9-4993-BA7F-4B5CDAA8F939}"/>
    <cellStyle name="Currency 5 5 3" xfId="745" xr:uid="{00000000-0005-0000-0000-0000540D0000}"/>
    <cellStyle name="Currency 5 5 3 2" xfId="2997" xr:uid="{00000000-0005-0000-0000-0000550D0000}"/>
    <cellStyle name="Currency 5 5 3 2 2" xfId="7219" xr:uid="{00000000-0005-0000-0000-0000560D0000}"/>
    <cellStyle name="Currency 5 5 3 2 2 2" xfId="32558" xr:uid="{72C70A50-08A3-4C85-B226-7ECF2BDCA567}"/>
    <cellStyle name="Currency 5 5 3 2 2 3" xfId="24117" xr:uid="{C1D3B8E0-7C13-400A-BEA4-F758348856F9}"/>
    <cellStyle name="Currency 5 5 3 2 2 4" xfId="15669" xr:uid="{11446776-74EF-41D5-A801-402A132F5695}"/>
    <cellStyle name="Currency 5 5 3 2 3" xfId="28340" xr:uid="{039860DC-46BE-4779-B811-B5B147DD6C65}"/>
    <cellStyle name="Currency 5 5 3 2 4" xfId="19899" xr:uid="{6E9733ED-6F8D-4E22-9D02-D093CD451760}"/>
    <cellStyle name="Currency 5 5 3 2 5" xfId="11451" xr:uid="{81EEE901-49D1-49B0-9E82-194A4E51D84F}"/>
    <cellStyle name="Currency 5 5 3 3" xfId="5074" xr:uid="{00000000-0005-0000-0000-0000570D0000}"/>
    <cellStyle name="Currency 5 5 3 3 2" xfId="30413" xr:uid="{50730A66-1215-449A-B100-E15AA1CCCFBE}"/>
    <cellStyle name="Currency 5 5 3 3 3" xfId="21972" xr:uid="{12841C20-996E-476F-B736-C265EC53BA84}"/>
    <cellStyle name="Currency 5 5 3 3 4" xfId="13524" xr:uid="{5977DA0B-4892-438E-9ECB-C0948161FD42}"/>
    <cellStyle name="Currency 5 5 3 4" xfId="26195" xr:uid="{099EAB5A-5BA7-4C44-BA5B-08B70C712ECE}"/>
    <cellStyle name="Currency 5 5 3 5" xfId="17754" xr:uid="{618218FC-BEE4-44A3-BF84-AB113CE571A1}"/>
    <cellStyle name="Currency 5 5 3 6" xfId="9306" xr:uid="{70073648-70E4-47DF-862A-300DB162D73A}"/>
    <cellStyle name="Currency 5 5 4" xfId="1179" xr:uid="{00000000-0005-0000-0000-0000580D0000}"/>
    <cellStyle name="Currency 5 5 4 2" xfId="3410" xr:uid="{00000000-0005-0000-0000-0000590D0000}"/>
    <cellStyle name="Currency 5 5 4 2 2" xfId="7632" xr:uid="{00000000-0005-0000-0000-00005A0D0000}"/>
    <cellStyle name="Currency 5 5 4 2 2 2" xfId="32971" xr:uid="{8A984178-EAE4-4A44-AA11-2BE1B7CA344B}"/>
    <cellStyle name="Currency 5 5 4 2 2 3" xfId="24530" xr:uid="{1DE825EA-195D-421B-AB34-0391A86AF57B}"/>
    <cellStyle name="Currency 5 5 4 2 2 4" xfId="16082" xr:uid="{DA701ABB-3D62-44E8-81E5-C3ECEFC37793}"/>
    <cellStyle name="Currency 5 5 4 2 3" xfId="28753" xr:uid="{1B2F3BA2-43E7-42C4-A180-EA72E351F9CA}"/>
    <cellStyle name="Currency 5 5 4 2 4" xfId="20312" xr:uid="{065BEBDB-37DF-4531-AA88-A4CE7BFB0954}"/>
    <cellStyle name="Currency 5 5 4 2 5" xfId="11864" xr:uid="{01133B9A-A9E6-47BD-A02A-06CBB37C64EB}"/>
    <cellStyle name="Currency 5 5 4 3" xfId="5487" xr:uid="{00000000-0005-0000-0000-00005B0D0000}"/>
    <cellStyle name="Currency 5 5 4 3 2" xfId="30826" xr:uid="{92CA3F5D-F9C2-41DD-9875-45A34C944B2E}"/>
    <cellStyle name="Currency 5 5 4 3 3" xfId="22385" xr:uid="{AE6E87A3-30B7-4C31-B8D1-117276A5C9DB}"/>
    <cellStyle name="Currency 5 5 4 3 4" xfId="13937" xr:uid="{7533B469-4941-408A-BE08-522F7352C93C}"/>
    <cellStyle name="Currency 5 5 4 4" xfId="26608" xr:uid="{71B3C632-4D3C-4000-AD8C-C442B20FABB7}"/>
    <cellStyle name="Currency 5 5 4 5" xfId="18167" xr:uid="{0B7E61C0-78E4-4041-B667-A33E08939776}"/>
    <cellStyle name="Currency 5 5 4 6" xfId="9719" xr:uid="{14A619E3-0520-4943-A4DF-70C30C148AA6}"/>
    <cellStyle name="Currency 5 5 5" xfId="1593" xr:uid="{00000000-0005-0000-0000-00005C0D0000}"/>
    <cellStyle name="Currency 5 5 5 2" xfId="3823" xr:uid="{00000000-0005-0000-0000-00005D0D0000}"/>
    <cellStyle name="Currency 5 5 5 2 2" xfId="8045" xr:uid="{00000000-0005-0000-0000-00005E0D0000}"/>
    <cellStyle name="Currency 5 5 5 2 2 2" xfId="33384" xr:uid="{189140CE-845C-4D89-BFAF-EEA08B5BEC0D}"/>
    <cellStyle name="Currency 5 5 5 2 2 3" xfId="24943" xr:uid="{1FA7E6D3-B4F5-4EC4-8C17-B1B572D2A1AB}"/>
    <cellStyle name="Currency 5 5 5 2 2 4" xfId="16495" xr:uid="{6A64E5C1-DABC-4A3B-8410-2973C525C0CB}"/>
    <cellStyle name="Currency 5 5 5 2 3" xfId="29166" xr:uid="{EE570A3F-61E6-45FB-B006-8B389475B0BE}"/>
    <cellStyle name="Currency 5 5 5 2 4" xfId="20725" xr:uid="{CBDD3875-8300-4373-A3EC-2E709FB76A82}"/>
    <cellStyle name="Currency 5 5 5 2 5" xfId="12277" xr:uid="{F97AE2E9-62C5-4680-9D8A-E88DBA56A63D}"/>
    <cellStyle name="Currency 5 5 5 3" xfId="5900" xr:uid="{00000000-0005-0000-0000-00005F0D0000}"/>
    <cellStyle name="Currency 5 5 5 3 2" xfId="31239" xr:uid="{C6309E1A-F99A-4CD4-9C37-353C5B087A31}"/>
    <cellStyle name="Currency 5 5 5 3 3" xfId="22798" xr:uid="{FC49F8AB-42F9-4E47-B4FC-B53700A5B575}"/>
    <cellStyle name="Currency 5 5 5 3 4" xfId="14350" xr:uid="{E045E0C3-1928-4C88-A041-4BCAD587C4B4}"/>
    <cellStyle name="Currency 5 5 5 4" xfId="27021" xr:uid="{D5B423C6-48A9-4CCA-808D-C05574489453}"/>
    <cellStyle name="Currency 5 5 5 5" xfId="18580" xr:uid="{24A946EB-C46C-4674-AE99-7862F43D43B0}"/>
    <cellStyle name="Currency 5 5 5 6" xfId="10132" xr:uid="{F4E05F5B-9418-451B-8593-6034F6ABFED0}"/>
    <cellStyle name="Currency 5 5 6" xfId="2007" xr:uid="{00000000-0005-0000-0000-0000600D0000}"/>
    <cellStyle name="Currency 5 5 6 2" xfId="4236" xr:uid="{00000000-0005-0000-0000-0000610D0000}"/>
    <cellStyle name="Currency 5 5 6 2 2" xfId="8458" xr:uid="{00000000-0005-0000-0000-0000620D0000}"/>
    <cellStyle name="Currency 5 5 6 2 2 2" xfId="33797" xr:uid="{0C5F9E70-0E26-4C04-B73B-093794010762}"/>
    <cellStyle name="Currency 5 5 6 2 2 3" xfId="25356" xr:uid="{FA53D092-2243-4ED0-A9D4-4E81E24FC3F2}"/>
    <cellStyle name="Currency 5 5 6 2 2 4" xfId="16908" xr:uid="{C84A6429-598C-4580-B9BB-49C0561A5668}"/>
    <cellStyle name="Currency 5 5 6 2 3" xfId="29579" xr:uid="{BC03D6B4-6E5A-47BC-8CC8-D9D868BAC82D}"/>
    <cellStyle name="Currency 5 5 6 2 4" xfId="21138" xr:uid="{CFB29F45-4DF7-4EC2-98F3-CCD423DB1E15}"/>
    <cellStyle name="Currency 5 5 6 2 5" xfId="12690" xr:uid="{FFED56B6-1C90-4C99-90B2-5F6D4D14766F}"/>
    <cellStyle name="Currency 5 5 6 3" xfId="6313" xr:uid="{00000000-0005-0000-0000-0000630D0000}"/>
    <cellStyle name="Currency 5 5 6 3 2" xfId="31652" xr:uid="{AACE4FFD-51C4-4E8C-9F94-EE5DCE8CC95F}"/>
    <cellStyle name="Currency 5 5 6 3 3" xfId="23211" xr:uid="{EAE1DE18-A04D-494D-BCE9-2F39E7C08017}"/>
    <cellStyle name="Currency 5 5 6 3 4" xfId="14763" xr:uid="{AA89C65F-FC6A-40CA-87F0-39DFE796453F}"/>
    <cellStyle name="Currency 5 5 6 4" xfId="27434" xr:uid="{0619613F-9E7F-437B-AC71-1463B8EE9799}"/>
    <cellStyle name="Currency 5 5 6 5" xfId="18993" xr:uid="{FE6892DA-2F59-45CF-97B4-0C8AC8E21220}"/>
    <cellStyle name="Currency 5 5 6 6" xfId="10545" xr:uid="{CD246190-1F1A-4EC1-AED1-D4C4E299EED8}"/>
    <cellStyle name="Currency 5 5 7" xfId="2442" xr:uid="{00000000-0005-0000-0000-0000640D0000}"/>
    <cellStyle name="Currency 5 5 7 2" xfId="6726" xr:uid="{00000000-0005-0000-0000-0000650D0000}"/>
    <cellStyle name="Currency 5 5 7 2 2" xfId="32065" xr:uid="{0C7A018C-49B6-423E-ABE1-5A4A811DDD51}"/>
    <cellStyle name="Currency 5 5 7 2 3" xfId="23624" xr:uid="{AD0ECBD7-93C2-4BF5-BEE2-5CFF4B54E49F}"/>
    <cellStyle name="Currency 5 5 7 2 4" xfId="15176" xr:uid="{40DF04AC-A53E-402D-BEDA-887D639CD54E}"/>
    <cellStyle name="Currency 5 5 7 3" xfId="27847" xr:uid="{675871C5-977C-4550-8C6C-A85EBD340CBD}"/>
    <cellStyle name="Currency 5 5 7 4" xfId="19406" xr:uid="{0892FD3E-7A66-46F3-8135-E7813B456AC0}"/>
    <cellStyle name="Currency 5 5 7 5" xfId="10958" xr:uid="{13ED4AE5-97B0-4ED8-99B9-C238D59F2290}"/>
    <cellStyle name="Currency 5 5 8" xfId="2739" xr:uid="{00000000-0005-0000-0000-0000660D0000}"/>
    <cellStyle name="Currency 5 5 9" xfId="2820" xr:uid="{00000000-0005-0000-0000-0000670D0000}"/>
    <cellStyle name="Currency 5 5 9 2" xfId="7043" xr:uid="{00000000-0005-0000-0000-0000680D0000}"/>
    <cellStyle name="Currency 5 5 9 2 2" xfId="32382" xr:uid="{E84FE2BF-B89A-4651-81CB-16A6BCA39A61}"/>
    <cellStyle name="Currency 5 5 9 2 3" xfId="23941" xr:uid="{31A413F0-54BD-421B-B662-F64069AF2D29}"/>
    <cellStyle name="Currency 5 5 9 2 4" xfId="15493" xr:uid="{04E9E218-AE08-45F3-88A6-0B116EE69B9B}"/>
    <cellStyle name="Currency 5 5 9 3" xfId="28164" xr:uid="{B4B4FFD2-E11F-4F0B-BFA4-100E5A245940}"/>
    <cellStyle name="Currency 5 5 9 4" xfId="19723" xr:uid="{796CD7BB-87D8-4406-9CB9-321B8392C3ED}"/>
    <cellStyle name="Currency 5 5 9 5" xfId="11275" xr:uid="{E309B323-4979-459B-8403-0B1529CE6D78}"/>
    <cellStyle name="Currency 5 6" xfId="221" xr:uid="{00000000-0005-0000-0000-0000690D0000}"/>
    <cellStyle name="Currency 5 6 10" xfId="25783" xr:uid="{AFD110CE-F558-489B-8122-A96FF3C22854}"/>
    <cellStyle name="Currency 5 6 11" xfId="17342" xr:uid="{03C8F7CA-E0C9-4F9A-9B85-D641D752FA68}"/>
    <cellStyle name="Currency 5 6 12" xfId="8894" xr:uid="{1B18CEA1-3B3B-40B4-820A-7EED0A169849}"/>
    <cellStyle name="Currency 5 6 2" xfId="747" xr:uid="{00000000-0005-0000-0000-00006A0D0000}"/>
    <cellStyle name="Currency 5 6 2 2" xfId="2999" xr:uid="{00000000-0005-0000-0000-00006B0D0000}"/>
    <cellStyle name="Currency 5 6 2 2 2" xfId="7221" xr:uid="{00000000-0005-0000-0000-00006C0D0000}"/>
    <cellStyle name="Currency 5 6 2 2 2 2" xfId="32560" xr:uid="{151ACC8D-B2FD-4FBD-9D67-B9E479B2E3BD}"/>
    <cellStyle name="Currency 5 6 2 2 2 3" xfId="24119" xr:uid="{3911A651-77B8-4079-B657-ABD179ED2EC8}"/>
    <cellStyle name="Currency 5 6 2 2 2 4" xfId="15671" xr:uid="{D22F4E73-B848-4501-94CA-9479765DAC58}"/>
    <cellStyle name="Currency 5 6 2 2 3" xfId="28342" xr:uid="{8C503801-AB76-4E3E-8BF2-6F0AB3A5DABB}"/>
    <cellStyle name="Currency 5 6 2 2 4" xfId="19901" xr:uid="{BAA287CF-2D9A-4758-9846-3B610C7E47BB}"/>
    <cellStyle name="Currency 5 6 2 2 5" xfId="11453" xr:uid="{55F2EFE7-885C-4CA4-96DB-8F8A35DFA515}"/>
    <cellStyle name="Currency 5 6 2 3" xfId="5076" xr:uid="{00000000-0005-0000-0000-00006D0D0000}"/>
    <cellStyle name="Currency 5 6 2 3 2" xfId="30415" xr:uid="{BC360CDD-A177-4170-A57F-D9979CB65D52}"/>
    <cellStyle name="Currency 5 6 2 3 3" xfId="21974" xr:uid="{D2235771-44E3-4F2E-A75C-782844CA1DEF}"/>
    <cellStyle name="Currency 5 6 2 3 4" xfId="13526" xr:uid="{0ED6F447-966B-4528-9EA5-F3A20B5A7B37}"/>
    <cellStyle name="Currency 5 6 2 4" xfId="26197" xr:uid="{DF82DDE6-63F8-45F8-BD7E-09550B4D3BB7}"/>
    <cellStyle name="Currency 5 6 2 5" xfId="17756" xr:uid="{F833F9CE-AC46-4CA1-B1A9-B1316F464DB8}"/>
    <cellStyle name="Currency 5 6 2 6" xfId="9308" xr:uid="{130755AF-3C6C-4FA2-A6CA-D4860F6CE2E8}"/>
    <cellStyle name="Currency 5 6 3" xfId="1181" xr:uid="{00000000-0005-0000-0000-00006E0D0000}"/>
    <cellStyle name="Currency 5 6 3 2" xfId="3412" xr:uid="{00000000-0005-0000-0000-00006F0D0000}"/>
    <cellStyle name="Currency 5 6 3 2 2" xfId="7634" xr:uid="{00000000-0005-0000-0000-0000700D0000}"/>
    <cellStyle name="Currency 5 6 3 2 2 2" xfId="32973" xr:uid="{A65EC13C-0A4C-4039-972C-49F91A2A3E2F}"/>
    <cellStyle name="Currency 5 6 3 2 2 3" xfId="24532" xr:uid="{ABF36C72-88CF-411C-8ADC-32ED44FA64BC}"/>
    <cellStyle name="Currency 5 6 3 2 2 4" xfId="16084" xr:uid="{18782BFE-8AFB-4541-BC36-4D45FB3EBE09}"/>
    <cellStyle name="Currency 5 6 3 2 3" xfId="28755" xr:uid="{9A5A27D6-B1E8-440D-94B7-243AE01A5658}"/>
    <cellStyle name="Currency 5 6 3 2 4" xfId="20314" xr:uid="{C3D8C3E3-625A-49EF-827A-F65661614215}"/>
    <cellStyle name="Currency 5 6 3 2 5" xfId="11866" xr:uid="{C123AA7B-C01A-4AF0-8156-9E00DDC7B982}"/>
    <cellStyle name="Currency 5 6 3 3" xfId="5489" xr:uid="{00000000-0005-0000-0000-0000710D0000}"/>
    <cellStyle name="Currency 5 6 3 3 2" xfId="30828" xr:uid="{1A2A4728-D7CB-43D6-BF47-9CD56517AE37}"/>
    <cellStyle name="Currency 5 6 3 3 3" xfId="22387" xr:uid="{505C5EA1-5E3A-47F9-9B7C-81F46CDFA5B4}"/>
    <cellStyle name="Currency 5 6 3 3 4" xfId="13939" xr:uid="{2D73369C-D9EC-4B9E-9D90-AB83C130BB82}"/>
    <cellStyle name="Currency 5 6 3 4" xfId="26610" xr:uid="{89C22B40-D759-4353-8FF0-6F72816BEF6E}"/>
    <cellStyle name="Currency 5 6 3 5" xfId="18169" xr:uid="{6784A165-DA1B-439D-9818-065454238E25}"/>
    <cellStyle name="Currency 5 6 3 6" xfId="9721" xr:uid="{FB7EB1B5-C5E3-4397-925A-631D7365DD26}"/>
    <cellStyle name="Currency 5 6 4" xfId="1595" xr:uid="{00000000-0005-0000-0000-0000720D0000}"/>
    <cellStyle name="Currency 5 6 4 2" xfId="3825" xr:uid="{00000000-0005-0000-0000-0000730D0000}"/>
    <cellStyle name="Currency 5 6 4 2 2" xfId="8047" xr:uid="{00000000-0005-0000-0000-0000740D0000}"/>
    <cellStyle name="Currency 5 6 4 2 2 2" xfId="33386" xr:uid="{FE8EBF57-B16F-4213-8B53-24D6B13B0204}"/>
    <cellStyle name="Currency 5 6 4 2 2 3" xfId="24945" xr:uid="{97659515-F656-4CEB-8618-45F3C22A22B0}"/>
    <cellStyle name="Currency 5 6 4 2 2 4" xfId="16497" xr:uid="{5F57D9C6-E782-49E7-8090-38E44CAF9FB0}"/>
    <cellStyle name="Currency 5 6 4 2 3" xfId="29168" xr:uid="{2C81DAF5-0702-4A16-AA0F-CFCE13632DD7}"/>
    <cellStyle name="Currency 5 6 4 2 4" xfId="20727" xr:uid="{9F0E052E-1B9D-4977-8BF7-D229CC866E4F}"/>
    <cellStyle name="Currency 5 6 4 2 5" xfId="12279" xr:uid="{766A420F-9778-4008-A968-00D7F76D8820}"/>
    <cellStyle name="Currency 5 6 4 3" xfId="5902" xr:uid="{00000000-0005-0000-0000-0000750D0000}"/>
    <cellStyle name="Currency 5 6 4 3 2" xfId="31241" xr:uid="{D65A3C37-8CB3-4D98-8B4C-8E9768888F4F}"/>
    <cellStyle name="Currency 5 6 4 3 3" xfId="22800" xr:uid="{ABD91E63-0646-4D3C-9096-F350DAC4B491}"/>
    <cellStyle name="Currency 5 6 4 3 4" xfId="14352" xr:uid="{CECAA6A5-667B-4458-9B3F-94ACC5552701}"/>
    <cellStyle name="Currency 5 6 4 4" xfId="27023" xr:uid="{D52FCC4A-153B-4A8C-8878-9637C55E3544}"/>
    <cellStyle name="Currency 5 6 4 5" xfId="18582" xr:uid="{E2483562-7AAE-44C3-B602-CB5A52AEBA29}"/>
    <cellStyle name="Currency 5 6 4 6" xfId="10134" xr:uid="{8ABC12C2-4591-48C6-98CF-79B7E9EB67FF}"/>
    <cellStyle name="Currency 5 6 5" xfId="2009" xr:uid="{00000000-0005-0000-0000-0000760D0000}"/>
    <cellStyle name="Currency 5 6 5 2" xfId="4238" xr:uid="{00000000-0005-0000-0000-0000770D0000}"/>
    <cellStyle name="Currency 5 6 5 2 2" xfId="8460" xr:uid="{00000000-0005-0000-0000-0000780D0000}"/>
    <cellStyle name="Currency 5 6 5 2 2 2" xfId="33799" xr:uid="{94A411DF-CA63-4A9B-9C31-39A3F3AF4038}"/>
    <cellStyle name="Currency 5 6 5 2 2 3" xfId="25358" xr:uid="{EB475012-08B3-4EFE-BFC9-799E1EDD810D}"/>
    <cellStyle name="Currency 5 6 5 2 2 4" xfId="16910" xr:uid="{B30F492A-B741-494A-997B-A77656443BF8}"/>
    <cellStyle name="Currency 5 6 5 2 3" xfId="29581" xr:uid="{B661105E-B19C-4E5B-A557-F409BF3802AA}"/>
    <cellStyle name="Currency 5 6 5 2 4" xfId="21140" xr:uid="{25C2E842-68CE-4E69-8D5C-95652D3D980E}"/>
    <cellStyle name="Currency 5 6 5 2 5" xfId="12692" xr:uid="{515540C9-F96C-446B-982B-8E5EE5FB7BAE}"/>
    <cellStyle name="Currency 5 6 5 3" xfId="6315" xr:uid="{00000000-0005-0000-0000-0000790D0000}"/>
    <cellStyle name="Currency 5 6 5 3 2" xfId="31654" xr:uid="{A255BA18-CEDF-4EF8-8A97-9BE2A2457431}"/>
    <cellStyle name="Currency 5 6 5 3 3" xfId="23213" xr:uid="{87E573C4-FF06-49D0-B395-7B051B24847A}"/>
    <cellStyle name="Currency 5 6 5 3 4" xfId="14765" xr:uid="{C73D3EEF-BDB2-494C-BE43-215747D0D028}"/>
    <cellStyle name="Currency 5 6 5 4" xfId="27436" xr:uid="{334EC5AB-2DDA-4AFD-842D-B7607E72F552}"/>
    <cellStyle name="Currency 5 6 5 5" xfId="18995" xr:uid="{1E35691C-5A48-4D0C-A969-C3EC0B1B170C}"/>
    <cellStyle name="Currency 5 6 5 6" xfId="10547" xr:uid="{7501F800-8FCA-48DD-A217-C6CC57A137BB}"/>
    <cellStyle name="Currency 5 6 6" xfId="2444" xr:uid="{00000000-0005-0000-0000-00007A0D0000}"/>
    <cellStyle name="Currency 5 6 6 2" xfId="6728" xr:uid="{00000000-0005-0000-0000-00007B0D0000}"/>
    <cellStyle name="Currency 5 6 6 2 2" xfId="32067" xr:uid="{60E79C6B-C1E0-4B8C-8500-7107EDFF91D7}"/>
    <cellStyle name="Currency 5 6 6 2 3" xfId="23626" xr:uid="{6D4CDA45-786E-4981-85D0-E3AB22F837AE}"/>
    <cellStyle name="Currency 5 6 6 2 4" xfId="15178" xr:uid="{1BF42597-CD45-4962-83CC-7470AE52C1D2}"/>
    <cellStyle name="Currency 5 6 6 3" xfId="27849" xr:uid="{A54519B5-A82E-48CF-BA7C-6B1DC879E152}"/>
    <cellStyle name="Currency 5 6 6 4" xfId="19408" xr:uid="{B72FA5DC-0316-4723-B53A-65538A92574F}"/>
    <cellStyle name="Currency 5 6 6 5" xfId="10960" xr:uid="{A5CCB203-C391-4C8D-B9BE-0FD9992B5CA6}"/>
    <cellStyle name="Currency 5 6 7" xfId="2741" xr:uid="{00000000-0005-0000-0000-00007C0D0000}"/>
    <cellStyle name="Currency 5 6 8" xfId="2822" xr:uid="{00000000-0005-0000-0000-00007D0D0000}"/>
    <cellStyle name="Currency 5 6 8 2" xfId="7045" xr:uid="{00000000-0005-0000-0000-00007E0D0000}"/>
    <cellStyle name="Currency 5 6 8 2 2" xfId="32384" xr:uid="{ABB968CF-F19E-465A-ABED-7C41A633CC6B}"/>
    <cellStyle name="Currency 5 6 8 2 3" xfId="23943" xr:uid="{FCBBE73A-7180-4929-8F77-84E43B328C9E}"/>
    <cellStyle name="Currency 5 6 8 2 4" xfId="15495" xr:uid="{4A8857DE-5796-46B0-AFA6-FF60692EC009}"/>
    <cellStyle name="Currency 5 6 8 3" xfId="28166" xr:uid="{5E553207-96E9-4687-B544-E0A14FA9FCE1}"/>
    <cellStyle name="Currency 5 6 8 4" xfId="19725" xr:uid="{1C378E8D-ED55-4FA0-A68F-93A5A2AFCE68}"/>
    <cellStyle name="Currency 5 6 8 5" xfId="11277" xr:uid="{350A5997-888D-4419-A6EF-DD0A5F4A9892}"/>
    <cellStyle name="Currency 5 6 9" xfId="4662" xr:uid="{00000000-0005-0000-0000-00007F0D0000}"/>
    <cellStyle name="Currency 5 6 9 2" xfId="30001" xr:uid="{943708DA-BB21-496F-BD8B-E32B60707197}"/>
    <cellStyle name="Currency 5 6 9 3" xfId="21560" xr:uid="{A44D166B-501D-44CE-B924-4B0838D7A860}"/>
    <cellStyle name="Currency 5 6 9 4" xfId="13112" xr:uid="{3B01EFC4-8458-41FC-9DDC-B3966980186B}"/>
    <cellStyle name="Currency 5 7" xfId="222" xr:uid="{00000000-0005-0000-0000-0000800D0000}"/>
    <cellStyle name="Currency 5 7 10" xfId="25784" xr:uid="{EFA8047E-F84B-4E02-8409-54372879FE8F}"/>
    <cellStyle name="Currency 5 7 11" xfId="17343" xr:uid="{C7B87E35-2B64-4A60-AA89-2AABE2FD5A6B}"/>
    <cellStyle name="Currency 5 7 12" xfId="8895" xr:uid="{59418BE5-E254-4BBA-B0ED-FB403F776217}"/>
    <cellStyle name="Currency 5 7 2" xfId="748" xr:uid="{00000000-0005-0000-0000-0000810D0000}"/>
    <cellStyle name="Currency 5 7 2 2" xfId="3000" xr:uid="{00000000-0005-0000-0000-0000820D0000}"/>
    <cellStyle name="Currency 5 7 2 2 2" xfId="7222" xr:uid="{00000000-0005-0000-0000-0000830D0000}"/>
    <cellStyle name="Currency 5 7 2 2 2 2" xfId="32561" xr:uid="{1D235F26-F691-4466-9289-FA6023A8C547}"/>
    <cellStyle name="Currency 5 7 2 2 2 3" xfId="24120" xr:uid="{63AA3A95-4072-4195-961B-2B8A29606321}"/>
    <cellStyle name="Currency 5 7 2 2 2 4" xfId="15672" xr:uid="{402BBED5-FD58-4E81-8AAE-6376617873FF}"/>
    <cellStyle name="Currency 5 7 2 2 3" xfId="28343" xr:uid="{871C162A-1631-45E0-BAD0-FD80387B2AB3}"/>
    <cellStyle name="Currency 5 7 2 2 4" xfId="19902" xr:uid="{48D48F76-3955-4DFB-AC6E-FD6F38EB7290}"/>
    <cellStyle name="Currency 5 7 2 2 5" xfId="11454" xr:uid="{8651AE3B-0F98-4B01-9321-BE53443BCF47}"/>
    <cellStyle name="Currency 5 7 2 3" xfId="5077" xr:uid="{00000000-0005-0000-0000-0000840D0000}"/>
    <cellStyle name="Currency 5 7 2 3 2" xfId="30416" xr:uid="{878D0FA9-1E5A-4342-9F0A-0634A98CF865}"/>
    <cellStyle name="Currency 5 7 2 3 3" xfId="21975" xr:uid="{6AE68D47-08F1-47E4-AE18-956B65AA3AD3}"/>
    <cellStyle name="Currency 5 7 2 3 4" xfId="13527" xr:uid="{D6D6F9CC-6DA1-4627-BB4C-9C09105106A9}"/>
    <cellStyle name="Currency 5 7 2 4" xfId="26198" xr:uid="{77CDC0FE-F5D7-4536-9179-38A3D9643AC3}"/>
    <cellStyle name="Currency 5 7 2 5" xfId="17757" xr:uid="{35D4D6D1-1038-4F7D-B404-5F5BA1515579}"/>
    <cellStyle name="Currency 5 7 2 6" xfId="9309" xr:uid="{3769B339-CE27-4D40-833D-FB8CA7EBBB48}"/>
    <cellStyle name="Currency 5 7 3" xfId="1182" xr:uid="{00000000-0005-0000-0000-0000850D0000}"/>
    <cellStyle name="Currency 5 7 3 2" xfId="3413" xr:uid="{00000000-0005-0000-0000-0000860D0000}"/>
    <cellStyle name="Currency 5 7 3 2 2" xfId="7635" xr:uid="{00000000-0005-0000-0000-0000870D0000}"/>
    <cellStyle name="Currency 5 7 3 2 2 2" xfId="32974" xr:uid="{27681939-1E37-4371-8D47-00CCB97EA952}"/>
    <cellStyle name="Currency 5 7 3 2 2 3" xfId="24533" xr:uid="{5387A648-DFE2-419B-B5E3-924BA2F6C17C}"/>
    <cellStyle name="Currency 5 7 3 2 2 4" xfId="16085" xr:uid="{A4CB8F42-13FE-416A-9966-93B1AF27F134}"/>
    <cellStyle name="Currency 5 7 3 2 3" xfId="28756" xr:uid="{7896E011-7C30-4EAA-B8EC-61101853E967}"/>
    <cellStyle name="Currency 5 7 3 2 4" xfId="20315" xr:uid="{43C2D01F-F570-40B2-841C-D6C4D17FBD47}"/>
    <cellStyle name="Currency 5 7 3 2 5" xfId="11867" xr:uid="{DD1B9E6A-1567-4196-8FE4-A983E15D8F8F}"/>
    <cellStyle name="Currency 5 7 3 3" xfId="5490" xr:uid="{00000000-0005-0000-0000-0000880D0000}"/>
    <cellStyle name="Currency 5 7 3 3 2" xfId="30829" xr:uid="{70FD2271-0ACB-40E2-9A9E-168CFAFE1557}"/>
    <cellStyle name="Currency 5 7 3 3 3" xfId="22388" xr:uid="{C2C88E12-0D9A-463D-A58B-B4F7E37547CE}"/>
    <cellStyle name="Currency 5 7 3 3 4" xfId="13940" xr:uid="{F12563A9-F5FC-42AA-8FA7-AFB6AC8468E5}"/>
    <cellStyle name="Currency 5 7 3 4" xfId="26611" xr:uid="{FF8ABD22-7A41-4945-8C8A-C1AB5F6A8E83}"/>
    <cellStyle name="Currency 5 7 3 5" xfId="18170" xr:uid="{5EB975A5-45E5-4502-A0A6-A1251F912103}"/>
    <cellStyle name="Currency 5 7 3 6" xfId="9722" xr:uid="{5FE8DA0F-8756-4184-8775-1FAE96D590DF}"/>
    <cellStyle name="Currency 5 7 4" xfId="1596" xr:uid="{00000000-0005-0000-0000-0000890D0000}"/>
    <cellStyle name="Currency 5 7 4 2" xfId="3826" xr:uid="{00000000-0005-0000-0000-00008A0D0000}"/>
    <cellStyle name="Currency 5 7 4 2 2" xfId="8048" xr:uid="{00000000-0005-0000-0000-00008B0D0000}"/>
    <cellStyle name="Currency 5 7 4 2 2 2" xfId="33387" xr:uid="{3330F0DE-4AE6-4782-ADF0-F2D76768ED69}"/>
    <cellStyle name="Currency 5 7 4 2 2 3" xfId="24946" xr:uid="{20581AA3-8519-406F-B0FE-FA8FF05B26DE}"/>
    <cellStyle name="Currency 5 7 4 2 2 4" xfId="16498" xr:uid="{486465A3-E87D-464C-9E0A-2B3D5812EE60}"/>
    <cellStyle name="Currency 5 7 4 2 3" xfId="29169" xr:uid="{B823A8AF-631E-429C-8733-8352D05E0DAA}"/>
    <cellStyle name="Currency 5 7 4 2 4" xfId="20728" xr:uid="{E1629E3A-9594-4286-AD7E-B321D08C3B73}"/>
    <cellStyle name="Currency 5 7 4 2 5" xfId="12280" xr:uid="{8304109A-DAC6-44BA-A771-FB1FC87727FC}"/>
    <cellStyle name="Currency 5 7 4 3" xfId="5903" xr:uid="{00000000-0005-0000-0000-00008C0D0000}"/>
    <cellStyle name="Currency 5 7 4 3 2" xfId="31242" xr:uid="{94BEAA2A-3F5E-405B-BBDC-CF63DDD69516}"/>
    <cellStyle name="Currency 5 7 4 3 3" xfId="22801" xr:uid="{5B48E2CB-641B-49A7-B91F-062880561E47}"/>
    <cellStyle name="Currency 5 7 4 3 4" xfId="14353" xr:uid="{B9DCD521-84A4-469A-9CF9-CD7180C3D8D4}"/>
    <cellStyle name="Currency 5 7 4 4" xfId="27024" xr:uid="{DF673A0E-3462-4635-AB7B-44FCB6629012}"/>
    <cellStyle name="Currency 5 7 4 5" xfId="18583" xr:uid="{55E14EAF-887E-4A49-9158-989B5399AC96}"/>
    <cellStyle name="Currency 5 7 4 6" xfId="10135" xr:uid="{00FD38FC-D24C-492C-BAFE-1E58888FA9BB}"/>
    <cellStyle name="Currency 5 7 5" xfId="2010" xr:uid="{00000000-0005-0000-0000-00008D0D0000}"/>
    <cellStyle name="Currency 5 7 5 2" xfId="4239" xr:uid="{00000000-0005-0000-0000-00008E0D0000}"/>
    <cellStyle name="Currency 5 7 5 2 2" xfId="8461" xr:uid="{00000000-0005-0000-0000-00008F0D0000}"/>
    <cellStyle name="Currency 5 7 5 2 2 2" xfId="33800" xr:uid="{764EBE7C-C0AD-43AA-96E5-D5ABE719F634}"/>
    <cellStyle name="Currency 5 7 5 2 2 3" xfId="25359" xr:uid="{31CA0590-2AB9-4CEE-A364-B6EA2FF06F21}"/>
    <cellStyle name="Currency 5 7 5 2 2 4" xfId="16911" xr:uid="{6E8F3239-A7DE-4BAF-8DFC-09D48E6DB95E}"/>
    <cellStyle name="Currency 5 7 5 2 3" xfId="29582" xr:uid="{614D6F23-E53C-4A75-8651-E12F64062218}"/>
    <cellStyle name="Currency 5 7 5 2 4" xfId="21141" xr:uid="{AC980C16-97EE-4A37-8C1C-524B89311A55}"/>
    <cellStyle name="Currency 5 7 5 2 5" xfId="12693" xr:uid="{3053F4FA-E4B3-4DB9-8DBF-FDC8A12D5CE7}"/>
    <cellStyle name="Currency 5 7 5 3" xfId="6316" xr:uid="{00000000-0005-0000-0000-0000900D0000}"/>
    <cellStyle name="Currency 5 7 5 3 2" xfId="31655" xr:uid="{00E8B6C8-358B-4550-8D3C-9A7D453B21BE}"/>
    <cellStyle name="Currency 5 7 5 3 3" xfId="23214" xr:uid="{1AE6EDE4-7BA8-43C1-9B69-42467F016B56}"/>
    <cellStyle name="Currency 5 7 5 3 4" xfId="14766" xr:uid="{DF65ACB1-2069-4946-92F7-6923A3468EF2}"/>
    <cellStyle name="Currency 5 7 5 4" xfId="27437" xr:uid="{03770721-4028-4B90-93D4-7F38659F0C2F}"/>
    <cellStyle name="Currency 5 7 5 5" xfId="18996" xr:uid="{88103151-95D5-4420-860B-A3215BFF7752}"/>
    <cellStyle name="Currency 5 7 5 6" xfId="10548" xr:uid="{24F18F02-3E23-485E-82A7-0A5EBC489BB8}"/>
    <cellStyle name="Currency 5 7 6" xfId="2445" xr:uid="{00000000-0005-0000-0000-0000910D0000}"/>
    <cellStyle name="Currency 5 7 6 2" xfId="6729" xr:uid="{00000000-0005-0000-0000-0000920D0000}"/>
    <cellStyle name="Currency 5 7 6 2 2" xfId="32068" xr:uid="{0C476E7E-F6FB-43B8-8BA4-C2BF6B9CB968}"/>
    <cellStyle name="Currency 5 7 6 2 3" xfId="23627" xr:uid="{1EA30800-901E-45F5-AF9A-6976BE8428CE}"/>
    <cellStyle name="Currency 5 7 6 2 4" xfId="15179" xr:uid="{19223DE4-224F-4966-87A9-6ED2A7578F86}"/>
    <cellStyle name="Currency 5 7 6 3" xfId="27850" xr:uid="{8B06A798-D806-4025-8425-9BD536E4DAF0}"/>
    <cellStyle name="Currency 5 7 6 4" xfId="19409" xr:uid="{F9B2DA57-A60B-42FF-90C8-A6E4B7734492}"/>
    <cellStyle name="Currency 5 7 6 5" xfId="10961" xr:uid="{750ADA9C-E7B5-418D-A37F-0EB633C2E1C2}"/>
    <cellStyle name="Currency 5 7 7" xfId="2742" xr:uid="{00000000-0005-0000-0000-0000930D0000}"/>
    <cellStyle name="Currency 5 7 8" xfId="2823" xr:uid="{00000000-0005-0000-0000-0000940D0000}"/>
    <cellStyle name="Currency 5 7 8 2" xfId="7046" xr:uid="{00000000-0005-0000-0000-0000950D0000}"/>
    <cellStyle name="Currency 5 7 8 2 2" xfId="32385" xr:uid="{72B435A2-2871-4C82-A672-F0F7758AC2EE}"/>
    <cellStyle name="Currency 5 7 8 2 3" xfId="23944" xr:uid="{E541060E-0972-4B9B-8556-60FC22730312}"/>
    <cellStyle name="Currency 5 7 8 2 4" xfId="15496" xr:uid="{1DA3A2E3-CC83-4C99-ABDC-64BBBA3AC153}"/>
    <cellStyle name="Currency 5 7 8 3" xfId="28167" xr:uid="{E2167F42-DF7B-489F-9E0D-D237BF3223D8}"/>
    <cellStyle name="Currency 5 7 8 4" xfId="19726" xr:uid="{81032A2B-5265-4F4A-8417-634ED5C53A1B}"/>
    <cellStyle name="Currency 5 7 8 5" xfId="11278" xr:uid="{84CCCD86-33F1-47FC-86D8-AA9FC67F0F23}"/>
    <cellStyle name="Currency 5 7 9" xfId="4663" xr:uid="{00000000-0005-0000-0000-0000960D0000}"/>
    <cellStyle name="Currency 5 7 9 2" xfId="30002" xr:uid="{FE2CD2F7-0FFD-438D-9357-9D15F59C84F8}"/>
    <cellStyle name="Currency 5 7 9 3" xfId="21561" xr:uid="{ED1581F0-10E8-47B7-A5E3-E2E44BB7E295}"/>
    <cellStyle name="Currency 5 7 9 4" xfId="13113" xr:uid="{A4FF17F8-7478-4DC1-9594-B21F814DDEE2}"/>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32069" xr:uid="{DBBDC86E-E852-4D79-99B9-50C02F0419C3}"/>
    <cellStyle name="Normal 12 10 2 3" xfId="23628" xr:uid="{CCE404F0-F599-40B2-AEF1-CC48911DBD3E}"/>
    <cellStyle name="Normal 12 10 2 4" xfId="15180" xr:uid="{BD942A14-8052-460A-BEDA-CCB1EBE66B00}"/>
    <cellStyle name="Normal 12 10 3" xfId="27851" xr:uid="{39E32EB6-0141-4D4F-9A8A-E1626E6F4F78}"/>
    <cellStyle name="Normal 12 10 4" xfId="19410" xr:uid="{9168D6A8-B905-4BDE-9C6D-A86FB1CE4FD3}"/>
    <cellStyle name="Normal 12 10 5" xfId="10962" xr:uid="{6BD3F7FF-E550-47D9-8B26-3A2EF0D636A6}"/>
    <cellStyle name="Normal 12 11" xfId="4664" xr:uid="{00000000-0005-0000-0000-0000CC0D0000}"/>
    <cellStyle name="Normal 12 11 2" xfId="30003" xr:uid="{6548BC4B-942C-4AE2-881E-6444C577A63B}"/>
    <cellStyle name="Normal 12 11 3" xfId="21562" xr:uid="{E19E0085-CB94-4005-8FDD-0EAEB0ABEC2E}"/>
    <cellStyle name="Normal 12 11 4" xfId="13114" xr:uid="{30FB6FC9-6BC8-4EEA-9FF4-BBA0F652768D}"/>
    <cellStyle name="Normal 12 12" xfId="25785" xr:uid="{CE0EC409-0F32-4CA0-A845-FEFE7E33507F}"/>
    <cellStyle name="Normal 12 13" xfId="17344" xr:uid="{F3FDF1E6-7CB9-4EB1-ABFE-620063A0C462}"/>
    <cellStyle name="Normal 12 14" xfId="8896" xr:uid="{FC635E1A-210C-43E8-8076-532660435894}"/>
    <cellStyle name="Normal 12 2" xfId="260" xr:uid="{00000000-0005-0000-0000-0000CD0D0000}"/>
    <cellStyle name="Normal 12 2 10" xfId="25786" xr:uid="{8AC24F2C-6AB6-4076-8FA1-95CC22B55899}"/>
    <cellStyle name="Normal 12 2 11" xfId="17345" xr:uid="{74BB5DC5-11D3-4F27-8FB6-1DDD9E27F2E8}"/>
    <cellStyle name="Normal 12 2 12" xfId="8897" xr:uid="{DD76C098-8607-4152-9497-7BF74D07F8D0}"/>
    <cellStyle name="Normal 12 2 2" xfId="261" xr:uid="{00000000-0005-0000-0000-0000CE0D0000}"/>
    <cellStyle name="Normal 12 2 2 10" xfId="17346" xr:uid="{879C0E73-A10A-4B16-9FF9-66B723267AAC}"/>
    <cellStyle name="Normal 12 2 2 11" xfId="8898" xr:uid="{5ABBF272-5064-4D19-A053-8D05A48DC5D8}"/>
    <cellStyle name="Normal 12 2 2 2" xfId="262" xr:uid="{00000000-0005-0000-0000-0000CF0D0000}"/>
    <cellStyle name="Normal 12 2 2 2 10" xfId="8899" xr:uid="{848F28E5-8EA2-43A5-8F37-E5E4C555AE57}"/>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32565" xr:uid="{92474470-E0D6-42DF-9CE7-16107544E762}"/>
    <cellStyle name="Normal 12 2 2 2 2 2 2 3" xfId="24124" xr:uid="{EDA1E8EB-B16D-4309-BA86-7BE3249E9F48}"/>
    <cellStyle name="Normal 12 2 2 2 2 2 2 4" xfId="15676" xr:uid="{BBE178EA-349F-44E4-8176-05D2F1ECCFB6}"/>
    <cellStyle name="Normal 12 2 2 2 2 2 3" xfId="28347" xr:uid="{E094B672-6C95-47BC-8E96-1CF35C774532}"/>
    <cellStyle name="Normal 12 2 2 2 2 2 4" xfId="19906" xr:uid="{6061E398-A194-4B21-B651-2B8428A1E76D}"/>
    <cellStyle name="Normal 12 2 2 2 2 2 5" xfId="11458" xr:uid="{761EBA30-2A8F-4522-9FCF-7F6050842AE5}"/>
    <cellStyle name="Normal 12 2 2 2 2 3" xfId="5081" xr:uid="{00000000-0005-0000-0000-0000D30D0000}"/>
    <cellStyle name="Normal 12 2 2 2 2 3 2" xfId="30420" xr:uid="{AE1C7C79-6941-420F-824C-8C144836963B}"/>
    <cellStyle name="Normal 12 2 2 2 2 3 3" xfId="21979" xr:uid="{4EDF4AFA-05B6-40DD-AC31-5A5F38975625}"/>
    <cellStyle name="Normal 12 2 2 2 2 3 4" xfId="13531" xr:uid="{A76B071D-A3A8-4029-B5C8-62615A78E3CB}"/>
    <cellStyle name="Normal 12 2 2 2 2 4" xfId="26202" xr:uid="{D166EE6D-02F8-4B26-B322-BDE1521654B7}"/>
    <cellStyle name="Normal 12 2 2 2 2 5" xfId="17761" xr:uid="{3B58EA29-BAE1-4B6C-9B9F-4A1562B73C75}"/>
    <cellStyle name="Normal 12 2 2 2 2 6" xfId="9313" xr:uid="{2F1A57BD-58C4-4EB5-90D5-949481D7C8E1}"/>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32978" xr:uid="{A5D1AB48-2800-40E6-B241-7CCA9AA396BE}"/>
    <cellStyle name="Normal 12 2 2 2 3 2 2 3" xfId="24537" xr:uid="{25B9163E-EF25-41B2-8226-76CC6D52D3C7}"/>
    <cellStyle name="Normal 12 2 2 2 3 2 2 4" xfId="16089" xr:uid="{FB7BE285-8DAA-417A-A7C8-15EDD3BC7FE4}"/>
    <cellStyle name="Normal 12 2 2 2 3 2 3" xfId="28760" xr:uid="{DB55D2E0-5A8E-4D82-9145-A6946B459728}"/>
    <cellStyle name="Normal 12 2 2 2 3 2 4" xfId="20319" xr:uid="{1FC279C0-C3CD-46B8-9342-BAFD9C2ADD60}"/>
    <cellStyle name="Normal 12 2 2 2 3 2 5" xfId="11871" xr:uid="{EFD05CE2-8820-4D65-9C1B-CDA63DCAF638}"/>
    <cellStyle name="Normal 12 2 2 2 3 3" xfId="5494" xr:uid="{00000000-0005-0000-0000-0000D70D0000}"/>
    <cellStyle name="Normal 12 2 2 2 3 3 2" xfId="30833" xr:uid="{2AB94D1E-22B1-417F-AE51-217BD8AB4540}"/>
    <cellStyle name="Normal 12 2 2 2 3 3 3" xfId="22392" xr:uid="{98D64608-6AAA-40F3-9DC5-0167219CEDBD}"/>
    <cellStyle name="Normal 12 2 2 2 3 3 4" xfId="13944" xr:uid="{83F39A8F-CCEF-4DB9-B0E8-72FFF75BD630}"/>
    <cellStyle name="Normal 12 2 2 2 3 4" xfId="26615" xr:uid="{D3232710-D680-4F45-95DD-B5122EF53D9D}"/>
    <cellStyle name="Normal 12 2 2 2 3 5" xfId="18174" xr:uid="{BD35D5E4-FE6C-4C2A-B692-A6A5A33A92F5}"/>
    <cellStyle name="Normal 12 2 2 2 3 6" xfId="9726" xr:uid="{60D8E588-EB84-45B8-A6F8-9B9B9FD2F219}"/>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33391" xr:uid="{B922C87B-8DB3-4C2A-BE8A-76B812448247}"/>
    <cellStyle name="Normal 12 2 2 2 4 2 2 3" xfId="24950" xr:uid="{91DBE150-AF65-4704-868E-EEC9A1618AA6}"/>
    <cellStyle name="Normal 12 2 2 2 4 2 2 4" xfId="16502" xr:uid="{530C72B4-3576-4813-8C01-4351AC10B223}"/>
    <cellStyle name="Normal 12 2 2 2 4 2 3" xfId="29173" xr:uid="{096C5C12-C562-43A0-B0A9-8C42B993C7FC}"/>
    <cellStyle name="Normal 12 2 2 2 4 2 4" xfId="20732" xr:uid="{911711D2-578F-4D01-B578-90DAD0BD3F84}"/>
    <cellStyle name="Normal 12 2 2 2 4 2 5" xfId="12284" xr:uid="{B1E30F9D-AAF9-4E31-9749-8D0A672F763B}"/>
    <cellStyle name="Normal 12 2 2 2 4 3" xfId="5907" xr:uid="{00000000-0005-0000-0000-0000DB0D0000}"/>
    <cellStyle name="Normal 12 2 2 2 4 3 2" xfId="31246" xr:uid="{A4DE74BE-B44F-4179-BCD6-688BB7FD5AE9}"/>
    <cellStyle name="Normal 12 2 2 2 4 3 3" xfId="22805" xr:uid="{5C1E00DB-1DFD-4F3D-A613-B1ACC5D232A9}"/>
    <cellStyle name="Normal 12 2 2 2 4 3 4" xfId="14357" xr:uid="{1701FFAA-0FD3-43AB-AC8D-A2AC2C161325}"/>
    <cellStyle name="Normal 12 2 2 2 4 4" xfId="27028" xr:uid="{610A4648-9ACC-4788-921B-F3B36E0907F1}"/>
    <cellStyle name="Normal 12 2 2 2 4 5" xfId="18587" xr:uid="{EDFFB237-29FE-428E-9C61-01DD5B4855BF}"/>
    <cellStyle name="Normal 12 2 2 2 4 6" xfId="10139" xr:uid="{E3F12D64-02E5-4DE1-8405-2B1DEB991889}"/>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33804" xr:uid="{7BE75101-472C-448D-897E-E92AF9DD27B4}"/>
    <cellStyle name="Normal 12 2 2 2 5 2 2 3" xfId="25363" xr:uid="{556B98B0-15B8-4113-8C0B-20F0E14E4B3E}"/>
    <cellStyle name="Normal 12 2 2 2 5 2 2 4" xfId="16915" xr:uid="{866CD819-7E25-4C14-8AFF-5C9B2D516400}"/>
    <cellStyle name="Normal 12 2 2 2 5 2 3" xfId="29586" xr:uid="{46B458F3-DABE-4278-A3E4-DF0351BD0144}"/>
    <cellStyle name="Normal 12 2 2 2 5 2 4" xfId="21145" xr:uid="{1EB727AA-77C5-4252-9050-F61EBB684D77}"/>
    <cellStyle name="Normal 12 2 2 2 5 2 5" xfId="12697" xr:uid="{21204813-A5B5-4DF6-B89B-DE312510334C}"/>
    <cellStyle name="Normal 12 2 2 2 5 3" xfId="6320" xr:uid="{00000000-0005-0000-0000-0000DF0D0000}"/>
    <cellStyle name="Normal 12 2 2 2 5 3 2" xfId="31659" xr:uid="{4AA9E60D-8916-4CB2-ADE0-18ABCEE6284B}"/>
    <cellStyle name="Normal 12 2 2 2 5 3 3" xfId="23218" xr:uid="{60A3AF34-E1C2-450A-8A63-253299F2EFAF}"/>
    <cellStyle name="Normal 12 2 2 2 5 3 4" xfId="14770" xr:uid="{5E5F6D43-E08F-4657-9BAF-C77B62B958F0}"/>
    <cellStyle name="Normal 12 2 2 2 5 4" xfId="27441" xr:uid="{8DCDCE59-ACED-4418-96A8-92D23AE26518}"/>
    <cellStyle name="Normal 12 2 2 2 5 5" xfId="19000" xr:uid="{34B5E2F3-9302-41DA-8D83-74225D4B5CE4}"/>
    <cellStyle name="Normal 12 2 2 2 5 6" xfId="10552" xr:uid="{348548B9-1AB8-4381-A7E5-C5B565AA2B46}"/>
    <cellStyle name="Normal 12 2 2 2 6" xfId="2450" xr:uid="{00000000-0005-0000-0000-0000E00D0000}"/>
    <cellStyle name="Normal 12 2 2 2 6 2" xfId="6733" xr:uid="{00000000-0005-0000-0000-0000E10D0000}"/>
    <cellStyle name="Normal 12 2 2 2 6 2 2" xfId="32072" xr:uid="{BAC8D430-3074-4712-9DCC-AE38E1E6A7CA}"/>
    <cellStyle name="Normal 12 2 2 2 6 2 3" xfId="23631" xr:uid="{B6A31B0B-6BC5-4411-A512-9F08261DBCF2}"/>
    <cellStyle name="Normal 12 2 2 2 6 2 4" xfId="15183" xr:uid="{D581D541-D069-46AF-8775-88406D11A7D7}"/>
    <cellStyle name="Normal 12 2 2 2 6 3" xfId="27854" xr:uid="{5272062C-953D-4514-A77D-2A50434C165C}"/>
    <cellStyle name="Normal 12 2 2 2 6 4" xfId="19413" xr:uid="{27942157-83A1-40C0-B7BC-FAD4389276AB}"/>
    <cellStyle name="Normal 12 2 2 2 6 5" xfId="10965" xr:uid="{EDE65B05-E00F-4839-BAF1-5808CEED12A1}"/>
    <cellStyle name="Normal 12 2 2 2 7" xfId="4667" xr:uid="{00000000-0005-0000-0000-0000E20D0000}"/>
    <cellStyle name="Normal 12 2 2 2 7 2" xfId="30006" xr:uid="{7FB77D86-E112-4641-A3F1-995C8153BD71}"/>
    <cellStyle name="Normal 12 2 2 2 7 3" xfId="21565" xr:uid="{90D2A14E-DC7D-4A49-922F-C4A8CC4EC731}"/>
    <cellStyle name="Normal 12 2 2 2 7 4" xfId="13117" xr:uid="{7C486A1A-A6DB-424E-ACB0-5913EC86ED44}"/>
    <cellStyle name="Normal 12 2 2 2 8" xfId="25788" xr:uid="{D1350752-6490-418D-8434-2A5755654F45}"/>
    <cellStyle name="Normal 12 2 2 2 9" xfId="17347" xr:uid="{62BB6FBD-118D-45A8-B2B8-8452783A16EB}"/>
    <cellStyle name="Normal 12 2 2 3" xfId="762" xr:uid="{00000000-0005-0000-0000-0000E30D0000}"/>
    <cellStyle name="Normal 12 2 2 3 2" xfId="3003" xr:uid="{00000000-0005-0000-0000-0000E40D0000}"/>
    <cellStyle name="Normal 12 2 2 3 2 2" xfId="7225" xr:uid="{00000000-0005-0000-0000-0000E50D0000}"/>
    <cellStyle name="Normal 12 2 2 3 2 2 2" xfId="32564" xr:uid="{FC7DC9AD-3314-4C8C-BB4C-8ECE1B9C4433}"/>
    <cellStyle name="Normal 12 2 2 3 2 2 3" xfId="24123" xr:uid="{7BB33821-4E4B-478D-B473-9170A0919066}"/>
    <cellStyle name="Normal 12 2 2 3 2 2 4" xfId="15675" xr:uid="{4B643934-D96B-4153-8B45-BCAA7BC095AB}"/>
    <cellStyle name="Normal 12 2 2 3 2 3" xfId="28346" xr:uid="{D3928A96-1664-4BC2-B827-6A6004F40630}"/>
    <cellStyle name="Normal 12 2 2 3 2 4" xfId="19905" xr:uid="{894B78C6-3CBA-46E4-A091-45E77D3353B0}"/>
    <cellStyle name="Normal 12 2 2 3 2 5" xfId="11457" xr:uid="{CD3DB458-DEA9-43DB-AB4F-4FBC11AE7FE7}"/>
    <cellStyle name="Normal 12 2 2 3 3" xfId="5080" xr:uid="{00000000-0005-0000-0000-0000E60D0000}"/>
    <cellStyle name="Normal 12 2 2 3 3 2" xfId="30419" xr:uid="{3EE6AC8A-49B7-4745-8065-D2CD6AFD8CDB}"/>
    <cellStyle name="Normal 12 2 2 3 3 3" xfId="21978" xr:uid="{EC77E582-8A51-4F79-BDF3-F2B4489A0D31}"/>
    <cellStyle name="Normal 12 2 2 3 3 4" xfId="13530" xr:uid="{8BB55E69-3F43-4358-B59F-AE35253F7E67}"/>
    <cellStyle name="Normal 12 2 2 3 4" xfId="26201" xr:uid="{6A045A60-A57D-4BBE-A18A-D7D8E77EF10A}"/>
    <cellStyle name="Normal 12 2 2 3 5" xfId="17760" xr:uid="{03AB3655-1FB6-4C40-B41C-D8DB1CFAA52E}"/>
    <cellStyle name="Normal 12 2 2 3 6" xfId="9312" xr:uid="{29C5111D-984C-4DDA-B8F1-0D1039EFD7A0}"/>
    <cellStyle name="Normal 12 2 2 4" xfId="1185" xr:uid="{00000000-0005-0000-0000-0000E70D0000}"/>
    <cellStyle name="Normal 12 2 2 4 2" xfId="3416" xr:uid="{00000000-0005-0000-0000-0000E80D0000}"/>
    <cellStyle name="Normal 12 2 2 4 2 2" xfId="7638" xr:uid="{00000000-0005-0000-0000-0000E90D0000}"/>
    <cellStyle name="Normal 12 2 2 4 2 2 2" xfId="32977" xr:uid="{34CFF1A2-2DF1-470E-9934-EA40EE019719}"/>
    <cellStyle name="Normal 12 2 2 4 2 2 3" xfId="24536" xr:uid="{A91C1423-7312-49B0-AF8D-970F471E71C6}"/>
    <cellStyle name="Normal 12 2 2 4 2 2 4" xfId="16088" xr:uid="{A7427C13-282F-4EB7-BFA1-6384584517A7}"/>
    <cellStyle name="Normal 12 2 2 4 2 3" xfId="28759" xr:uid="{2B65115C-B06E-43FA-ACD5-9BF5ACA047B1}"/>
    <cellStyle name="Normal 12 2 2 4 2 4" xfId="20318" xr:uid="{0FAA13FF-CFB2-4487-AB09-9E5BD5C3B6B4}"/>
    <cellStyle name="Normal 12 2 2 4 2 5" xfId="11870" xr:uid="{57A87798-6B2E-4A2E-A2B9-E1AE024F3442}"/>
    <cellStyle name="Normal 12 2 2 4 3" xfId="5493" xr:uid="{00000000-0005-0000-0000-0000EA0D0000}"/>
    <cellStyle name="Normal 12 2 2 4 3 2" xfId="30832" xr:uid="{B82783C9-2E2E-4A9A-9018-AAAF7918D350}"/>
    <cellStyle name="Normal 12 2 2 4 3 3" xfId="22391" xr:uid="{329D4058-03A6-4FAC-961F-F1744FF7D392}"/>
    <cellStyle name="Normal 12 2 2 4 3 4" xfId="13943" xr:uid="{DE493AA6-1E05-42D3-A11A-5A5F2C983B68}"/>
    <cellStyle name="Normal 12 2 2 4 4" xfId="26614" xr:uid="{21C585AA-FB7D-4C5C-AF49-F26014D06184}"/>
    <cellStyle name="Normal 12 2 2 4 5" xfId="18173" xr:uid="{7ACCE3BC-8273-4033-8F57-4ACAC1BBF631}"/>
    <cellStyle name="Normal 12 2 2 4 6" xfId="9725" xr:uid="{9F649F3F-0A5D-4DBD-ADFF-333544BBEECB}"/>
    <cellStyle name="Normal 12 2 2 5" xfId="1599" xr:uid="{00000000-0005-0000-0000-0000EB0D0000}"/>
    <cellStyle name="Normal 12 2 2 5 2" xfId="3829" xr:uid="{00000000-0005-0000-0000-0000EC0D0000}"/>
    <cellStyle name="Normal 12 2 2 5 2 2" xfId="8051" xr:uid="{00000000-0005-0000-0000-0000ED0D0000}"/>
    <cellStyle name="Normal 12 2 2 5 2 2 2" xfId="33390" xr:uid="{4034E00B-6F05-45E1-80E0-02B8EE55797A}"/>
    <cellStyle name="Normal 12 2 2 5 2 2 3" xfId="24949" xr:uid="{452DFDDB-91D0-49FA-8490-8C3FA8027855}"/>
    <cellStyle name="Normal 12 2 2 5 2 2 4" xfId="16501" xr:uid="{51FD4490-3E24-4FF7-B98C-7269F4C4E717}"/>
    <cellStyle name="Normal 12 2 2 5 2 3" xfId="29172" xr:uid="{7CC7C05E-40FA-4FF7-B29A-429D91A8B5E5}"/>
    <cellStyle name="Normal 12 2 2 5 2 4" xfId="20731" xr:uid="{F0225EFC-ED4A-449C-90DA-5E85A8AF881F}"/>
    <cellStyle name="Normal 12 2 2 5 2 5" xfId="12283" xr:uid="{FC64FD0C-32F4-46B2-BA81-2E92CD79CA1C}"/>
    <cellStyle name="Normal 12 2 2 5 3" xfId="5906" xr:uid="{00000000-0005-0000-0000-0000EE0D0000}"/>
    <cellStyle name="Normal 12 2 2 5 3 2" xfId="31245" xr:uid="{BB233212-F114-4AFA-8AAA-4935711B7F7F}"/>
    <cellStyle name="Normal 12 2 2 5 3 3" xfId="22804" xr:uid="{AD2AE6B3-3A11-4728-AC8D-8200AFD308FA}"/>
    <cellStyle name="Normal 12 2 2 5 3 4" xfId="14356" xr:uid="{E1EFD30F-0399-485C-B3B1-6E5D43DA6BF6}"/>
    <cellStyle name="Normal 12 2 2 5 4" xfId="27027" xr:uid="{3D885852-8F5E-4609-9414-68C06F79D770}"/>
    <cellStyle name="Normal 12 2 2 5 5" xfId="18586" xr:uid="{8DC541D5-4409-4919-A258-83EFC4976CE2}"/>
    <cellStyle name="Normal 12 2 2 5 6" xfId="10138" xr:uid="{98B92633-6BC3-47C3-BF5B-6DD87C36F507}"/>
    <cellStyle name="Normal 12 2 2 6" xfId="2013" xr:uid="{00000000-0005-0000-0000-0000EF0D0000}"/>
    <cellStyle name="Normal 12 2 2 6 2" xfId="4242" xr:uid="{00000000-0005-0000-0000-0000F00D0000}"/>
    <cellStyle name="Normal 12 2 2 6 2 2" xfId="8464" xr:uid="{00000000-0005-0000-0000-0000F10D0000}"/>
    <cellStyle name="Normal 12 2 2 6 2 2 2" xfId="33803" xr:uid="{D9648EE1-E013-4735-B149-BD52D2792002}"/>
    <cellStyle name="Normal 12 2 2 6 2 2 3" xfId="25362" xr:uid="{280CEEA0-004B-45E0-B058-D82E61F5B70C}"/>
    <cellStyle name="Normal 12 2 2 6 2 2 4" xfId="16914" xr:uid="{C499CF76-60D4-4F3A-8B57-730AC511D59B}"/>
    <cellStyle name="Normal 12 2 2 6 2 3" xfId="29585" xr:uid="{3CDDF94B-5B0A-4F4A-9A96-ACA0ECE95A22}"/>
    <cellStyle name="Normal 12 2 2 6 2 4" xfId="21144" xr:uid="{AEBB0C16-9942-4BFE-8FC1-F931E5F648BF}"/>
    <cellStyle name="Normal 12 2 2 6 2 5" xfId="12696" xr:uid="{B611F501-761E-4E2C-89F5-FA0F9CB0F0AE}"/>
    <cellStyle name="Normal 12 2 2 6 3" xfId="6319" xr:uid="{00000000-0005-0000-0000-0000F20D0000}"/>
    <cellStyle name="Normal 12 2 2 6 3 2" xfId="31658" xr:uid="{B3690413-04BA-4779-8FBF-D252E80DB899}"/>
    <cellStyle name="Normal 12 2 2 6 3 3" xfId="23217" xr:uid="{C1A3597A-3C85-4825-AC66-4859DF3A4C4B}"/>
    <cellStyle name="Normal 12 2 2 6 3 4" xfId="14769" xr:uid="{CDBA03E6-17BD-4C1E-8417-62862643F4C1}"/>
    <cellStyle name="Normal 12 2 2 6 4" xfId="27440" xr:uid="{B7B32B57-FD91-4BF1-821A-7AD9ABA7E162}"/>
    <cellStyle name="Normal 12 2 2 6 5" xfId="18999" xr:uid="{146F0013-5E34-483D-8070-6EDB8D135C16}"/>
    <cellStyle name="Normal 12 2 2 6 6" xfId="10551" xr:uid="{761DACF8-D06A-41DF-AA65-F6D7EFD93130}"/>
    <cellStyle name="Normal 12 2 2 7" xfId="2449" xr:uid="{00000000-0005-0000-0000-0000F30D0000}"/>
    <cellStyle name="Normal 12 2 2 7 2" xfId="6732" xr:uid="{00000000-0005-0000-0000-0000F40D0000}"/>
    <cellStyle name="Normal 12 2 2 7 2 2" xfId="32071" xr:uid="{A0507834-4059-4890-9136-971FAB0E6D8F}"/>
    <cellStyle name="Normal 12 2 2 7 2 3" xfId="23630" xr:uid="{80EC0192-3B5C-4462-8D68-6FAFE747315E}"/>
    <cellStyle name="Normal 12 2 2 7 2 4" xfId="15182" xr:uid="{71016877-432D-4867-B826-F20A61A2E809}"/>
    <cellStyle name="Normal 12 2 2 7 3" xfId="27853" xr:uid="{CF2B5754-F75A-4F93-B8C5-C31384D0634B}"/>
    <cellStyle name="Normal 12 2 2 7 4" xfId="19412" xr:uid="{69E02D0F-8977-4740-ACDC-8F18C8233460}"/>
    <cellStyle name="Normal 12 2 2 7 5" xfId="10964" xr:uid="{78442E54-50E7-4B90-850C-B43D09FF1EEE}"/>
    <cellStyle name="Normal 12 2 2 8" xfId="4666" xr:uid="{00000000-0005-0000-0000-0000F50D0000}"/>
    <cellStyle name="Normal 12 2 2 8 2" xfId="30005" xr:uid="{F3750841-0738-4273-9104-8A2BC1C17305}"/>
    <cellStyle name="Normal 12 2 2 8 3" xfId="21564" xr:uid="{E2670B76-8669-4A18-83F1-15BDB97E9E47}"/>
    <cellStyle name="Normal 12 2 2 8 4" xfId="13116" xr:uid="{A1FA2CF6-9270-487B-B6B0-C4578C703932}"/>
    <cellStyle name="Normal 12 2 2 9" xfId="25787" xr:uid="{FC58B417-C4D4-4449-B44B-2A52EDCD2397}"/>
    <cellStyle name="Normal 12 2 3" xfId="263" xr:uid="{00000000-0005-0000-0000-0000F60D0000}"/>
    <cellStyle name="Normal 12 2 3 10" xfId="8900" xr:uid="{4ADA370A-748B-4571-B537-35271F93B421}"/>
    <cellStyle name="Normal 12 2 3 2" xfId="764" xr:uid="{00000000-0005-0000-0000-0000F70D0000}"/>
    <cellStyle name="Normal 12 2 3 2 2" xfId="3005" xr:uid="{00000000-0005-0000-0000-0000F80D0000}"/>
    <cellStyle name="Normal 12 2 3 2 2 2" xfId="7227" xr:uid="{00000000-0005-0000-0000-0000F90D0000}"/>
    <cellStyle name="Normal 12 2 3 2 2 2 2" xfId="32566" xr:uid="{A15F3982-E4AE-49F2-ADDD-B1B645FBCCD8}"/>
    <cellStyle name="Normal 12 2 3 2 2 2 3" xfId="24125" xr:uid="{3BD3D7ED-539A-464A-8DA5-6C65025AC123}"/>
    <cellStyle name="Normal 12 2 3 2 2 2 4" xfId="15677" xr:uid="{49A9C527-6EFA-4C6C-A7C6-2405818A246A}"/>
    <cellStyle name="Normal 12 2 3 2 2 3" xfId="28348" xr:uid="{F7DEB710-10B3-4D7D-B842-DE9B7D964848}"/>
    <cellStyle name="Normal 12 2 3 2 2 4" xfId="19907" xr:uid="{FAC10C4E-F2B0-451C-953E-3B7949924274}"/>
    <cellStyle name="Normal 12 2 3 2 2 5" xfId="11459" xr:uid="{3829A52C-D267-44D0-B7ED-48129AFBB1B7}"/>
    <cellStyle name="Normal 12 2 3 2 3" xfId="5082" xr:uid="{00000000-0005-0000-0000-0000FA0D0000}"/>
    <cellStyle name="Normal 12 2 3 2 3 2" xfId="30421" xr:uid="{EDAB20FC-7988-444A-A3E9-10DCED33D004}"/>
    <cellStyle name="Normal 12 2 3 2 3 3" xfId="21980" xr:uid="{155354A4-434A-427D-98F6-2AC6108E701A}"/>
    <cellStyle name="Normal 12 2 3 2 3 4" xfId="13532" xr:uid="{D2C55089-1F92-4E22-A54E-FC9FF071A33B}"/>
    <cellStyle name="Normal 12 2 3 2 4" xfId="26203" xr:uid="{B89FF40B-6104-4495-A252-0B573530C250}"/>
    <cellStyle name="Normal 12 2 3 2 5" xfId="17762" xr:uid="{69712069-FE3E-4F63-97D9-B2F917CE575D}"/>
    <cellStyle name="Normal 12 2 3 2 6" xfId="9314" xr:uid="{34D619DA-2EF5-455D-8A83-470E98998D8F}"/>
    <cellStyle name="Normal 12 2 3 3" xfId="1187" xr:uid="{00000000-0005-0000-0000-0000FB0D0000}"/>
    <cellStyle name="Normal 12 2 3 3 2" xfId="3418" xr:uid="{00000000-0005-0000-0000-0000FC0D0000}"/>
    <cellStyle name="Normal 12 2 3 3 2 2" xfId="7640" xr:uid="{00000000-0005-0000-0000-0000FD0D0000}"/>
    <cellStyle name="Normal 12 2 3 3 2 2 2" xfId="32979" xr:uid="{D9862571-16B5-4552-A198-A856CFF43CA9}"/>
    <cellStyle name="Normal 12 2 3 3 2 2 3" xfId="24538" xr:uid="{E85F1C28-CB48-498A-A704-A9FE30CC482A}"/>
    <cellStyle name="Normal 12 2 3 3 2 2 4" xfId="16090" xr:uid="{8D9203C1-7B03-4FBF-ABDE-11B076D9FC49}"/>
    <cellStyle name="Normal 12 2 3 3 2 3" xfId="28761" xr:uid="{9F3BA589-293E-458A-B699-17975D3A79C7}"/>
    <cellStyle name="Normal 12 2 3 3 2 4" xfId="20320" xr:uid="{BE2826E8-CDD9-4844-92C2-5322C4105770}"/>
    <cellStyle name="Normal 12 2 3 3 2 5" xfId="11872" xr:uid="{89C85CDF-78C0-417A-8924-4F5BE6F2468C}"/>
    <cellStyle name="Normal 12 2 3 3 3" xfId="5495" xr:uid="{00000000-0005-0000-0000-0000FE0D0000}"/>
    <cellStyle name="Normal 12 2 3 3 3 2" xfId="30834" xr:uid="{0A1B88B2-AFC9-4E6D-A787-1BB9F9D1029D}"/>
    <cellStyle name="Normal 12 2 3 3 3 3" xfId="22393" xr:uid="{F7BEDF64-03C5-450B-A1FE-4C175A4697E8}"/>
    <cellStyle name="Normal 12 2 3 3 3 4" xfId="13945" xr:uid="{57A2EEDC-2091-4937-BEA2-7B94680AB40E}"/>
    <cellStyle name="Normal 12 2 3 3 4" xfId="26616" xr:uid="{02F23516-AE95-48F6-9240-C9145724E125}"/>
    <cellStyle name="Normal 12 2 3 3 5" xfId="18175" xr:uid="{3397C8AA-335B-4906-8039-3DA313FABF8B}"/>
    <cellStyle name="Normal 12 2 3 3 6" xfId="9727" xr:uid="{4BDC4AE3-488A-4AEF-AF48-87C0847811D9}"/>
    <cellStyle name="Normal 12 2 3 4" xfId="1601" xr:uid="{00000000-0005-0000-0000-0000FF0D0000}"/>
    <cellStyle name="Normal 12 2 3 4 2" xfId="3831" xr:uid="{00000000-0005-0000-0000-0000000E0000}"/>
    <cellStyle name="Normal 12 2 3 4 2 2" xfId="8053" xr:uid="{00000000-0005-0000-0000-0000010E0000}"/>
    <cellStyle name="Normal 12 2 3 4 2 2 2" xfId="33392" xr:uid="{B12EE6F6-7D25-41E4-A615-3369AFBE278B}"/>
    <cellStyle name="Normal 12 2 3 4 2 2 3" xfId="24951" xr:uid="{3DE29BAE-70BC-4014-978F-0DA29935B0CE}"/>
    <cellStyle name="Normal 12 2 3 4 2 2 4" xfId="16503" xr:uid="{297559EA-DA50-4842-BC91-A4C40F5B0E84}"/>
    <cellStyle name="Normal 12 2 3 4 2 3" xfId="29174" xr:uid="{0E8D6422-8AB5-4D1C-BDDC-D4C48B0F19AC}"/>
    <cellStyle name="Normal 12 2 3 4 2 4" xfId="20733" xr:uid="{4CE18879-A823-4854-9943-B68609375A9F}"/>
    <cellStyle name="Normal 12 2 3 4 2 5" xfId="12285" xr:uid="{CFACFA44-926F-4194-B6FF-1771524B80C0}"/>
    <cellStyle name="Normal 12 2 3 4 3" xfId="5908" xr:uid="{00000000-0005-0000-0000-0000020E0000}"/>
    <cellStyle name="Normal 12 2 3 4 3 2" xfId="31247" xr:uid="{8ECDABA9-8CE0-41FF-8822-805C52C60543}"/>
    <cellStyle name="Normal 12 2 3 4 3 3" xfId="22806" xr:uid="{4659D889-7AE1-4F18-9E6C-B9F97FCF53FD}"/>
    <cellStyle name="Normal 12 2 3 4 3 4" xfId="14358" xr:uid="{D9FDDA07-C491-49AC-820A-0B9D7BAE259E}"/>
    <cellStyle name="Normal 12 2 3 4 4" xfId="27029" xr:uid="{9FB5B89F-49CA-4F59-B57D-65C7BFFC9CD4}"/>
    <cellStyle name="Normal 12 2 3 4 5" xfId="18588" xr:uid="{42A2A25B-A265-4491-A813-1BDA8F665D1D}"/>
    <cellStyle name="Normal 12 2 3 4 6" xfId="10140" xr:uid="{F166DA28-B25E-4D6D-BE06-14272C0E4160}"/>
    <cellStyle name="Normal 12 2 3 5" xfId="2015" xr:uid="{00000000-0005-0000-0000-0000030E0000}"/>
    <cellStyle name="Normal 12 2 3 5 2" xfId="4244" xr:uid="{00000000-0005-0000-0000-0000040E0000}"/>
    <cellStyle name="Normal 12 2 3 5 2 2" xfId="8466" xr:uid="{00000000-0005-0000-0000-0000050E0000}"/>
    <cellStyle name="Normal 12 2 3 5 2 2 2" xfId="33805" xr:uid="{C8862B8F-0AB0-474B-92DB-7AB7A99484B3}"/>
    <cellStyle name="Normal 12 2 3 5 2 2 3" xfId="25364" xr:uid="{8EA7C3F0-1705-49F1-95CA-560CB1D12B82}"/>
    <cellStyle name="Normal 12 2 3 5 2 2 4" xfId="16916" xr:uid="{A48A2147-1B92-4BCB-8A77-60AC3C30C309}"/>
    <cellStyle name="Normal 12 2 3 5 2 3" xfId="29587" xr:uid="{EEEDF9C5-0B78-44BA-8676-9D68C202FFB7}"/>
    <cellStyle name="Normal 12 2 3 5 2 4" xfId="21146" xr:uid="{9941DB0B-C419-418D-86F4-C6983195EBBB}"/>
    <cellStyle name="Normal 12 2 3 5 2 5" xfId="12698" xr:uid="{A180630F-684D-40AB-A2F3-FE3E73931578}"/>
    <cellStyle name="Normal 12 2 3 5 3" xfId="6321" xr:uid="{00000000-0005-0000-0000-0000060E0000}"/>
    <cellStyle name="Normal 12 2 3 5 3 2" xfId="31660" xr:uid="{C3DE9A1C-D68C-4FE0-B417-398A94A16D1C}"/>
    <cellStyle name="Normal 12 2 3 5 3 3" xfId="23219" xr:uid="{5895B786-5059-4F48-A9A3-4D2A41598E4F}"/>
    <cellStyle name="Normal 12 2 3 5 3 4" xfId="14771" xr:uid="{171126C8-8D13-4C46-8399-A85CD9133F28}"/>
    <cellStyle name="Normal 12 2 3 5 4" xfId="27442" xr:uid="{A932155B-482A-4B7A-89B8-EEA90D35C513}"/>
    <cellStyle name="Normal 12 2 3 5 5" xfId="19001" xr:uid="{F817A900-6AAE-41B2-96A3-4442C9828334}"/>
    <cellStyle name="Normal 12 2 3 5 6" xfId="10553" xr:uid="{677FFE80-44E0-4F9A-88C2-020C5353FD0C}"/>
    <cellStyle name="Normal 12 2 3 6" xfId="2451" xr:uid="{00000000-0005-0000-0000-0000070E0000}"/>
    <cellStyle name="Normal 12 2 3 6 2" xfId="6734" xr:uid="{00000000-0005-0000-0000-0000080E0000}"/>
    <cellStyle name="Normal 12 2 3 6 2 2" xfId="32073" xr:uid="{7C00324A-089B-41B4-AB18-5DA04288573B}"/>
    <cellStyle name="Normal 12 2 3 6 2 3" xfId="23632" xr:uid="{3F69F24B-7763-4AA2-B977-6C4358A7D49A}"/>
    <cellStyle name="Normal 12 2 3 6 2 4" xfId="15184" xr:uid="{7E49FA10-DC59-432F-8F76-890EF90B89F3}"/>
    <cellStyle name="Normal 12 2 3 6 3" xfId="27855" xr:uid="{67E971F5-CBBE-4622-A6DC-9D7BA6953E02}"/>
    <cellStyle name="Normal 12 2 3 6 4" xfId="19414" xr:uid="{A7D9AD5A-15C2-488B-812E-6FCDBF9EB181}"/>
    <cellStyle name="Normal 12 2 3 6 5" xfId="10966" xr:uid="{C1EDBD12-8523-461E-BF57-F96327F8481E}"/>
    <cellStyle name="Normal 12 2 3 7" xfId="4668" xr:uid="{00000000-0005-0000-0000-0000090E0000}"/>
    <cellStyle name="Normal 12 2 3 7 2" xfId="30007" xr:uid="{9867C148-91DF-43D5-80EC-763E2EA52F91}"/>
    <cellStyle name="Normal 12 2 3 7 3" xfId="21566" xr:uid="{F6BDFD20-2C80-4B72-9993-488DD92036A8}"/>
    <cellStyle name="Normal 12 2 3 7 4" xfId="13118" xr:uid="{E4551E0A-C027-4D2C-A67E-348AA205C23E}"/>
    <cellStyle name="Normal 12 2 3 8" xfId="25789" xr:uid="{574AADEB-D5EE-425C-9304-0D93FAA8DE0F}"/>
    <cellStyle name="Normal 12 2 3 9" xfId="17348" xr:uid="{5C446E9C-EBE8-4D9D-B9CF-5B772D7EAA7A}"/>
    <cellStyle name="Normal 12 2 4" xfId="761" xr:uid="{00000000-0005-0000-0000-00000A0E0000}"/>
    <cellStyle name="Normal 12 2 4 2" xfId="3002" xr:uid="{00000000-0005-0000-0000-00000B0E0000}"/>
    <cellStyle name="Normal 12 2 4 2 2" xfId="7224" xr:uid="{00000000-0005-0000-0000-00000C0E0000}"/>
    <cellStyle name="Normal 12 2 4 2 2 2" xfId="32563" xr:uid="{6D70A5F0-F139-472C-99B4-ED5EFD6D6A46}"/>
    <cellStyle name="Normal 12 2 4 2 2 3" xfId="24122" xr:uid="{DB59DF93-10C4-4C7C-9269-13B1864EC2BF}"/>
    <cellStyle name="Normal 12 2 4 2 2 4" xfId="15674" xr:uid="{2F529754-E7E1-43F2-BF76-F2B9DBBB9FC5}"/>
    <cellStyle name="Normal 12 2 4 2 3" xfId="28345" xr:uid="{52E3411D-4510-488D-92B5-89CD9EB07C76}"/>
    <cellStyle name="Normal 12 2 4 2 4" xfId="19904" xr:uid="{9031CC30-F42F-4A4D-965F-E515472999ED}"/>
    <cellStyle name="Normal 12 2 4 2 5" xfId="11456" xr:uid="{0AB3DE1F-5503-4F06-9626-B4910B0E4FEC}"/>
    <cellStyle name="Normal 12 2 4 3" xfId="5079" xr:uid="{00000000-0005-0000-0000-00000D0E0000}"/>
    <cellStyle name="Normal 12 2 4 3 2" xfId="30418" xr:uid="{EB92807F-9DFB-44C1-99A0-86940F08FF25}"/>
    <cellStyle name="Normal 12 2 4 3 3" xfId="21977" xr:uid="{33CCD425-7170-4D81-BE03-D0D38488B916}"/>
    <cellStyle name="Normal 12 2 4 3 4" xfId="13529" xr:uid="{0F2C5BA3-1E46-4E59-9CAB-865C074A06EF}"/>
    <cellStyle name="Normal 12 2 4 4" xfId="26200" xr:uid="{35E4A41C-5269-476E-8F8A-252342C3F208}"/>
    <cellStyle name="Normal 12 2 4 5" xfId="17759" xr:uid="{D7FF67DE-E79E-476E-8435-73161ED0FD73}"/>
    <cellStyle name="Normal 12 2 4 6" xfId="9311" xr:uid="{4BDA9741-F402-4F63-A350-D19CFBE24D58}"/>
    <cellStyle name="Normal 12 2 5" xfId="1184" xr:uid="{00000000-0005-0000-0000-00000E0E0000}"/>
    <cellStyle name="Normal 12 2 5 2" xfId="3415" xr:uid="{00000000-0005-0000-0000-00000F0E0000}"/>
    <cellStyle name="Normal 12 2 5 2 2" xfId="7637" xr:uid="{00000000-0005-0000-0000-0000100E0000}"/>
    <cellStyle name="Normal 12 2 5 2 2 2" xfId="32976" xr:uid="{607008FE-4665-4E72-8C61-F26732E554C7}"/>
    <cellStyle name="Normal 12 2 5 2 2 3" xfId="24535" xr:uid="{C56B9B64-FFE9-4BFF-994A-39B79602E137}"/>
    <cellStyle name="Normal 12 2 5 2 2 4" xfId="16087" xr:uid="{33ACB78E-CBA9-4588-9053-47937CB6EDD1}"/>
    <cellStyle name="Normal 12 2 5 2 3" xfId="28758" xr:uid="{1FC8C142-776C-4169-A545-AA855BE0BEE9}"/>
    <cellStyle name="Normal 12 2 5 2 4" xfId="20317" xr:uid="{FCE380E6-03B6-47EE-AE7D-508B7A405D4F}"/>
    <cellStyle name="Normal 12 2 5 2 5" xfId="11869" xr:uid="{0C59B321-7877-4272-B1E5-17F7BEA59B5E}"/>
    <cellStyle name="Normal 12 2 5 3" xfId="5492" xr:uid="{00000000-0005-0000-0000-0000110E0000}"/>
    <cellStyle name="Normal 12 2 5 3 2" xfId="30831" xr:uid="{14F6664F-9267-40F1-B90C-30789FE1CD65}"/>
    <cellStyle name="Normal 12 2 5 3 3" xfId="22390" xr:uid="{6559A5B3-B5D6-48FB-ABCB-85E193347D3C}"/>
    <cellStyle name="Normal 12 2 5 3 4" xfId="13942" xr:uid="{E4E2677A-2E58-41DD-A3B5-0D9481059782}"/>
    <cellStyle name="Normal 12 2 5 4" xfId="26613" xr:uid="{FC272161-11F9-4875-ACAC-D157CF3D41E9}"/>
    <cellStyle name="Normal 12 2 5 5" xfId="18172" xr:uid="{A3DD78F2-F1E1-4DA9-B460-AD7132D14B60}"/>
    <cellStyle name="Normal 12 2 5 6" xfId="9724" xr:uid="{DCA5D996-CFD3-421F-8E2D-3EC19FFA6B84}"/>
    <cellStyle name="Normal 12 2 6" xfId="1598" xr:uid="{00000000-0005-0000-0000-0000120E0000}"/>
    <cellStyle name="Normal 12 2 6 2" xfId="3828" xr:uid="{00000000-0005-0000-0000-0000130E0000}"/>
    <cellStyle name="Normal 12 2 6 2 2" xfId="8050" xr:uid="{00000000-0005-0000-0000-0000140E0000}"/>
    <cellStyle name="Normal 12 2 6 2 2 2" xfId="33389" xr:uid="{11281A91-367A-461C-86EC-2B11825892A2}"/>
    <cellStyle name="Normal 12 2 6 2 2 3" xfId="24948" xr:uid="{96AA01D1-C7FF-4410-9CCB-7D45B0BD7BB7}"/>
    <cellStyle name="Normal 12 2 6 2 2 4" xfId="16500" xr:uid="{F1F1397D-8241-4990-BA85-174C8A0BAB96}"/>
    <cellStyle name="Normal 12 2 6 2 3" xfId="29171" xr:uid="{724ECC90-7478-4B33-88F4-D56A6B23A3DC}"/>
    <cellStyle name="Normal 12 2 6 2 4" xfId="20730" xr:uid="{18734594-54A1-488E-85F5-824244D22865}"/>
    <cellStyle name="Normal 12 2 6 2 5" xfId="12282" xr:uid="{2CB2DEBA-4631-44E6-B1A1-89B887F0E44F}"/>
    <cellStyle name="Normal 12 2 6 3" xfId="5905" xr:uid="{00000000-0005-0000-0000-0000150E0000}"/>
    <cellStyle name="Normal 12 2 6 3 2" xfId="31244" xr:uid="{D3855945-8369-4AD9-B259-1B9ECD645F27}"/>
    <cellStyle name="Normal 12 2 6 3 3" xfId="22803" xr:uid="{471334C3-0497-4194-987E-F6AA038CC8ED}"/>
    <cellStyle name="Normal 12 2 6 3 4" xfId="14355" xr:uid="{45F381A1-86A2-43E8-BCAE-545343370273}"/>
    <cellStyle name="Normal 12 2 6 4" xfId="27026" xr:uid="{E4C60476-00C9-4761-8AA7-A39F2C757E49}"/>
    <cellStyle name="Normal 12 2 6 5" xfId="18585" xr:uid="{FD243AB0-5F08-4967-8537-BEBCA7DDF1EF}"/>
    <cellStyle name="Normal 12 2 6 6" xfId="10137" xr:uid="{21B8AC9B-1C72-4D53-9024-623854C9C043}"/>
    <cellStyle name="Normal 12 2 7" xfId="2012" xr:uid="{00000000-0005-0000-0000-0000160E0000}"/>
    <cellStyle name="Normal 12 2 7 2" xfId="4241" xr:uid="{00000000-0005-0000-0000-0000170E0000}"/>
    <cellStyle name="Normal 12 2 7 2 2" xfId="8463" xr:uid="{00000000-0005-0000-0000-0000180E0000}"/>
    <cellStyle name="Normal 12 2 7 2 2 2" xfId="33802" xr:uid="{D1A3F754-9C32-4885-89FB-6B174719AEB0}"/>
    <cellStyle name="Normal 12 2 7 2 2 3" xfId="25361" xr:uid="{89693445-64E8-449C-A1E4-19F87CAF9F2C}"/>
    <cellStyle name="Normal 12 2 7 2 2 4" xfId="16913" xr:uid="{F0BCCA51-728D-41E7-A04E-C373AB8232A7}"/>
    <cellStyle name="Normal 12 2 7 2 3" xfId="29584" xr:uid="{94CAB2F5-BAE3-4266-B131-CF3C7FA412E7}"/>
    <cellStyle name="Normal 12 2 7 2 4" xfId="21143" xr:uid="{58DD2696-BE3B-4269-A2A4-261E02C5B3A3}"/>
    <cellStyle name="Normal 12 2 7 2 5" xfId="12695" xr:uid="{FF8C9EC7-F344-4BA2-B257-6483F697E025}"/>
    <cellStyle name="Normal 12 2 7 3" xfId="6318" xr:uid="{00000000-0005-0000-0000-0000190E0000}"/>
    <cellStyle name="Normal 12 2 7 3 2" xfId="31657" xr:uid="{619F7ED3-C6AE-4397-8027-369A46B5073A}"/>
    <cellStyle name="Normal 12 2 7 3 3" xfId="23216" xr:uid="{CD01F049-B412-457D-81E2-FC4BCD58F812}"/>
    <cellStyle name="Normal 12 2 7 3 4" xfId="14768" xr:uid="{11DC0F18-16E3-495F-8712-06F6921D7BF1}"/>
    <cellStyle name="Normal 12 2 7 4" xfId="27439" xr:uid="{0ADF28D0-CDB5-4152-AA0C-F6238F37C7F2}"/>
    <cellStyle name="Normal 12 2 7 5" xfId="18998" xr:uid="{3A078C97-41A7-499F-AFC4-10DCA0C05356}"/>
    <cellStyle name="Normal 12 2 7 6" xfId="10550" xr:uid="{AEF11B9C-CCE3-4BAB-BFFC-A260EBE37D08}"/>
    <cellStyle name="Normal 12 2 8" xfId="2448" xr:uid="{00000000-0005-0000-0000-00001A0E0000}"/>
    <cellStyle name="Normal 12 2 8 2" xfId="6731" xr:uid="{00000000-0005-0000-0000-00001B0E0000}"/>
    <cellStyle name="Normal 12 2 8 2 2" xfId="32070" xr:uid="{45626D42-61AC-4BFD-8D94-C2E28C1FE5E3}"/>
    <cellStyle name="Normal 12 2 8 2 3" xfId="23629" xr:uid="{CF0FD8E7-87BE-4AF5-953B-03B5627E5435}"/>
    <cellStyle name="Normal 12 2 8 2 4" xfId="15181" xr:uid="{AAD42E52-3542-4BD9-8732-06DB1F5109C9}"/>
    <cellStyle name="Normal 12 2 8 3" xfId="27852" xr:uid="{DD794CE7-C2FE-4035-8416-B4ABB64C4A2B}"/>
    <cellStyle name="Normal 12 2 8 4" xfId="19411" xr:uid="{5D94A2C4-9A3C-4978-B1BF-9207B36F4DE5}"/>
    <cellStyle name="Normal 12 2 8 5" xfId="10963" xr:uid="{A51D07F6-8382-4BE1-87C9-3923CEF62D1B}"/>
    <cellStyle name="Normal 12 2 9" xfId="4665" xr:uid="{00000000-0005-0000-0000-00001C0E0000}"/>
    <cellStyle name="Normal 12 2 9 2" xfId="30004" xr:uid="{6FE43689-B8B2-428B-A6DE-3E2B10325D39}"/>
    <cellStyle name="Normal 12 2 9 3" xfId="21563" xr:uid="{8F84BCDB-D0F8-4571-8C9C-6A28E223A72B}"/>
    <cellStyle name="Normal 12 2 9 4" xfId="13115" xr:uid="{0B985CD9-C7E5-4002-A5E1-85DBF145A822}"/>
    <cellStyle name="Normal 12 3" xfId="264" xr:uid="{00000000-0005-0000-0000-00001D0E0000}"/>
    <cellStyle name="Normal 12 3 10" xfId="17349" xr:uid="{46ABCF5C-9CE2-4073-9B22-60FD47EC98A1}"/>
    <cellStyle name="Normal 12 3 11" xfId="8901" xr:uid="{DF870FBD-EBD6-410E-801C-99CB44FA02FD}"/>
    <cellStyle name="Normal 12 3 2" xfId="265" xr:uid="{00000000-0005-0000-0000-00001E0E0000}"/>
    <cellStyle name="Normal 12 3 2 10" xfId="8902" xr:uid="{8F66D198-3181-45F8-8FE2-5EA4B6A53646}"/>
    <cellStyle name="Normal 12 3 2 2" xfId="766" xr:uid="{00000000-0005-0000-0000-00001F0E0000}"/>
    <cellStyle name="Normal 12 3 2 2 2" xfId="3007" xr:uid="{00000000-0005-0000-0000-0000200E0000}"/>
    <cellStyle name="Normal 12 3 2 2 2 2" xfId="7229" xr:uid="{00000000-0005-0000-0000-0000210E0000}"/>
    <cellStyle name="Normal 12 3 2 2 2 2 2" xfId="32568" xr:uid="{B4F7FEDD-ABE1-4342-963D-D9FE4A17624E}"/>
    <cellStyle name="Normal 12 3 2 2 2 2 3" xfId="24127" xr:uid="{A82E3EFC-8BBE-4550-99B1-D4A3D407B74B}"/>
    <cellStyle name="Normal 12 3 2 2 2 2 4" xfId="15679" xr:uid="{81ABB6B2-3AA5-407E-88F2-82AC196A2EB8}"/>
    <cellStyle name="Normal 12 3 2 2 2 3" xfId="28350" xr:uid="{2F8F606A-6369-46C4-AC29-B0BE8C218F8E}"/>
    <cellStyle name="Normal 12 3 2 2 2 4" xfId="19909" xr:uid="{FDC3D0B2-610E-4B2F-BCBA-77C560854A10}"/>
    <cellStyle name="Normal 12 3 2 2 2 5" xfId="11461" xr:uid="{D29A86E8-4352-42FE-BF67-454F4465928F}"/>
    <cellStyle name="Normal 12 3 2 2 3" xfId="5084" xr:uid="{00000000-0005-0000-0000-0000220E0000}"/>
    <cellStyle name="Normal 12 3 2 2 3 2" xfId="30423" xr:uid="{65432D01-9364-49AB-A2B1-4D6EAB2D7A20}"/>
    <cellStyle name="Normal 12 3 2 2 3 3" xfId="21982" xr:uid="{2D56C889-718D-470E-B046-F8212A3BC26A}"/>
    <cellStyle name="Normal 12 3 2 2 3 4" xfId="13534" xr:uid="{7CB23015-EF69-4281-969C-239611DC2822}"/>
    <cellStyle name="Normal 12 3 2 2 4" xfId="26205" xr:uid="{45E33C42-7A3E-43E5-A98C-48644F3B1950}"/>
    <cellStyle name="Normal 12 3 2 2 5" xfId="17764" xr:uid="{4938E9EA-061F-4322-B20F-CABFC00229F3}"/>
    <cellStyle name="Normal 12 3 2 2 6" xfId="9316" xr:uid="{6BE274F8-FB7F-4527-8670-031FDD4341C9}"/>
    <cellStyle name="Normal 12 3 2 3" xfId="1189" xr:uid="{00000000-0005-0000-0000-0000230E0000}"/>
    <cellStyle name="Normal 12 3 2 3 2" xfId="3420" xr:uid="{00000000-0005-0000-0000-0000240E0000}"/>
    <cellStyle name="Normal 12 3 2 3 2 2" xfId="7642" xr:uid="{00000000-0005-0000-0000-0000250E0000}"/>
    <cellStyle name="Normal 12 3 2 3 2 2 2" xfId="32981" xr:uid="{A9BB659C-2D6D-49D1-8A7E-881F1636EEBC}"/>
    <cellStyle name="Normal 12 3 2 3 2 2 3" xfId="24540" xr:uid="{D3379FBF-B032-4B66-97D0-56CB446BA3A3}"/>
    <cellStyle name="Normal 12 3 2 3 2 2 4" xfId="16092" xr:uid="{2900240E-2F4C-4895-8D95-30D6907A4B03}"/>
    <cellStyle name="Normal 12 3 2 3 2 3" xfId="28763" xr:uid="{7B953BBF-FC6C-49B6-B485-289FC5446729}"/>
    <cellStyle name="Normal 12 3 2 3 2 4" xfId="20322" xr:uid="{6B6CAF93-CA4E-4198-B396-D6928E4220D5}"/>
    <cellStyle name="Normal 12 3 2 3 2 5" xfId="11874" xr:uid="{5418A334-C56B-4A62-811D-ACF86A7059F3}"/>
    <cellStyle name="Normal 12 3 2 3 3" xfId="5497" xr:uid="{00000000-0005-0000-0000-0000260E0000}"/>
    <cellStyle name="Normal 12 3 2 3 3 2" xfId="30836" xr:uid="{D8002F6C-8244-4FC8-939D-F05EED8A2707}"/>
    <cellStyle name="Normal 12 3 2 3 3 3" xfId="22395" xr:uid="{EB1C9C98-D4C1-4A22-8775-3EBD54948457}"/>
    <cellStyle name="Normal 12 3 2 3 3 4" xfId="13947" xr:uid="{7EABA9FC-E4AF-4684-9935-5149892B7750}"/>
    <cellStyle name="Normal 12 3 2 3 4" xfId="26618" xr:uid="{45633D2C-5148-4B23-8731-973D43C78B6C}"/>
    <cellStyle name="Normal 12 3 2 3 5" xfId="18177" xr:uid="{76A4E065-BDA7-4449-8A49-AFC5DD9EA3D2}"/>
    <cellStyle name="Normal 12 3 2 3 6" xfId="9729" xr:uid="{D8B22371-2BF2-49F4-9F89-4FC48A3DE96C}"/>
    <cellStyle name="Normal 12 3 2 4" xfId="1603" xr:uid="{00000000-0005-0000-0000-0000270E0000}"/>
    <cellStyle name="Normal 12 3 2 4 2" xfId="3833" xr:uid="{00000000-0005-0000-0000-0000280E0000}"/>
    <cellStyle name="Normal 12 3 2 4 2 2" xfId="8055" xr:uid="{00000000-0005-0000-0000-0000290E0000}"/>
    <cellStyle name="Normal 12 3 2 4 2 2 2" xfId="33394" xr:uid="{78A1973E-6726-431B-BEA0-111074E1E20C}"/>
    <cellStyle name="Normal 12 3 2 4 2 2 3" xfId="24953" xr:uid="{ED48D918-7888-46DB-B9C8-6AD546E40960}"/>
    <cellStyle name="Normal 12 3 2 4 2 2 4" xfId="16505" xr:uid="{5433FB75-5930-45E7-8FC2-32F5ED245488}"/>
    <cellStyle name="Normal 12 3 2 4 2 3" xfId="29176" xr:uid="{D1D74124-29E2-44AA-B863-D66D4DC06BFA}"/>
    <cellStyle name="Normal 12 3 2 4 2 4" xfId="20735" xr:uid="{99BFF121-FCC8-4A46-B530-65194AC055DC}"/>
    <cellStyle name="Normal 12 3 2 4 2 5" xfId="12287" xr:uid="{3D86E089-DBE1-44C8-8F7F-EE21826AE9FE}"/>
    <cellStyle name="Normal 12 3 2 4 3" xfId="5910" xr:uid="{00000000-0005-0000-0000-00002A0E0000}"/>
    <cellStyle name="Normal 12 3 2 4 3 2" xfId="31249" xr:uid="{779EFABD-6F1D-4CE5-8A46-A1CBACE19A97}"/>
    <cellStyle name="Normal 12 3 2 4 3 3" xfId="22808" xr:uid="{C43517AF-1FE9-4C5C-8FEA-C3BFE0CE4C04}"/>
    <cellStyle name="Normal 12 3 2 4 3 4" xfId="14360" xr:uid="{7C6F84B1-FB46-42F2-84AF-0272F79F641B}"/>
    <cellStyle name="Normal 12 3 2 4 4" xfId="27031" xr:uid="{24D61C94-C911-4F51-B83D-5C467FD81A10}"/>
    <cellStyle name="Normal 12 3 2 4 5" xfId="18590" xr:uid="{35EA9C68-5B45-4549-9728-01999E3472E7}"/>
    <cellStyle name="Normal 12 3 2 4 6" xfId="10142" xr:uid="{A7C2B3E5-0D52-4ED6-8793-320CA465BE60}"/>
    <cellStyle name="Normal 12 3 2 5" xfId="2017" xr:uid="{00000000-0005-0000-0000-00002B0E0000}"/>
    <cellStyle name="Normal 12 3 2 5 2" xfId="4246" xr:uid="{00000000-0005-0000-0000-00002C0E0000}"/>
    <cellStyle name="Normal 12 3 2 5 2 2" xfId="8468" xr:uid="{00000000-0005-0000-0000-00002D0E0000}"/>
    <cellStyle name="Normal 12 3 2 5 2 2 2" xfId="33807" xr:uid="{95D08EBC-E05A-4E85-93FC-5A220286CA91}"/>
    <cellStyle name="Normal 12 3 2 5 2 2 3" xfId="25366" xr:uid="{877742F3-9053-4FC5-933A-E42646E83462}"/>
    <cellStyle name="Normal 12 3 2 5 2 2 4" xfId="16918" xr:uid="{CD1D6FC5-F00F-4B4B-AAFB-995A1426855C}"/>
    <cellStyle name="Normal 12 3 2 5 2 3" xfId="29589" xr:uid="{B209CF96-CDF0-4590-B226-C72B77E0C890}"/>
    <cellStyle name="Normal 12 3 2 5 2 4" xfId="21148" xr:uid="{FFC03788-BE66-4D9D-BAD1-3C80C9F9E4E6}"/>
    <cellStyle name="Normal 12 3 2 5 2 5" xfId="12700" xr:uid="{F06FEC72-A57E-4DAC-AF22-67E3E9132280}"/>
    <cellStyle name="Normal 12 3 2 5 3" xfId="6323" xr:uid="{00000000-0005-0000-0000-00002E0E0000}"/>
    <cellStyle name="Normal 12 3 2 5 3 2" xfId="31662" xr:uid="{9E8CCE0A-1E00-4193-A824-A13E2B137987}"/>
    <cellStyle name="Normal 12 3 2 5 3 3" xfId="23221" xr:uid="{ED3F9DFF-92D2-495B-B78B-A4E320EDFD6D}"/>
    <cellStyle name="Normal 12 3 2 5 3 4" xfId="14773" xr:uid="{5E02EC7E-6003-46BF-A8A1-CC19979D4974}"/>
    <cellStyle name="Normal 12 3 2 5 4" xfId="27444" xr:uid="{6BFA5095-C5BA-4AB2-A3EA-AC2D375F8862}"/>
    <cellStyle name="Normal 12 3 2 5 5" xfId="19003" xr:uid="{42023FBB-40CB-44F0-8459-77D07D149282}"/>
    <cellStyle name="Normal 12 3 2 5 6" xfId="10555" xr:uid="{F20DF647-FE86-4BCB-95C9-6917A6C24FE0}"/>
    <cellStyle name="Normal 12 3 2 6" xfId="2453" xr:uid="{00000000-0005-0000-0000-00002F0E0000}"/>
    <cellStyle name="Normal 12 3 2 6 2" xfId="6736" xr:uid="{00000000-0005-0000-0000-0000300E0000}"/>
    <cellStyle name="Normal 12 3 2 6 2 2" xfId="32075" xr:uid="{C86C2F11-400B-4D30-A426-A637EFEA12C4}"/>
    <cellStyle name="Normal 12 3 2 6 2 3" xfId="23634" xr:uid="{12568901-EE0B-4AB7-9A3B-D690E921A4DD}"/>
    <cellStyle name="Normal 12 3 2 6 2 4" xfId="15186" xr:uid="{BF1C1510-E5EA-43F7-9BEF-65053505A3A3}"/>
    <cellStyle name="Normal 12 3 2 6 3" xfId="27857" xr:uid="{06258361-DC32-4567-9183-F5C852A025A2}"/>
    <cellStyle name="Normal 12 3 2 6 4" xfId="19416" xr:uid="{28DBD79B-B500-45B9-9449-7F7CB5E49FD7}"/>
    <cellStyle name="Normal 12 3 2 6 5" xfId="10968" xr:uid="{21D9C812-E2E3-439A-BE61-99EA68C98DBF}"/>
    <cellStyle name="Normal 12 3 2 7" xfId="4670" xr:uid="{00000000-0005-0000-0000-0000310E0000}"/>
    <cellStyle name="Normal 12 3 2 7 2" xfId="30009" xr:uid="{1449F778-B926-4FD1-B4D5-0497350218BA}"/>
    <cellStyle name="Normal 12 3 2 7 3" xfId="21568" xr:uid="{1C09BC6F-30DE-4232-98D7-35D3541FF0BC}"/>
    <cellStyle name="Normal 12 3 2 7 4" xfId="13120" xr:uid="{E36666B5-A88C-4781-8F1F-08F8592E47E0}"/>
    <cellStyle name="Normal 12 3 2 8" xfId="25791" xr:uid="{499B7516-E42D-4301-8238-A26AB37CFE31}"/>
    <cellStyle name="Normal 12 3 2 9" xfId="17350" xr:uid="{F4E0E471-0504-49DE-BCAE-16DD5D730EF4}"/>
    <cellStyle name="Normal 12 3 3" xfId="765" xr:uid="{00000000-0005-0000-0000-0000320E0000}"/>
    <cellStyle name="Normal 12 3 3 2" xfId="3006" xr:uid="{00000000-0005-0000-0000-0000330E0000}"/>
    <cellStyle name="Normal 12 3 3 2 2" xfId="7228" xr:uid="{00000000-0005-0000-0000-0000340E0000}"/>
    <cellStyle name="Normal 12 3 3 2 2 2" xfId="32567" xr:uid="{15B1D754-D056-444B-B367-D2F47C9BC2F4}"/>
    <cellStyle name="Normal 12 3 3 2 2 3" xfId="24126" xr:uid="{3781E1CE-8A34-4AED-9DEA-11A3EA943A5B}"/>
    <cellStyle name="Normal 12 3 3 2 2 4" xfId="15678" xr:uid="{A11FED94-6917-478C-8AD9-3C0FFFC4B858}"/>
    <cellStyle name="Normal 12 3 3 2 3" xfId="28349" xr:uid="{4FD976F3-C91A-478E-B86C-023142DA6C7C}"/>
    <cellStyle name="Normal 12 3 3 2 4" xfId="19908" xr:uid="{E7FA1661-5897-4B45-9871-278A1795FE87}"/>
    <cellStyle name="Normal 12 3 3 2 5" xfId="11460" xr:uid="{0C08D4B4-8735-4AAF-87EE-12DCD786EEFA}"/>
    <cellStyle name="Normal 12 3 3 3" xfId="5083" xr:uid="{00000000-0005-0000-0000-0000350E0000}"/>
    <cellStyle name="Normal 12 3 3 3 2" xfId="30422" xr:uid="{4CD09D87-6251-44AE-AE61-EA19B460AC36}"/>
    <cellStyle name="Normal 12 3 3 3 3" xfId="21981" xr:uid="{F009726D-946E-46CC-96E8-920033704706}"/>
    <cellStyle name="Normal 12 3 3 3 4" xfId="13533" xr:uid="{76D88B08-2CFC-49E1-84FF-603AF7259F58}"/>
    <cellStyle name="Normal 12 3 3 4" xfId="26204" xr:uid="{B354D267-A7B8-4EE9-9A4E-567A479F8C74}"/>
    <cellStyle name="Normal 12 3 3 5" xfId="17763" xr:uid="{8DFA3AB9-CDD2-4663-9C7F-D40E54592F72}"/>
    <cellStyle name="Normal 12 3 3 6" xfId="9315" xr:uid="{D83591D4-12DB-4C1B-B577-75277BD10866}"/>
    <cellStyle name="Normal 12 3 4" xfId="1188" xr:uid="{00000000-0005-0000-0000-0000360E0000}"/>
    <cellStyle name="Normal 12 3 4 2" xfId="3419" xr:uid="{00000000-0005-0000-0000-0000370E0000}"/>
    <cellStyle name="Normal 12 3 4 2 2" xfId="7641" xr:uid="{00000000-0005-0000-0000-0000380E0000}"/>
    <cellStyle name="Normal 12 3 4 2 2 2" xfId="32980" xr:uid="{7F54097C-D08F-4CF5-A766-86AD428BA732}"/>
    <cellStyle name="Normal 12 3 4 2 2 3" xfId="24539" xr:uid="{8F1EC87C-53E7-4C87-97F5-F968B9572178}"/>
    <cellStyle name="Normal 12 3 4 2 2 4" xfId="16091" xr:uid="{1D79D6A4-3327-482D-9FC8-CF1E4234691F}"/>
    <cellStyle name="Normal 12 3 4 2 3" xfId="28762" xr:uid="{002FCF5E-E6A9-4F20-9E9D-45078B88AA1E}"/>
    <cellStyle name="Normal 12 3 4 2 4" xfId="20321" xr:uid="{823DDA7B-EBBC-4986-9A59-EF79CC817C11}"/>
    <cellStyle name="Normal 12 3 4 2 5" xfId="11873" xr:uid="{E1380E61-E00D-4817-8E16-4D2B8176CA6B}"/>
    <cellStyle name="Normal 12 3 4 3" xfId="5496" xr:uid="{00000000-0005-0000-0000-0000390E0000}"/>
    <cellStyle name="Normal 12 3 4 3 2" xfId="30835" xr:uid="{1AF3A9C2-137F-4A8D-89ED-B3A18D71CCAB}"/>
    <cellStyle name="Normal 12 3 4 3 3" xfId="22394" xr:uid="{30EFBF03-ACFA-4EBC-8080-95C719B9EEE2}"/>
    <cellStyle name="Normal 12 3 4 3 4" xfId="13946" xr:uid="{8A182389-1374-4BDB-B393-14CC3C98BC0B}"/>
    <cellStyle name="Normal 12 3 4 4" xfId="26617" xr:uid="{DC9C9861-CF12-4B79-9D63-BE2806A93B90}"/>
    <cellStyle name="Normal 12 3 4 5" xfId="18176" xr:uid="{9DE3E8B7-3CC3-4453-9239-BECC35B32ACD}"/>
    <cellStyle name="Normal 12 3 4 6" xfId="9728" xr:uid="{1389729A-8F66-4FED-8A13-9537BE2D92BC}"/>
    <cellStyle name="Normal 12 3 5" xfId="1602" xr:uid="{00000000-0005-0000-0000-00003A0E0000}"/>
    <cellStyle name="Normal 12 3 5 2" xfId="3832" xr:uid="{00000000-0005-0000-0000-00003B0E0000}"/>
    <cellStyle name="Normal 12 3 5 2 2" xfId="8054" xr:uid="{00000000-0005-0000-0000-00003C0E0000}"/>
    <cellStyle name="Normal 12 3 5 2 2 2" xfId="33393" xr:uid="{079914F9-8FBC-49D8-B7BA-8AD20BC12B4A}"/>
    <cellStyle name="Normal 12 3 5 2 2 3" xfId="24952" xr:uid="{A571C885-E1C9-456F-B627-1B453C1510F3}"/>
    <cellStyle name="Normal 12 3 5 2 2 4" xfId="16504" xr:uid="{DD3E128B-A92C-48D0-A1A0-C3A7483F485D}"/>
    <cellStyle name="Normal 12 3 5 2 3" xfId="29175" xr:uid="{6E155023-F259-44E7-A8FF-168CE867D091}"/>
    <cellStyle name="Normal 12 3 5 2 4" xfId="20734" xr:uid="{25E26722-8A8E-41C9-89EE-FBBE9568D957}"/>
    <cellStyle name="Normal 12 3 5 2 5" xfId="12286" xr:uid="{5574D2E0-78C4-4F74-B564-CE93D05D3990}"/>
    <cellStyle name="Normal 12 3 5 3" xfId="5909" xr:uid="{00000000-0005-0000-0000-00003D0E0000}"/>
    <cellStyle name="Normal 12 3 5 3 2" xfId="31248" xr:uid="{09B4D30F-FE67-4D65-874C-DD16D3D0F2FC}"/>
    <cellStyle name="Normal 12 3 5 3 3" xfId="22807" xr:uid="{9B6D6FBC-559B-4407-8412-A4ACF34FA506}"/>
    <cellStyle name="Normal 12 3 5 3 4" xfId="14359" xr:uid="{EE80E402-A329-4555-9B0D-5F30DE4F21B9}"/>
    <cellStyle name="Normal 12 3 5 4" xfId="27030" xr:uid="{66EAC6A6-685C-4A5A-B281-90949A08A60F}"/>
    <cellStyle name="Normal 12 3 5 5" xfId="18589" xr:uid="{40A2E127-C8B6-4149-BE89-DCFF32B642AA}"/>
    <cellStyle name="Normal 12 3 5 6" xfId="10141" xr:uid="{2CB0DB04-472E-4499-87E1-7B546DDCBF93}"/>
    <cellStyle name="Normal 12 3 6" xfId="2016" xr:uid="{00000000-0005-0000-0000-00003E0E0000}"/>
    <cellStyle name="Normal 12 3 6 2" xfId="4245" xr:uid="{00000000-0005-0000-0000-00003F0E0000}"/>
    <cellStyle name="Normal 12 3 6 2 2" xfId="8467" xr:uid="{00000000-0005-0000-0000-0000400E0000}"/>
    <cellStyle name="Normal 12 3 6 2 2 2" xfId="33806" xr:uid="{803BDDA5-6388-4838-9218-8F64F7CCA3C3}"/>
    <cellStyle name="Normal 12 3 6 2 2 3" xfId="25365" xr:uid="{B3CC5726-ECF2-4A2D-885A-49C8B9C74E0B}"/>
    <cellStyle name="Normal 12 3 6 2 2 4" xfId="16917" xr:uid="{06D2F1A4-9D6E-47F6-9548-E12A9F7290DA}"/>
    <cellStyle name="Normal 12 3 6 2 3" xfId="29588" xr:uid="{A2A17012-4F1F-4A88-AF89-DEB18436EC11}"/>
    <cellStyle name="Normal 12 3 6 2 4" xfId="21147" xr:uid="{A2A6248C-04A3-470D-AEF2-1B6DF7395AAE}"/>
    <cellStyle name="Normal 12 3 6 2 5" xfId="12699" xr:uid="{A478F9CF-3D37-4D3C-A7C2-04F7C2A8931A}"/>
    <cellStyle name="Normal 12 3 6 3" xfId="6322" xr:uid="{00000000-0005-0000-0000-0000410E0000}"/>
    <cellStyle name="Normal 12 3 6 3 2" xfId="31661" xr:uid="{84148F0B-9730-4E14-A7A3-2FD036718E70}"/>
    <cellStyle name="Normal 12 3 6 3 3" xfId="23220" xr:uid="{96E8788B-0711-4868-BBEE-EDD62FE7D4EA}"/>
    <cellStyle name="Normal 12 3 6 3 4" xfId="14772" xr:uid="{8B65A1D8-7641-41CD-A982-B9554464063D}"/>
    <cellStyle name="Normal 12 3 6 4" xfId="27443" xr:uid="{ABA03480-E463-4712-88DE-5146EF35D1CE}"/>
    <cellStyle name="Normal 12 3 6 5" xfId="19002" xr:uid="{7AE1DC6E-5696-44B0-A947-2D36660B67E1}"/>
    <cellStyle name="Normal 12 3 6 6" xfId="10554" xr:uid="{0137CEDF-4B35-4BCB-9418-83C2A6A84BB2}"/>
    <cellStyle name="Normal 12 3 7" xfId="2452" xr:uid="{00000000-0005-0000-0000-0000420E0000}"/>
    <cellStyle name="Normal 12 3 7 2" xfId="6735" xr:uid="{00000000-0005-0000-0000-0000430E0000}"/>
    <cellStyle name="Normal 12 3 7 2 2" xfId="32074" xr:uid="{BC68D64F-A460-411D-A756-38ABEC9C5651}"/>
    <cellStyle name="Normal 12 3 7 2 3" xfId="23633" xr:uid="{921399C3-53EA-4D1D-9698-4EDA96173E91}"/>
    <cellStyle name="Normal 12 3 7 2 4" xfId="15185" xr:uid="{160C7788-64B3-4DB2-99D9-975693C64F1B}"/>
    <cellStyle name="Normal 12 3 7 3" xfId="27856" xr:uid="{D56CC931-8265-4164-95F2-5F3F19BD2CB0}"/>
    <cellStyle name="Normal 12 3 7 4" xfId="19415" xr:uid="{60AE3D9C-2E46-4BCF-A384-E4F5CD209FA7}"/>
    <cellStyle name="Normal 12 3 7 5" xfId="10967" xr:uid="{12209743-FC96-40C9-A5DE-0D2F850D0B5A}"/>
    <cellStyle name="Normal 12 3 8" xfId="4669" xr:uid="{00000000-0005-0000-0000-0000440E0000}"/>
    <cellStyle name="Normal 12 3 8 2" xfId="30008" xr:uid="{E73754EB-CEC3-4E11-A93D-CF63229D7CBE}"/>
    <cellStyle name="Normal 12 3 8 3" xfId="21567" xr:uid="{DD6FAEB1-1B13-4F39-B43A-2354F42A0515}"/>
    <cellStyle name="Normal 12 3 8 4" xfId="13119" xr:uid="{22474B9D-8370-4C32-8FB7-C3E4FEEEF520}"/>
    <cellStyle name="Normal 12 3 9" xfId="25790" xr:uid="{DD65B5DA-0098-4AA6-891C-8209A5CCEE76}"/>
    <cellStyle name="Normal 12 4" xfId="266" xr:uid="{00000000-0005-0000-0000-0000450E0000}"/>
    <cellStyle name="Normal 12 4 10" xfId="8903" xr:uid="{4806C83C-778D-473F-A642-EC8670C8D82A}"/>
    <cellStyle name="Normal 12 4 2" xfId="767" xr:uid="{00000000-0005-0000-0000-0000460E0000}"/>
    <cellStyle name="Normal 12 4 2 2" xfId="3008" xr:uid="{00000000-0005-0000-0000-0000470E0000}"/>
    <cellStyle name="Normal 12 4 2 2 2" xfId="7230" xr:uid="{00000000-0005-0000-0000-0000480E0000}"/>
    <cellStyle name="Normal 12 4 2 2 2 2" xfId="32569" xr:uid="{61B61838-CC15-442D-9B46-C4DBBC046BE8}"/>
    <cellStyle name="Normal 12 4 2 2 2 3" xfId="24128" xr:uid="{A88F2962-ADEC-4057-B15D-3C214D9CDE97}"/>
    <cellStyle name="Normal 12 4 2 2 2 4" xfId="15680" xr:uid="{0BD7289A-3D53-4780-B4F9-03208A520495}"/>
    <cellStyle name="Normal 12 4 2 2 3" xfId="28351" xr:uid="{03F6C3A3-E5D1-46D0-A92A-EC9B16D376B3}"/>
    <cellStyle name="Normal 12 4 2 2 4" xfId="19910" xr:uid="{8CFCBB01-31F3-45AB-8B4B-C6F7A83AF6D1}"/>
    <cellStyle name="Normal 12 4 2 2 5" xfId="11462" xr:uid="{FFC17916-D503-425B-8C3B-8E355E51BE74}"/>
    <cellStyle name="Normal 12 4 2 3" xfId="5085" xr:uid="{00000000-0005-0000-0000-0000490E0000}"/>
    <cellStyle name="Normal 12 4 2 3 2" xfId="30424" xr:uid="{DC5C9F8E-DDD1-4AC7-9372-161A3A5A03A2}"/>
    <cellStyle name="Normal 12 4 2 3 3" xfId="21983" xr:uid="{0512A10C-DC4C-4BB3-B03A-E697374E847A}"/>
    <cellStyle name="Normal 12 4 2 3 4" xfId="13535" xr:uid="{7B562104-5C84-4013-9548-B945C5485091}"/>
    <cellStyle name="Normal 12 4 2 4" xfId="26206" xr:uid="{A0EC3881-5BE1-43A7-9656-7C966727C4E4}"/>
    <cellStyle name="Normal 12 4 2 5" xfId="17765" xr:uid="{7DA72560-C8CD-4398-B947-260ECEDF4519}"/>
    <cellStyle name="Normal 12 4 2 6" xfId="9317" xr:uid="{143FF2CA-4E51-4439-AA2E-D49A7F1F6468}"/>
    <cellStyle name="Normal 12 4 3" xfId="1190" xr:uid="{00000000-0005-0000-0000-00004A0E0000}"/>
    <cellStyle name="Normal 12 4 3 2" xfId="3421" xr:uid="{00000000-0005-0000-0000-00004B0E0000}"/>
    <cellStyle name="Normal 12 4 3 2 2" xfId="7643" xr:uid="{00000000-0005-0000-0000-00004C0E0000}"/>
    <cellStyle name="Normal 12 4 3 2 2 2" xfId="32982" xr:uid="{1916BE7D-D8A9-49DB-9A9B-DC3F1CF7BB54}"/>
    <cellStyle name="Normal 12 4 3 2 2 3" xfId="24541" xr:uid="{9FD233CA-18ED-4A8C-917D-F704C4C85B38}"/>
    <cellStyle name="Normal 12 4 3 2 2 4" xfId="16093" xr:uid="{65591D39-2305-416B-BD17-AEDA4C91982A}"/>
    <cellStyle name="Normal 12 4 3 2 3" xfId="28764" xr:uid="{8A8CF747-1FE3-4DFA-A90D-C49D6EBB35AC}"/>
    <cellStyle name="Normal 12 4 3 2 4" xfId="20323" xr:uid="{29DF2FD8-9729-4D37-90E8-91F7E7152E8E}"/>
    <cellStyle name="Normal 12 4 3 2 5" xfId="11875" xr:uid="{0DF70873-12F5-4ED9-8CA1-D1180A46A209}"/>
    <cellStyle name="Normal 12 4 3 3" xfId="5498" xr:uid="{00000000-0005-0000-0000-00004D0E0000}"/>
    <cellStyle name="Normal 12 4 3 3 2" xfId="30837" xr:uid="{313480BC-D4D8-43C1-AFEC-5003EFE73538}"/>
    <cellStyle name="Normal 12 4 3 3 3" xfId="22396" xr:uid="{EEB57063-1DA9-4E0D-8090-694397ACE017}"/>
    <cellStyle name="Normal 12 4 3 3 4" xfId="13948" xr:uid="{07D032AE-89E3-4147-A4D0-24ACB94FFC24}"/>
    <cellStyle name="Normal 12 4 3 4" xfId="26619" xr:uid="{8BFCFCD5-AD5E-447E-9D10-5634D275B0C2}"/>
    <cellStyle name="Normal 12 4 3 5" xfId="18178" xr:uid="{4CE57F37-9FB2-499B-912B-BA6061369C66}"/>
    <cellStyle name="Normal 12 4 3 6" xfId="9730" xr:uid="{31474AEB-CD89-4853-8723-D331627B6750}"/>
    <cellStyle name="Normal 12 4 4" xfId="1604" xr:uid="{00000000-0005-0000-0000-00004E0E0000}"/>
    <cellStyle name="Normal 12 4 4 2" xfId="3834" xr:uid="{00000000-0005-0000-0000-00004F0E0000}"/>
    <cellStyle name="Normal 12 4 4 2 2" xfId="8056" xr:uid="{00000000-0005-0000-0000-0000500E0000}"/>
    <cellStyle name="Normal 12 4 4 2 2 2" xfId="33395" xr:uid="{FFBB0708-AC87-462D-AB69-FEA35163F38C}"/>
    <cellStyle name="Normal 12 4 4 2 2 3" xfId="24954" xr:uid="{F618B303-0C66-4CCF-9915-BCFC3131F76A}"/>
    <cellStyle name="Normal 12 4 4 2 2 4" xfId="16506" xr:uid="{49487C18-3DAB-4E7C-BF58-B00E4DCEE746}"/>
    <cellStyle name="Normal 12 4 4 2 3" xfId="29177" xr:uid="{1D87F05E-307B-439C-A0D1-4591DC9BEFD2}"/>
    <cellStyle name="Normal 12 4 4 2 4" xfId="20736" xr:uid="{AE6CC568-41F8-4E86-B6F7-E6D884FD873F}"/>
    <cellStyle name="Normal 12 4 4 2 5" xfId="12288" xr:uid="{CFBC094F-DC23-49B8-85E2-A5147EF594D2}"/>
    <cellStyle name="Normal 12 4 4 3" xfId="5911" xr:uid="{00000000-0005-0000-0000-0000510E0000}"/>
    <cellStyle name="Normal 12 4 4 3 2" xfId="31250" xr:uid="{8F5C8685-8760-4FD1-9A96-F4173B9D673E}"/>
    <cellStyle name="Normal 12 4 4 3 3" xfId="22809" xr:uid="{8E699124-7953-4C30-AE76-E1463BE300B6}"/>
    <cellStyle name="Normal 12 4 4 3 4" xfId="14361" xr:uid="{D4F54B8C-75A3-4E9E-8A9C-3C727147EDF9}"/>
    <cellStyle name="Normal 12 4 4 4" xfId="27032" xr:uid="{34E9C3CA-33C2-48AE-B799-7FD8A0928B2F}"/>
    <cellStyle name="Normal 12 4 4 5" xfId="18591" xr:uid="{AD8FEE3F-C626-4CE3-BDCC-425026EBAD6B}"/>
    <cellStyle name="Normal 12 4 4 6" xfId="10143" xr:uid="{DEFD9457-86CB-4C63-B8E9-D763E7CA098F}"/>
    <cellStyle name="Normal 12 4 5" xfId="2018" xr:uid="{00000000-0005-0000-0000-0000520E0000}"/>
    <cellStyle name="Normal 12 4 5 2" xfId="4247" xr:uid="{00000000-0005-0000-0000-0000530E0000}"/>
    <cellStyle name="Normal 12 4 5 2 2" xfId="8469" xr:uid="{00000000-0005-0000-0000-0000540E0000}"/>
    <cellStyle name="Normal 12 4 5 2 2 2" xfId="33808" xr:uid="{18BD434B-1050-4EF7-A1E2-452EE76208EE}"/>
    <cellStyle name="Normal 12 4 5 2 2 3" xfId="25367" xr:uid="{BC9512E2-916F-475F-892B-AC711A231E9D}"/>
    <cellStyle name="Normal 12 4 5 2 2 4" xfId="16919" xr:uid="{02C1623B-578A-41E8-9684-AFFD4AF6740C}"/>
    <cellStyle name="Normal 12 4 5 2 3" xfId="29590" xr:uid="{BDE7688E-EBA4-4D85-83C0-A6702DE323AE}"/>
    <cellStyle name="Normal 12 4 5 2 4" xfId="21149" xr:uid="{BE07AB98-AFB1-4203-B2F0-69512B7E9511}"/>
    <cellStyle name="Normal 12 4 5 2 5" xfId="12701" xr:uid="{F1BBB192-9C9E-4472-A4C2-E7B1A83811D2}"/>
    <cellStyle name="Normal 12 4 5 3" xfId="6324" xr:uid="{00000000-0005-0000-0000-0000550E0000}"/>
    <cellStyle name="Normal 12 4 5 3 2" xfId="31663" xr:uid="{701D6260-EDCC-4C91-827F-86FA4881A759}"/>
    <cellStyle name="Normal 12 4 5 3 3" xfId="23222" xr:uid="{D9386D76-9C26-487E-BA97-58923C747BF4}"/>
    <cellStyle name="Normal 12 4 5 3 4" xfId="14774" xr:uid="{89D7E533-6590-448B-83DD-088CDBB19760}"/>
    <cellStyle name="Normal 12 4 5 4" xfId="27445" xr:uid="{607A9D02-27A3-4254-8BF8-8D186317151A}"/>
    <cellStyle name="Normal 12 4 5 5" xfId="19004" xr:uid="{D2D8FF4E-0206-41BF-9747-AF18370EF522}"/>
    <cellStyle name="Normal 12 4 5 6" xfId="10556" xr:uid="{77C557A5-4BD3-407C-9E62-7FBA245648E5}"/>
    <cellStyle name="Normal 12 4 6" xfId="2454" xr:uid="{00000000-0005-0000-0000-0000560E0000}"/>
    <cellStyle name="Normal 12 4 6 2" xfId="6737" xr:uid="{00000000-0005-0000-0000-0000570E0000}"/>
    <cellStyle name="Normal 12 4 6 2 2" xfId="32076" xr:uid="{EE68B6BA-A119-4A59-9F2D-04E919E326FE}"/>
    <cellStyle name="Normal 12 4 6 2 3" xfId="23635" xr:uid="{8D54A1E0-1773-474F-95F1-105643745EF1}"/>
    <cellStyle name="Normal 12 4 6 2 4" xfId="15187" xr:uid="{53A8DE40-B173-469F-B4F3-D05B1815FAF1}"/>
    <cellStyle name="Normal 12 4 6 3" xfId="27858" xr:uid="{AA229B9B-548B-44DF-BB5C-F72AFA1E7C24}"/>
    <cellStyle name="Normal 12 4 6 4" xfId="19417" xr:uid="{5A29A5B3-1C1E-4014-ABF4-F8C23037E208}"/>
    <cellStyle name="Normal 12 4 6 5" xfId="10969" xr:uid="{E7648235-F504-421C-806A-5B8689A01137}"/>
    <cellStyle name="Normal 12 4 7" xfId="4671" xr:uid="{00000000-0005-0000-0000-0000580E0000}"/>
    <cellStyle name="Normal 12 4 7 2" xfId="30010" xr:uid="{8D0B8A99-7259-4200-81CC-520EB1BB76F3}"/>
    <cellStyle name="Normal 12 4 7 3" xfId="21569" xr:uid="{027E6435-9192-4426-8E42-8459B8E7AE74}"/>
    <cellStyle name="Normal 12 4 7 4" xfId="13121" xr:uid="{38DA6846-E826-4C96-8CBF-8908990BBDD4}"/>
    <cellStyle name="Normal 12 4 8" xfId="25792" xr:uid="{43AB7BF1-A480-4E4F-A5CE-0B1D58A801F1}"/>
    <cellStyle name="Normal 12 4 9" xfId="17351" xr:uid="{AC355F62-AB32-4D0C-9734-AA841B87D4D7}"/>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32562" xr:uid="{CCCD8513-5F6A-45AE-8BE0-AD52002684EF}"/>
    <cellStyle name="Normal 12 6 2 2 3" xfId="24121" xr:uid="{96D596E7-EBB2-4A4B-AEB0-F0A36EF68E8A}"/>
    <cellStyle name="Normal 12 6 2 2 4" xfId="15673" xr:uid="{E9C8283A-0A6F-450D-BAE7-52C1FD9E9E52}"/>
    <cellStyle name="Normal 12 6 2 3" xfId="28344" xr:uid="{93E9C43C-3F3F-4013-AFF9-F44195A42370}"/>
    <cellStyle name="Normal 12 6 2 4" xfId="19903" xr:uid="{510BE046-A298-4922-8253-FA985600B3CB}"/>
    <cellStyle name="Normal 12 6 2 5" xfId="11455" xr:uid="{5E885FCC-5F1C-4E8E-ACDB-DCA6EB9F7D0C}"/>
    <cellStyle name="Normal 12 6 3" xfId="5078" xr:uid="{00000000-0005-0000-0000-00005D0E0000}"/>
    <cellStyle name="Normal 12 6 3 2" xfId="30417" xr:uid="{41C57D6A-BEA1-43E1-A87C-0F3DBC6E043C}"/>
    <cellStyle name="Normal 12 6 3 3" xfId="21976" xr:uid="{44AAAC3A-004D-42BD-8DAD-2BC0127B1285}"/>
    <cellStyle name="Normal 12 6 3 4" xfId="13528" xr:uid="{250CD7D1-39F6-4736-99AF-B2634B6F3E44}"/>
    <cellStyle name="Normal 12 6 4" xfId="26199" xr:uid="{4BE5D67E-CFB2-4B68-B9F2-B04AA7CD954E}"/>
    <cellStyle name="Normal 12 6 5" xfId="17758" xr:uid="{A52A4736-87DA-48CA-8D8E-CAB322C38E02}"/>
    <cellStyle name="Normal 12 6 6" xfId="9310" xr:uid="{490146B9-298A-4B91-8729-10D6700ED3FB}"/>
    <cellStyle name="Normal 12 7" xfId="1183" xr:uid="{00000000-0005-0000-0000-00005E0E0000}"/>
    <cellStyle name="Normal 12 7 2" xfId="3414" xr:uid="{00000000-0005-0000-0000-00005F0E0000}"/>
    <cellStyle name="Normal 12 7 2 2" xfId="7636" xr:uid="{00000000-0005-0000-0000-0000600E0000}"/>
    <cellStyle name="Normal 12 7 2 2 2" xfId="32975" xr:uid="{60AA6B2A-10F5-47A9-A03A-F00E6FB23663}"/>
    <cellStyle name="Normal 12 7 2 2 3" xfId="24534" xr:uid="{33A72702-5838-4BB4-87A3-E0EDB03C3459}"/>
    <cellStyle name="Normal 12 7 2 2 4" xfId="16086" xr:uid="{26B321C3-8A25-4F51-B5CB-366408058228}"/>
    <cellStyle name="Normal 12 7 2 3" xfId="28757" xr:uid="{49BD8589-C88F-4FCD-945F-4A8BBAD03D23}"/>
    <cellStyle name="Normal 12 7 2 4" xfId="20316" xr:uid="{4B5F70C1-8EC6-41D0-861C-DD6EA184D802}"/>
    <cellStyle name="Normal 12 7 2 5" xfId="11868" xr:uid="{37D38C34-43B3-4FB0-8BB1-C5E55A792E63}"/>
    <cellStyle name="Normal 12 7 3" xfId="5491" xr:uid="{00000000-0005-0000-0000-0000610E0000}"/>
    <cellStyle name="Normal 12 7 3 2" xfId="30830" xr:uid="{D56FB46A-AEE4-455C-BDF9-A0DDDF1B4FDD}"/>
    <cellStyle name="Normal 12 7 3 3" xfId="22389" xr:uid="{1EA9CA55-22BB-4092-9B23-FF4BE6DDAC16}"/>
    <cellStyle name="Normal 12 7 3 4" xfId="13941" xr:uid="{2A7836C8-6BBE-48D2-82FE-B7E566288028}"/>
    <cellStyle name="Normal 12 7 4" xfId="26612" xr:uid="{DEDE6333-6FF1-48A1-918C-3880EFCF6260}"/>
    <cellStyle name="Normal 12 7 5" xfId="18171" xr:uid="{9E06C1DF-2159-4149-9C26-908A98A09DA4}"/>
    <cellStyle name="Normal 12 7 6" xfId="9723" xr:uid="{AA8EB40B-ECB7-4344-9CA5-4CB147EF5609}"/>
    <cellStyle name="Normal 12 8" xfId="1597" xr:uid="{00000000-0005-0000-0000-0000620E0000}"/>
    <cellStyle name="Normal 12 8 2" xfId="3827" xr:uid="{00000000-0005-0000-0000-0000630E0000}"/>
    <cellStyle name="Normal 12 8 2 2" xfId="8049" xr:uid="{00000000-0005-0000-0000-0000640E0000}"/>
    <cellStyle name="Normal 12 8 2 2 2" xfId="33388" xr:uid="{E79AED6E-C8DA-4913-9CBD-2A03E5F32ED8}"/>
    <cellStyle name="Normal 12 8 2 2 3" xfId="24947" xr:uid="{ACF0D568-0792-4349-B27C-275AC585C0F9}"/>
    <cellStyle name="Normal 12 8 2 2 4" xfId="16499" xr:uid="{52FEB340-AB3F-4490-BEFB-4794692FA29D}"/>
    <cellStyle name="Normal 12 8 2 3" xfId="29170" xr:uid="{00165A57-5FBD-470D-86F5-680F279866E8}"/>
    <cellStyle name="Normal 12 8 2 4" xfId="20729" xr:uid="{426B296C-94B5-4F2F-B13C-F7BE089AE131}"/>
    <cellStyle name="Normal 12 8 2 5" xfId="12281" xr:uid="{5312424F-D11E-4160-926C-094E150F7856}"/>
    <cellStyle name="Normal 12 8 3" xfId="5904" xr:uid="{00000000-0005-0000-0000-0000650E0000}"/>
    <cellStyle name="Normal 12 8 3 2" xfId="31243" xr:uid="{603FD4E6-A09F-4DCB-9539-96D68F9EBC9C}"/>
    <cellStyle name="Normal 12 8 3 3" xfId="22802" xr:uid="{1F1B757D-8BB6-44C1-91C3-4BDDCC227DCF}"/>
    <cellStyle name="Normal 12 8 3 4" xfId="14354" xr:uid="{DA87376D-1971-44D9-A23C-970EF827F05A}"/>
    <cellStyle name="Normal 12 8 4" xfId="27025" xr:uid="{323E1AEC-A5D8-4413-984E-FED2FD449A57}"/>
    <cellStyle name="Normal 12 8 5" xfId="18584" xr:uid="{8F95613C-5D93-4E72-A4B0-E4CDF0AA75DE}"/>
    <cellStyle name="Normal 12 8 6" xfId="10136" xr:uid="{7ABE7519-ABED-4A6D-B2D2-431E765C1CE4}"/>
    <cellStyle name="Normal 12 9" xfId="2011" xr:uid="{00000000-0005-0000-0000-0000660E0000}"/>
    <cellStyle name="Normal 12 9 2" xfId="4240" xr:uid="{00000000-0005-0000-0000-0000670E0000}"/>
    <cellStyle name="Normal 12 9 2 2" xfId="8462" xr:uid="{00000000-0005-0000-0000-0000680E0000}"/>
    <cellStyle name="Normal 12 9 2 2 2" xfId="33801" xr:uid="{310255F5-91E1-4CBB-A3E1-CDBF061F23A6}"/>
    <cellStyle name="Normal 12 9 2 2 3" xfId="25360" xr:uid="{2BF59912-C9B4-49CD-A881-CFCB58C90D5E}"/>
    <cellStyle name="Normal 12 9 2 2 4" xfId="16912" xr:uid="{784A5C7F-634F-4865-938E-4B8C2C4C108A}"/>
    <cellStyle name="Normal 12 9 2 3" xfId="29583" xr:uid="{7B619921-3642-4CC8-8D9D-87BF73951563}"/>
    <cellStyle name="Normal 12 9 2 4" xfId="21142" xr:uid="{A8A3F327-7A03-4B02-B465-B82F024E0F8A}"/>
    <cellStyle name="Normal 12 9 2 5" xfId="12694" xr:uid="{E6C0AB25-5789-4D31-935F-16C5C8910598}"/>
    <cellStyle name="Normal 12 9 3" xfId="6317" xr:uid="{00000000-0005-0000-0000-0000690E0000}"/>
    <cellStyle name="Normal 12 9 3 2" xfId="31656" xr:uid="{4CB10936-5621-4543-AA6D-210E6D73B9A9}"/>
    <cellStyle name="Normal 12 9 3 3" xfId="23215" xr:uid="{CC5A747A-35C9-4936-968A-F9F62989B281}"/>
    <cellStyle name="Normal 12 9 3 4" xfId="14767" xr:uid="{080832C2-4638-4594-8FD2-677DAAE96F5D}"/>
    <cellStyle name="Normal 12 9 4" xfId="27438" xr:uid="{3EBA0FFA-3514-4461-B337-0C520BAB4A90}"/>
    <cellStyle name="Normal 12 9 5" xfId="18997" xr:uid="{4968469A-A6C8-4BB8-9629-376E391822DE}"/>
    <cellStyle name="Normal 12 9 6" xfId="10549" xr:uid="{8018E0BF-E2E7-4167-8361-78D440335A44}"/>
    <cellStyle name="Normal 13" xfId="268" xr:uid="{00000000-0005-0000-0000-00006A0E0000}"/>
    <cellStyle name="Normal 13 2" xfId="269" xr:uid="{00000000-0005-0000-0000-00006B0E0000}"/>
    <cellStyle name="Normal 14" xfId="270" xr:uid="{00000000-0005-0000-0000-00006C0E0000}"/>
    <cellStyle name="Normal 14 10" xfId="8904" xr:uid="{D0B33527-B035-4AFA-9E9C-07C13E1BFC3E}"/>
    <cellStyle name="Normal 14 2" xfId="768" xr:uid="{00000000-0005-0000-0000-00006D0E0000}"/>
    <cellStyle name="Normal 14 2 2" xfId="3009" xr:uid="{00000000-0005-0000-0000-00006E0E0000}"/>
    <cellStyle name="Normal 14 2 2 2" xfId="7231" xr:uid="{00000000-0005-0000-0000-00006F0E0000}"/>
    <cellStyle name="Normal 14 2 2 2 2" xfId="32570" xr:uid="{9B2DC27F-94CA-4949-B05C-935DBB6870BD}"/>
    <cellStyle name="Normal 14 2 2 2 3" xfId="24129" xr:uid="{EC02007A-2EF0-4C01-BD85-3D810ED4F02F}"/>
    <cellStyle name="Normal 14 2 2 2 4" xfId="15681" xr:uid="{2E0C2E73-1F3E-4488-97AF-EB7B2E73FD1A}"/>
    <cellStyle name="Normal 14 2 2 3" xfId="28352" xr:uid="{EC522E12-1283-4B6D-9DC8-06654DDC5903}"/>
    <cellStyle name="Normal 14 2 2 4" xfId="19911" xr:uid="{B6901FAB-45A6-421C-AABD-B39F0F568405}"/>
    <cellStyle name="Normal 14 2 2 5" xfId="11463" xr:uid="{AB4819A2-8F2E-4551-B1EA-AF389CFB51FF}"/>
    <cellStyle name="Normal 14 2 3" xfId="5086" xr:uid="{00000000-0005-0000-0000-0000700E0000}"/>
    <cellStyle name="Normal 14 2 3 2" xfId="30425" xr:uid="{0F6A04B5-B23F-4E66-B32C-6114250FEFE4}"/>
    <cellStyle name="Normal 14 2 3 3" xfId="21984" xr:uid="{0B4C618B-2913-4877-80CB-50C43B513EF9}"/>
    <cellStyle name="Normal 14 2 3 4" xfId="13536" xr:uid="{6B5756C7-FD9B-464E-9F30-43110130FCD0}"/>
    <cellStyle name="Normal 14 2 4" xfId="26207" xr:uid="{6CAF570B-C04D-4D24-8E9E-439C7A708F9F}"/>
    <cellStyle name="Normal 14 2 5" xfId="17766" xr:uid="{17B90B86-B4DD-40A8-AB26-30C351F63018}"/>
    <cellStyle name="Normal 14 2 6" xfId="9318" xr:uid="{D32B78B3-045D-4AEC-BB65-24CFB900437E}"/>
    <cellStyle name="Normal 14 3" xfId="1191" xr:uid="{00000000-0005-0000-0000-0000710E0000}"/>
    <cellStyle name="Normal 14 3 2" xfId="3422" xr:uid="{00000000-0005-0000-0000-0000720E0000}"/>
    <cellStyle name="Normal 14 3 2 2" xfId="7644" xr:uid="{00000000-0005-0000-0000-0000730E0000}"/>
    <cellStyle name="Normal 14 3 2 2 2" xfId="32983" xr:uid="{4AD4EC11-CA9B-4360-B68B-7DB2E31E06B5}"/>
    <cellStyle name="Normal 14 3 2 2 3" xfId="24542" xr:uid="{5B81A620-88D5-4415-BF1F-2D673948D7C4}"/>
    <cellStyle name="Normal 14 3 2 2 4" xfId="16094" xr:uid="{B59CCFF2-CE51-4FE9-A312-C28E5E050DB8}"/>
    <cellStyle name="Normal 14 3 2 3" xfId="28765" xr:uid="{619798AE-02CD-4F25-90DA-FD2518C19B2C}"/>
    <cellStyle name="Normal 14 3 2 4" xfId="20324" xr:uid="{8F2C3CA4-ACF9-4300-8563-0976FE6D1C00}"/>
    <cellStyle name="Normal 14 3 2 5" xfId="11876" xr:uid="{286E73E2-DF70-4B51-B8FB-431771571309}"/>
    <cellStyle name="Normal 14 3 3" xfId="5499" xr:uid="{00000000-0005-0000-0000-0000740E0000}"/>
    <cellStyle name="Normal 14 3 3 2" xfId="30838" xr:uid="{2E5039BA-EBDC-4FC4-8E59-77D4EFBFAC21}"/>
    <cellStyle name="Normal 14 3 3 3" xfId="22397" xr:uid="{D8601089-8276-4FB6-8439-3AE3102E8D3C}"/>
    <cellStyle name="Normal 14 3 3 4" xfId="13949" xr:uid="{FAA40F67-8DEA-4113-8B23-EC7E81616182}"/>
    <cellStyle name="Normal 14 3 4" xfId="26620" xr:uid="{DE05DF37-DB3D-4921-A4E9-807647A9145F}"/>
    <cellStyle name="Normal 14 3 5" xfId="18179" xr:uid="{9AB3BA85-14C4-4DF9-BBAE-EEFCFF751C36}"/>
    <cellStyle name="Normal 14 3 6" xfId="9731" xr:uid="{BDAE5249-5752-47D7-92F9-B55B01FF4275}"/>
    <cellStyle name="Normal 14 4" xfId="1605" xr:uid="{00000000-0005-0000-0000-0000750E0000}"/>
    <cellStyle name="Normal 14 4 2" xfId="3835" xr:uid="{00000000-0005-0000-0000-0000760E0000}"/>
    <cellStyle name="Normal 14 4 2 2" xfId="8057" xr:uid="{00000000-0005-0000-0000-0000770E0000}"/>
    <cellStyle name="Normal 14 4 2 2 2" xfId="33396" xr:uid="{FE823FEF-07AA-4802-9572-E0EA52824ADD}"/>
    <cellStyle name="Normal 14 4 2 2 3" xfId="24955" xr:uid="{4BD59DC3-846E-42E8-AB02-81664C428993}"/>
    <cellStyle name="Normal 14 4 2 2 4" xfId="16507" xr:uid="{6793A2CA-9F6D-4D8A-9D68-C9825FA7259D}"/>
    <cellStyle name="Normal 14 4 2 3" xfId="29178" xr:uid="{CCE0AA39-963E-4984-ADE8-96472DAF131E}"/>
    <cellStyle name="Normal 14 4 2 4" xfId="20737" xr:uid="{ED48D7AB-FDE3-40E0-844F-B8CC53C5E753}"/>
    <cellStyle name="Normal 14 4 2 5" xfId="12289" xr:uid="{5AACDF4C-511F-489D-B226-C98DCCE8A042}"/>
    <cellStyle name="Normal 14 4 3" xfId="5912" xr:uid="{00000000-0005-0000-0000-0000780E0000}"/>
    <cellStyle name="Normal 14 4 3 2" xfId="31251" xr:uid="{F72A97AC-DDC7-4939-9251-F8CD2FD85420}"/>
    <cellStyle name="Normal 14 4 3 3" xfId="22810" xr:uid="{B64308B4-83DF-4EFF-AE3C-BE31A1C856F9}"/>
    <cellStyle name="Normal 14 4 3 4" xfId="14362" xr:uid="{F2F072A9-460F-44F6-A27F-27E9E1D79050}"/>
    <cellStyle name="Normal 14 4 4" xfId="27033" xr:uid="{A91F5465-2C00-4BD1-9A61-C5B711F31261}"/>
    <cellStyle name="Normal 14 4 5" xfId="18592" xr:uid="{546919A7-21CB-4745-AF25-DE01CC1529A3}"/>
    <cellStyle name="Normal 14 4 6" xfId="10144" xr:uid="{C99076A7-C2C9-45DB-9AC5-917B2994A610}"/>
    <cellStyle name="Normal 14 5" xfId="2019" xr:uid="{00000000-0005-0000-0000-0000790E0000}"/>
    <cellStyle name="Normal 14 5 2" xfId="4248" xr:uid="{00000000-0005-0000-0000-00007A0E0000}"/>
    <cellStyle name="Normal 14 5 2 2" xfId="8470" xr:uid="{00000000-0005-0000-0000-00007B0E0000}"/>
    <cellStyle name="Normal 14 5 2 2 2" xfId="33809" xr:uid="{DB3FB7FA-96C3-4D84-B839-80C741A84C83}"/>
    <cellStyle name="Normal 14 5 2 2 3" xfId="25368" xr:uid="{ED71BC49-B23A-40F6-97DD-A20DE65DAADC}"/>
    <cellStyle name="Normal 14 5 2 2 4" xfId="16920" xr:uid="{EFD971F8-E721-4318-A34B-B0D33C2AAD81}"/>
    <cellStyle name="Normal 14 5 2 3" xfId="29591" xr:uid="{609F84FA-EF86-43BD-B05F-B96272A23E3A}"/>
    <cellStyle name="Normal 14 5 2 4" xfId="21150" xr:uid="{D71377DF-89E2-4EE0-8E01-D7AB8674712D}"/>
    <cellStyle name="Normal 14 5 2 5" xfId="12702" xr:uid="{ADA8BDA2-3A31-4D3F-8830-B36BE2B99A71}"/>
    <cellStyle name="Normal 14 5 3" xfId="6325" xr:uid="{00000000-0005-0000-0000-00007C0E0000}"/>
    <cellStyle name="Normal 14 5 3 2" xfId="31664" xr:uid="{E60ACDC0-A413-4EB9-81A6-4A0AD7D809CD}"/>
    <cellStyle name="Normal 14 5 3 3" xfId="23223" xr:uid="{A1C1D4A1-1516-4D72-8891-E35F6BE124D0}"/>
    <cellStyle name="Normal 14 5 3 4" xfId="14775" xr:uid="{17912D7F-B40E-481C-A16E-F832D9E25FF9}"/>
    <cellStyle name="Normal 14 5 4" xfId="27446" xr:uid="{FBE2E5CA-302B-43EE-8CCD-D1542CBA08DE}"/>
    <cellStyle name="Normal 14 5 5" xfId="19005" xr:uid="{A4456954-3344-43B9-A29E-6C05F70E753C}"/>
    <cellStyle name="Normal 14 5 6" xfId="10557" xr:uid="{672B9FD8-0922-451E-8A2C-05CFDF0325D1}"/>
    <cellStyle name="Normal 14 6" xfId="2455" xr:uid="{00000000-0005-0000-0000-00007D0E0000}"/>
    <cellStyle name="Normal 14 6 2" xfId="6738" xr:uid="{00000000-0005-0000-0000-00007E0E0000}"/>
    <cellStyle name="Normal 14 6 2 2" xfId="32077" xr:uid="{D3CEAE16-9363-4B82-ADC9-B2B3AB14868B}"/>
    <cellStyle name="Normal 14 6 2 3" xfId="23636" xr:uid="{0BB3AC30-04EC-442C-A349-E66E93848F5D}"/>
    <cellStyle name="Normal 14 6 2 4" xfId="15188" xr:uid="{92DE0082-133E-4925-89D0-7BD5045774F1}"/>
    <cellStyle name="Normal 14 6 3" xfId="27859" xr:uid="{ADD7E232-873F-49FE-B3F6-5D71DCC258FC}"/>
    <cellStyle name="Normal 14 6 4" xfId="19418" xr:uid="{66F03348-E262-4100-B22E-1C9C9A30EF87}"/>
    <cellStyle name="Normal 14 6 5" xfId="10970" xr:uid="{86B983F6-C8E1-450D-8A9F-C4822CAA494F}"/>
    <cellStyle name="Normal 14 7" xfId="4672" xr:uid="{00000000-0005-0000-0000-00007F0E0000}"/>
    <cellStyle name="Normal 14 7 2" xfId="30011" xr:uid="{39531A91-CB0F-4C88-85BC-A5C794B5BD85}"/>
    <cellStyle name="Normal 14 7 3" xfId="21570" xr:uid="{83E1DCEF-7BB1-45F1-83F7-6688B03ACFFC}"/>
    <cellStyle name="Normal 14 7 4" xfId="13122" xr:uid="{928D7FD7-EE0C-4AEB-BE37-C7C60E1DF4B8}"/>
    <cellStyle name="Normal 14 8" xfId="25793" xr:uid="{4FE3AAF1-D69B-4842-BE86-91BC613B8147}"/>
    <cellStyle name="Normal 14 9" xfId="17352" xr:uid="{499D9B9F-4AA5-4B7C-9AF5-AFA674B0AE86}"/>
    <cellStyle name="Normal 15" xfId="4496" xr:uid="{00000000-0005-0000-0000-0000800E0000}"/>
    <cellStyle name="Normal 15 2" xfId="29837" xr:uid="{1C57A9E6-0622-428B-9A81-A7E736EB6A89}"/>
    <cellStyle name="Normal 15 3" xfId="21396" xr:uid="{B2144230-FF1B-44C7-A54B-EAE0C63093EF}"/>
    <cellStyle name="Normal 15 4" xfId="12948" xr:uid="{8C067E2D-CFF9-4225-A1A7-65243179007C}"/>
    <cellStyle name="Normal 16" xfId="4500" xr:uid="{00000000-0005-0000-0000-0000810E0000}"/>
    <cellStyle name="Normal 16 2" xfId="8715" xr:uid="{00000000-0005-0000-0000-0000820E0000}"/>
    <cellStyle name="Normal 16 2 2" xfId="34054" xr:uid="{EF475794-F1E2-4599-84D6-7268DB552223}"/>
    <cellStyle name="Normal 16 2 3" xfId="25613" xr:uid="{5097B5C6-2C2D-4B96-8194-D2424EB936A2}"/>
    <cellStyle name="Normal 16 2 4" xfId="17165" xr:uid="{9EA2A8D0-8084-483D-8CDB-643A190363EA}"/>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17181" xr:uid="{0CACA3C8-C81B-4EEF-88F4-5E639D4912D6}"/>
    <cellStyle name="Normal 16 3 2 2 2 3" xfId="34063" xr:uid="{475CA729-8D16-476C-A296-76B74609442C}"/>
    <cellStyle name="Normal 16 3 2 2 2 4" xfId="17178" xr:uid="{432BE058-2A29-460D-8A66-B885B9FFB363}"/>
    <cellStyle name="Normal 16 3 2 2 3" xfId="25622" xr:uid="{2D6DE5C0-AEF7-4B33-BA39-6AEDBB868490}"/>
    <cellStyle name="Normal 16 3 2 2 4" xfId="17174" xr:uid="{A5C3DE54-554D-492D-92CD-8488FE28A057}"/>
    <cellStyle name="Normal 16 3 2 3" xfId="34060" xr:uid="{D99E5B1E-3179-4A3A-A80A-37B530BA48E5}"/>
    <cellStyle name="Normal 16 3 2 4" xfId="25619" xr:uid="{8A641ADF-8ECD-4D60-8907-DD10DC38FBD9}"/>
    <cellStyle name="Normal 16 3 2 5" xfId="17171" xr:uid="{36E1358E-2BF5-4F82-A82A-5E50B6E6C36E}"/>
    <cellStyle name="Normal 16 3 3" xfId="34057" xr:uid="{FE9D44BC-9644-4879-86BF-411901E669FA}"/>
    <cellStyle name="Normal 16 3 4" xfId="25616" xr:uid="{53CA3F54-B521-40E4-93D4-C0A53134D238}"/>
    <cellStyle name="Normal 16 3 5" xfId="17168" xr:uid="{443A9FE0-01D9-4F51-8632-9F74E42AA017}"/>
    <cellStyle name="Normal 16 4" xfId="29840" xr:uid="{7127CB71-05D5-47AB-B65A-F0B09CBBB578}"/>
    <cellStyle name="Normal 16 5" xfId="21399" xr:uid="{4CD979D0-9EDD-4910-B2C2-C19F4C01181D}"/>
    <cellStyle name="Normal 16 6" xfId="12951" xr:uid="{D740AE82-ABCA-4935-ACF7-70BADCDF0EF2}"/>
    <cellStyle name="Normal 17" xfId="8728" xr:uid="{3FF0972C-833B-4475-99D8-1A6907499E71}"/>
    <cellStyle name="Normal 17 2" xfId="17177" xr:uid="{9368D26D-AE3C-4058-B272-E1188A4D56F0}"/>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33810" xr:uid="{44648F8A-FC22-4650-887C-802E70C1635A}"/>
    <cellStyle name="Normal 2 4 2 10 2 2 3" xfId="25369" xr:uid="{98A6913D-FD40-41F0-AC7D-43DF1A0F67C7}"/>
    <cellStyle name="Normal 2 4 2 10 2 2 4" xfId="16921" xr:uid="{BEA886D0-FF33-4CE7-BB18-0CBB07D0EEAB}"/>
    <cellStyle name="Normal 2 4 2 10 2 3" xfId="29592" xr:uid="{0539FB4B-6EF9-49D4-B3BD-BCB88EA3C4ED}"/>
    <cellStyle name="Normal 2 4 2 10 2 4" xfId="21151" xr:uid="{CFBF97A5-6CBF-41BC-BDB0-7539A9493E55}"/>
    <cellStyle name="Normal 2 4 2 10 2 5" xfId="12703" xr:uid="{FEA058A2-5D7D-433E-9FF2-4D4C4E6C0D2F}"/>
    <cellStyle name="Normal 2 4 2 10 3" xfId="6326" xr:uid="{00000000-0005-0000-0000-0000910E0000}"/>
    <cellStyle name="Normal 2 4 2 10 3 2" xfId="31665" xr:uid="{32376EE7-27DA-4E90-A399-31C0D2B2EC04}"/>
    <cellStyle name="Normal 2 4 2 10 3 3" xfId="23224" xr:uid="{651B28B2-556F-4344-8F2C-E1489AA6C185}"/>
    <cellStyle name="Normal 2 4 2 10 3 4" xfId="14776" xr:uid="{0241ED0C-A622-43F7-8AFE-7E88B237C0DF}"/>
    <cellStyle name="Normal 2 4 2 10 4" xfId="27447" xr:uid="{377D4D2E-F938-49AB-B93B-5291BEB227C8}"/>
    <cellStyle name="Normal 2 4 2 10 5" xfId="19006" xr:uid="{A570F210-FDB9-4E39-AABC-3A93A1861355}"/>
    <cellStyle name="Normal 2 4 2 10 6" xfId="10558" xr:uid="{DEAC23EE-AE4D-4D97-BCE5-6BC4D73AA7AE}"/>
    <cellStyle name="Normal 2 4 2 11" xfId="2456" xr:uid="{00000000-0005-0000-0000-0000920E0000}"/>
    <cellStyle name="Normal 2 4 2 11 2" xfId="6739" xr:uid="{00000000-0005-0000-0000-0000930E0000}"/>
    <cellStyle name="Normal 2 4 2 11 2 2" xfId="32078" xr:uid="{6E6E85C8-8574-40C3-975B-5DEBF56C05E6}"/>
    <cellStyle name="Normal 2 4 2 11 2 3" xfId="23637" xr:uid="{5FA2415D-69D2-4293-ACE5-31CF3BF6EF09}"/>
    <cellStyle name="Normal 2 4 2 11 2 4" xfId="15189" xr:uid="{F62DF97E-99BD-4081-87C1-B1589B22F7F9}"/>
    <cellStyle name="Normal 2 4 2 11 3" xfId="27860" xr:uid="{7255C395-66B6-4A14-A2B9-4D86B459881B}"/>
    <cellStyle name="Normal 2 4 2 11 4" xfId="19419" xr:uid="{7B8C2CF5-F04C-4B96-9957-961AE3EE08AF}"/>
    <cellStyle name="Normal 2 4 2 11 5" xfId="10971" xr:uid="{6C9110D6-6B08-4917-8BDD-64FFA4E2A0FF}"/>
    <cellStyle name="Normal 2 4 2 12" xfId="4673" xr:uid="{00000000-0005-0000-0000-0000940E0000}"/>
    <cellStyle name="Normal 2 4 2 12 2" xfId="30012" xr:uid="{CC96FA18-1A19-414A-9708-1559BFE190F7}"/>
    <cellStyle name="Normal 2 4 2 12 3" xfId="21571" xr:uid="{5A40171D-C888-40F3-8B36-8F9FADCCDEA2}"/>
    <cellStyle name="Normal 2 4 2 12 4" xfId="13123" xr:uid="{230E0475-5A4D-4AE4-A7A6-6543DA201D10}"/>
    <cellStyle name="Normal 2 4 2 13" xfId="25794" xr:uid="{2210CECC-7669-4B71-8987-B616BD601E42}"/>
    <cellStyle name="Normal 2 4 2 14" xfId="17353" xr:uid="{F5E47625-7954-4C2F-AF2D-F324CC994CEA}"/>
    <cellStyle name="Normal 2 4 2 15" xfId="8905" xr:uid="{28A55C54-85DF-40CC-B011-0BC26E6CB11D}"/>
    <cellStyle name="Normal 2 4 2 2" xfId="280" xr:uid="{00000000-0005-0000-0000-0000950E0000}"/>
    <cellStyle name="Normal 2 4 2 3" xfId="281" xr:uid="{00000000-0005-0000-0000-0000960E0000}"/>
    <cellStyle name="Normal 2 4 2 3 10" xfId="4674" xr:uid="{00000000-0005-0000-0000-0000970E0000}"/>
    <cellStyle name="Normal 2 4 2 3 10 2" xfId="30013" xr:uid="{B9062B22-413D-4C9E-8F23-EDEA24726A23}"/>
    <cellStyle name="Normal 2 4 2 3 10 3" xfId="21572" xr:uid="{1B174077-F2D8-4BEF-B8ED-357D7C4C673C}"/>
    <cellStyle name="Normal 2 4 2 3 10 4" xfId="13124" xr:uid="{FAFEF941-C740-4E8F-B6CF-417D818EE3AD}"/>
    <cellStyle name="Normal 2 4 2 3 11" xfId="25795" xr:uid="{7281BB34-0549-43C6-A9CA-706A148C7152}"/>
    <cellStyle name="Normal 2 4 2 3 12" xfId="17354" xr:uid="{243B4D3A-6EA7-4A12-89E9-DE9171838E49}"/>
    <cellStyle name="Normal 2 4 2 3 13" xfId="8906" xr:uid="{542A0128-04EA-49E5-9EDC-3F1767081B45}"/>
    <cellStyle name="Normal 2 4 2 3 2" xfId="282" xr:uid="{00000000-0005-0000-0000-0000980E0000}"/>
    <cellStyle name="Normal 2 4 2 3 2 10" xfId="25796" xr:uid="{7931080D-9AB4-495C-AC33-26D0917E23AE}"/>
    <cellStyle name="Normal 2 4 2 3 2 11" xfId="17355" xr:uid="{BA6CD94C-B251-4E62-BA24-DE8FC8FD447A}"/>
    <cellStyle name="Normal 2 4 2 3 2 12" xfId="8907" xr:uid="{649B2BCF-0F95-4462-A283-2B65CFCBBD50}"/>
    <cellStyle name="Normal 2 4 2 3 2 2" xfId="283" xr:uid="{00000000-0005-0000-0000-0000990E0000}"/>
    <cellStyle name="Normal 2 4 2 3 2 2 10" xfId="17356" xr:uid="{69779689-2673-4071-90B6-817E84169807}"/>
    <cellStyle name="Normal 2 4 2 3 2 2 11" xfId="8908" xr:uid="{75A47E52-B259-4557-A2B1-04447419F9B5}"/>
    <cellStyle name="Normal 2 4 2 3 2 2 2" xfId="284" xr:uid="{00000000-0005-0000-0000-00009A0E0000}"/>
    <cellStyle name="Normal 2 4 2 3 2 2 2 10" xfId="8909" xr:uid="{EBB5E135-2AD4-42E5-BE72-D02B9975944D}"/>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32575" xr:uid="{A1D78884-EEBB-4012-B97E-27B769856951}"/>
    <cellStyle name="Normal 2 4 2 3 2 2 2 2 2 2 3" xfId="24134" xr:uid="{06EB2334-5AD0-4557-BB47-0F95D3C663E2}"/>
    <cellStyle name="Normal 2 4 2 3 2 2 2 2 2 2 4" xfId="15686" xr:uid="{DAA2690F-E4BD-41CB-977A-E62F11C9F643}"/>
    <cellStyle name="Normal 2 4 2 3 2 2 2 2 2 3" xfId="28357" xr:uid="{BFD26027-2565-4A10-9A91-C4AFB28C855F}"/>
    <cellStyle name="Normal 2 4 2 3 2 2 2 2 2 4" xfId="19916" xr:uid="{8606752C-98C3-4C59-8A61-D064D2A9C4BB}"/>
    <cellStyle name="Normal 2 4 2 3 2 2 2 2 2 5" xfId="11468" xr:uid="{6AAB6E7C-5A99-45D1-8E95-CA01A00E0809}"/>
    <cellStyle name="Normal 2 4 2 3 2 2 2 2 3" xfId="5091" xr:uid="{00000000-0005-0000-0000-00009E0E0000}"/>
    <cellStyle name="Normal 2 4 2 3 2 2 2 2 3 2" xfId="30430" xr:uid="{D3F72F64-DEB8-4569-9B46-CD7277B32B17}"/>
    <cellStyle name="Normal 2 4 2 3 2 2 2 2 3 3" xfId="21989" xr:uid="{66A63A20-3764-4C3D-B8D6-44ED4C100491}"/>
    <cellStyle name="Normal 2 4 2 3 2 2 2 2 3 4" xfId="13541" xr:uid="{17CA8FA6-FF17-4ECF-9753-6F8CFAC204FB}"/>
    <cellStyle name="Normal 2 4 2 3 2 2 2 2 4" xfId="26212" xr:uid="{6DE9BA70-D3CD-4F6E-98D3-0F780EA1F421}"/>
    <cellStyle name="Normal 2 4 2 3 2 2 2 2 5" xfId="17771" xr:uid="{5CFA10D9-6EFA-4BCB-846D-98863450DCBC}"/>
    <cellStyle name="Normal 2 4 2 3 2 2 2 2 6" xfId="9323" xr:uid="{08FB02F0-41E7-4445-8515-0DBB998F5E23}"/>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32988" xr:uid="{150F8130-5A6C-4260-A56F-DC74632440DC}"/>
    <cellStyle name="Normal 2 4 2 3 2 2 2 3 2 2 3" xfId="24547" xr:uid="{88DCE013-C4CA-445B-8A35-CDD59962E407}"/>
    <cellStyle name="Normal 2 4 2 3 2 2 2 3 2 2 4" xfId="16099" xr:uid="{D0089EB4-AE4B-4B11-BC16-9F592CE6C8E8}"/>
    <cellStyle name="Normal 2 4 2 3 2 2 2 3 2 3" xfId="28770" xr:uid="{29EB22A1-7EB6-495D-A2CF-70E6D8C315E7}"/>
    <cellStyle name="Normal 2 4 2 3 2 2 2 3 2 4" xfId="20329" xr:uid="{D43E4DC3-0DAC-417C-965A-B6E403171020}"/>
    <cellStyle name="Normal 2 4 2 3 2 2 2 3 2 5" xfId="11881" xr:uid="{DBCCE9E2-4160-49C7-AF9A-8B999EDA6BDE}"/>
    <cellStyle name="Normal 2 4 2 3 2 2 2 3 3" xfId="5504" xr:uid="{00000000-0005-0000-0000-0000A20E0000}"/>
    <cellStyle name="Normal 2 4 2 3 2 2 2 3 3 2" xfId="30843" xr:uid="{F8F806C0-23E2-4B1E-B1DE-0B9A7BD39A6B}"/>
    <cellStyle name="Normal 2 4 2 3 2 2 2 3 3 3" xfId="22402" xr:uid="{6B12708D-BA06-497C-8DA2-ECA380961157}"/>
    <cellStyle name="Normal 2 4 2 3 2 2 2 3 3 4" xfId="13954" xr:uid="{44F0DF80-12F4-4835-B02D-0FEAC4505F9C}"/>
    <cellStyle name="Normal 2 4 2 3 2 2 2 3 4" xfId="26625" xr:uid="{F877E3D4-7CC0-45D2-978F-21A783E738F1}"/>
    <cellStyle name="Normal 2 4 2 3 2 2 2 3 5" xfId="18184" xr:uid="{D25534EF-E44D-490D-A280-C0C82E80C6F8}"/>
    <cellStyle name="Normal 2 4 2 3 2 2 2 3 6" xfId="9736" xr:uid="{25A4D174-30D6-4C55-8C6C-50451DDD95D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33401" xr:uid="{37D8A700-67E0-4E48-BB4D-E4F5FA2EA00E}"/>
    <cellStyle name="Normal 2 4 2 3 2 2 2 4 2 2 3" xfId="24960" xr:uid="{63CBF92F-4309-4FBD-A714-F422422EB77D}"/>
    <cellStyle name="Normal 2 4 2 3 2 2 2 4 2 2 4" xfId="16512" xr:uid="{217C4A0E-95E6-4FB6-9DC5-2C535A4C6241}"/>
    <cellStyle name="Normal 2 4 2 3 2 2 2 4 2 3" xfId="29183" xr:uid="{488D2083-830B-47AC-803C-6FD85EA20B1F}"/>
    <cellStyle name="Normal 2 4 2 3 2 2 2 4 2 4" xfId="20742" xr:uid="{E1381A9F-CDF1-481A-A706-61EE136BC8B5}"/>
    <cellStyle name="Normal 2 4 2 3 2 2 2 4 2 5" xfId="12294" xr:uid="{26FDC484-C815-4F23-BB09-6AF76C3E4B32}"/>
    <cellStyle name="Normal 2 4 2 3 2 2 2 4 3" xfId="5917" xr:uid="{00000000-0005-0000-0000-0000A60E0000}"/>
    <cellStyle name="Normal 2 4 2 3 2 2 2 4 3 2" xfId="31256" xr:uid="{C86CCA27-3B4A-4A2E-A4BA-10EABC75E74C}"/>
    <cellStyle name="Normal 2 4 2 3 2 2 2 4 3 3" xfId="22815" xr:uid="{1FB3CC2B-EF17-4BF9-BF79-1B6E844C461F}"/>
    <cellStyle name="Normal 2 4 2 3 2 2 2 4 3 4" xfId="14367" xr:uid="{7158469A-F23C-4C1F-BC3B-5EBC62CC11FB}"/>
    <cellStyle name="Normal 2 4 2 3 2 2 2 4 4" xfId="27038" xr:uid="{3C4047B8-2371-4C63-AE65-BA0CFDADAECD}"/>
    <cellStyle name="Normal 2 4 2 3 2 2 2 4 5" xfId="18597" xr:uid="{0A8709F0-76CA-4E11-831C-BE7D53265D3D}"/>
    <cellStyle name="Normal 2 4 2 3 2 2 2 4 6" xfId="10149" xr:uid="{52660011-5A81-45FA-9532-E301582742F1}"/>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33814" xr:uid="{62662176-5B72-4E51-AFF9-007BC481CD71}"/>
    <cellStyle name="Normal 2 4 2 3 2 2 2 5 2 2 3" xfId="25373" xr:uid="{25E221AD-87B9-4815-8903-EB54F747AB4A}"/>
    <cellStyle name="Normal 2 4 2 3 2 2 2 5 2 2 4" xfId="16925" xr:uid="{48B14644-D3C4-4F6D-899B-774D955980F7}"/>
    <cellStyle name="Normal 2 4 2 3 2 2 2 5 2 3" xfId="29596" xr:uid="{8423D5A5-43A6-4C2D-BC3B-C66FE696955D}"/>
    <cellStyle name="Normal 2 4 2 3 2 2 2 5 2 4" xfId="21155" xr:uid="{EBED540E-897B-4CC3-934F-9B603C2C1D3D}"/>
    <cellStyle name="Normal 2 4 2 3 2 2 2 5 2 5" xfId="12707" xr:uid="{62B5FCB3-2BB0-40AC-8369-1729AC40D495}"/>
    <cellStyle name="Normal 2 4 2 3 2 2 2 5 3" xfId="6330" xr:uid="{00000000-0005-0000-0000-0000AA0E0000}"/>
    <cellStyle name="Normal 2 4 2 3 2 2 2 5 3 2" xfId="31669" xr:uid="{A5C4EF7D-B05E-469B-8680-D7D57401F810}"/>
    <cellStyle name="Normal 2 4 2 3 2 2 2 5 3 3" xfId="23228" xr:uid="{EF490455-B8CD-4757-ABF4-78214AC32E9D}"/>
    <cellStyle name="Normal 2 4 2 3 2 2 2 5 3 4" xfId="14780" xr:uid="{35F365CB-2D50-4E2F-8C13-E02ABCDF3A91}"/>
    <cellStyle name="Normal 2 4 2 3 2 2 2 5 4" xfId="27451" xr:uid="{857F2EB6-A5B8-4C9D-994E-B291158478E3}"/>
    <cellStyle name="Normal 2 4 2 3 2 2 2 5 5" xfId="19010" xr:uid="{A096C91C-181D-45A4-9B9C-D47B94BD2D8D}"/>
    <cellStyle name="Normal 2 4 2 3 2 2 2 5 6" xfId="10562" xr:uid="{D7692F30-9A6A-4DD0-AF96-B2988F484F3F}"/>
    <cellStyle name="Normal 2 4 2 3 2 2 2 6" xfId="2460" xr:uid="{00000000-0005-0000-0000-0000AB0E0000}"/>
    <cellStyle name="Normal 2 4 2 3 2 2 2 6 2" xfId="6743" xr:uid="{00000000-0005-0000-0000-0000AC0E0000}"/>
    <cellStyle name="Normal 2 4 2 3 2 2 2 6 2 2" xfId="32082" xr:uid="{A7BEC0FF-F45D-45A1-8765-B40F7CF7FC0E}"/>
    <cellStyle name="Normal 2 4 2 3 2 2 2 6 2 3" xfId="23641" xr:uid="{6FB7B9D3-0F13-4001-8141-161A688EB5E5}"/>
    <cellStyle name="Normal 2 4 2 3 2 2 2 6 2 4" xfId="15193" xr:uid="{F2FB024D-63BA-43AA-BACB-B1599570B6E2}"/>
    <cellStyle name="Normal 2 4 2 3 2 2 2 6 3" xfId="27864" xr:uid="{31C4E438-88D2-47F6-AB7D-0B0AFB8067F3}"/>
    <cellStyle name="Normal 2 4 2 3 2 2 2 6 4" xfId="19423" xr:uid="{B6D4424F-3DF9-4B7D-86B1-184560F8A957}"/>
    <cellStyle name="Normal 2 4 2 3 2 2 2 6 5" xfId="10975" xr:uid="{1E325B0D-15D9-43A3-88D6-EAC54E8A1D95}"/>
    <cellStyle name="Normal 2 4 2 3 2 2 2 7" xfId="4677" xr:uid="{00000000-0005-0000-0000-0000AD0E0000}"/>
    <cellStyle name="Normal 2 4 2 3 2 2 2 7 2" xfId="30016" xr:uid="{4DD5C001-AB42-4E69-93F4-5B15A4561A5D}"/>
    <cellStyle name="Normal 2 4 2 3 2 2 2 7 3" xfId="21575" xr:uid="{7AEC80A8-FFBF-4B7F-8509-3D5B4A92EFD4}"/>
    <cellStyle name="Normal 2 4 2 3 2 2 2 7 4" xfId="13127" xr:uid="{3EAFE297-86FE-4B2A-ABEA-2982B31DBB57}"/>
    <cellStyle name="Normal 2 4 2 3 2 2 2 8" xfId="25798" xr:uid="{0E121D4F-764F-4277-9820-8D60526A8145}"/>
    <cellStyle name="Normal 2 4 2 3 2 2 2 9" xfId="17357" xr:uid="{AE730798-0766-4EBE-A8DF-32513DCA3B96}"/>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32574" xr:uid="{424281B2-CA05-41D6-867D-2166DDA63E5E}"/>
    <cellStyle name="Normal 2 4 2 3 2 2 3 2 2 3" xfId="24133" xr:uid="{7F8AE6F2-A00F-4ED4-9D4F-F1367CCA6FA1}"/>
    <cellStyle name="Normal 2 4 2 3 2 2 3 2 2 4" xfId="15685" xr:uid="{55AA0059-2E43-4820-8E63-CB86A77A3330}"/>
    <cellStyle name="Normal 2 4 2 3 2 2 3 2 3" xfId="28356" xr:uid="{CCD294BB-5EE0-43D6-9C20-A2F998AA75A7}"/>
    <cellStyle name="Normal 2 4 2 3 2 2 3 2 4" xfId="19915" xr:uid="{C39E9376-D5B2-4352-8F13-52E65CDD5BAE}"/>
    <cellStyle name="Normal 2 4 2 3 2 2 3 2 5" xfId="11467" xr:uid="{431842DD-9AC1-42B9-B6A6-5A5E4172681B}"/>
    <cellStyle name="Normal 2 4 2 3 2 2 3 3" xfId="5090" xr:uid="{00000000-0005-0000-0000-0000B10E0000}"/>
    <cellStyle name="Normal 2 4 2 3 2 2 3 3 2" xfId="30429" xr:uid="{4E189B6F-B4A3-4642-BC8C-6FEC636EAD03}"/>
    <cellStyle name="Normal 2 4 2 3 2 2 3 3 3" xfId="21988" xr:uid="{944A7B5F-0E9C-4D35-9B65-271572C1DC36}"/>
    <cellStyle name="Normal 2 4 2 3 2 2 3 3 4" xfId="13540" xr:uid="{6FAA7EDC-1DC1-463B-8AA6-0113F8F05E1A}"/>
    <cellStyle name="Normal 2 4 2 3 2 2 3 4" xfId="26211" xr:uid="{D6614A43-C0B3-48D8-A89F-E031A321177C}"/>
    <cellStyle name="Normal 2 4 2 3 2 2 3 5" xfId="17770" xr:uid="{D7A24A9C-ACD8-46AC-9500-4A68BBC14B3B}"/>
    <cellStyle name="Normal 2 4 2 3 2 2 3 6" xfId="9322" xr:uid="{6822DC4B-9480-4EDF-B494-59C59695233B}"/>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32987" xr:uid="{88D0CF17-F3AB-4106-B7AE-EDB92426C868}"/>
    <cellStyle name="Normal 2 4 2 3 2 2 4 2 2 3" xfId="24546" xr:uid="{A18CE4E6-AA0E-442E-BDF8-0A5F45B7B119}"/>
    <cellStyle name="Normal 2 4 2 3 2 2 4 2 2 4" xfId="16098" xr:uid="{0884A24D-7282-4754-9488-617F5C6422EB}"/>
    <cellStyle name="Normal 2 4 2 3 2 2 4 2 3" xfId="28769" xr:uid="{3D503807-BB85-4A81-862F-49EB1DEB2AC7}"/>
    <cellStyle name="Normal 2 4 2 3 2 2 4 2 4" xfId="20328" xr:uid="{8025D81E-FB02-438B-B47B-3BA1E899079E}"/>
    <cellStyle name="Normal 2 4 2 3 2 2 4 2 5" xfId="11880" xr:uid="{013C515E-18AB-49ED-9B63-7222350C5334}"/>
    <cellStyle name="Normal 2 4 2 3 2 2 4 3" xfId="5503" xr:uid="{00000000-0005-0000-0000-0000B50E0000}"/>
    <cellStyle name="Normal 2 4 2 3 2 2 4 3 2" xfId="30842" xr:uid="{41ED66C4-B021-48AF-BCBD-CE3088840646}"/>
    <cellStyle name="Normal 2 4 2 3 2 2 4 3 3" xfId="22401" xr:uid="{BD6352F8-2576-484D-A333-A3687023E16C}"/>
    <cellStyle name="Normal 2 4 2 3 2 2 4 3 4" xfId="13953" xr:uid="{207A7328-194F-4B46-AFBF-961C88EEB6E7}"/>
    <cellStyle name="Normal 2 4 2 3 2 2 4 4" xfId="26624" xr:uid="{09CE3EBD-ABA0-41A9-905B-C7C3D3F03232}"/>
    <cellStyle name="Normal 2 4 2 3 2 2 4 5" xfId="18183" xr:uid="{47F64A66-9CB7-472C-AEF8-22F03819F6A9}"/>
    <cellStyle name="Normal 2 4 2 3 2 2 4 6" xfId="9735" xr:uid="{D294AA02-E127-4B3D-BBC4-558EB7B360B2}"/>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33400" xr:uid="{20EFDC60-72BD-4045-9E5E-9A5E12EDEFE6}"/>
    <cellStyle name="Normal 2 4 2 3 2 2 5 2 2 3" xfId="24959" xr:uid="{10B169FC-4424-4A6C-9DFD-A94FE829318C}"/>
    <cellStyle name="Normal 2 4 2 3 2 2 5 2 2 4" xfId="16511" xr:uid="{6272C0CD-9308-4301-B7A7-8B4B75233FCB}"/>
    <cellStyle name="Normal 2 4 2 3 2 2 5 2 3" xfId="29182" xr:uid="{02CBF56F-6416-4CD4-B214-18E55E83E40C}"/>
    <cellStyle name="Normal 2 4 2 3 2 2 5 2 4" xfId="20741" xr:uid="{FFA7F402-9647-4724-961A-F7F11E321938}"/>
    <cellStyle name="Normal 2 4 2 3 2 2 5 2 5" xfId="12293" xr:uid="{7E61FECA-6868-4153-99BF-2DA7E14D8E27}"/>
    <cellStyle name="Normal 2 4 2 3 2 2 5 3" xfId="5916" xr:uid="{00000000-0005-0000-0000-0000B90E0000}"/>
    <cellStyle name="Normal 2 4 2 3 2 2 5 3 2" xfId="31255" xr:uid="{8944C486-BF6D-46AA-992D-921EEC6DCAAA}"/>
    <cellStyle name="Normal 2 4 2 3 2 2 5 3 3" xfId="22814" xr:uid="{40112B46-9F14-48FD-B75F-ADA62B22B6DF}"/>
    <cellStyle name="Normal 2 4 2 3 2 2 5 3 4" xfId="14366" xr:uid="{81322F78-F44E-4C1D-9C37-0E7546296F21}"/>
    <cellStyle name="Normal 2 4 2 3 2 2 5 4" xfId="27037" xr:uid="{9AA44CED-026F-4AF3-9472-EF76F4D83209}"/>
    <cellStyle name="Normal 2 4 2 3 2 2 5 5" xfId="18596" xr:uid="{D7E04F39-F4CC-409D-95DC-71676C371437}"/>
    <cellStyle name="Normal 2 4 2 3 2 2 5 6" xfId="10148" xr:uid="{6B310037-C43B-4DE2-8276-01BDD27ED562}"/>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33813" xr:uid="{2B53B9A8-CDDB-4137-BB91-1DB960066FA3}"/>
    <cellStyle name="Normal 2 4 2 3 2 2 6 2 2 3" xfId="25372" xr:uid="{A651FE4D-5D32-45ED-B4CC-D56DF03E0548}"/>
    <cellStyle name="Normal 2 4 2 3 2 2 6 2 2 4" xfId="16924" xr:uid="{2CBECB10-9BD5-4308-98BE-ED644D9637FB}"/>
    <cellStyle name="Normal 2 4 2 3 2 2 6 2 3" xfId="29595" xr:uid="{211C52BF-5676-48E6-B269-4181C25C1610}"/>
    <cellStyle name="Normal 2 4 2 3 2 2 6 2 4" xfId="21154" xr:uid="{A5842DD8-FD9D-4797-83C4-B4BC9BA68ACC}"/>
    <cellStyle name="Normal 2 4 2 3 2 2 6 2 5" xfId="12706" xr:uid="{7BBDF29B-6CA9-4235-A3AE-D39067866A2C}"/>
    <cellStyle name="Normal 2 4 2 3 2 2 6 3" xfId="6329" xr:uid="{00000000-0005-0000-0000-0000BD0E0000}"/>
    <cellStyle name="Normal 2 4 2 3 2 2 6 3 2" xfId="31668" xr:uid="{3367CC90-4499-414B-95C8-BA346D264CE4}"/>
    <cellStyle name="Normal 2 4 2 3 2 2 6 3 3" xfId="23227" xr:uid="{FA21E9BF-CCB1-4898-A3F1-132E41E82CC0}"/>
    <cellStyle name="Normal 2 4 2 3 2 2 6 3 4" xfId="14779" xr:uid="{EDC9EE2A-862D-450D-819C-0A6F50657617}"/>
    <cellStyle name="Normal 2 4 2 3 2 2 6 4" xfId="27450" xr:uid="{C7DDF24C-045E-4C57-B20C-4EE2D2105B4D}"/>
    <cellStyle name="Normal 2 4 2 3 2 2 6 5" xfId="19009" xr:uid="{A05022BE-8633-4652-9117-654D71D00765}"/>
    <cellStyle name="Normal 2 4 2 3 2 2 6 6" xfId="10561" xr:uid="{44737452-DFF8-42B9-955C-AAAD0667CEEE}"/>
    <cellStyle name="Normal 2 4 2 3 2 2 7" xfId="2459" xr:uid="{00000000-0005-0000-0000-0000BE0E0000}"/>
    <cellStyle name="Normal 2 4 2 3 2 2 7 2" xfId="6742" xr:uid="{00000000-0005-0000-0000-0000BF0E0000}"/>
    <cellStyle name="Normal 2 4 2 3 2 2 7 2 2" xfId="32081" xr:uid="{E4BB19E1-77BD-4205-9F6E-A94FD94CFEEA}"/>
    <cellStyle name="Normal 2 4 2 3 2 2 7 2 3" xfId="23640" xr:uid="{9404E679-A1EC-4B96-A0B8-518A45D6E4CB}"/>
    <cellStyle name="Normal 2 4 2 3 2 2 7 2 4" xfId="15192" xr:uid="{2E4281AF-152F-432E-83F0-5EE0E7E00CCA}"/>
    <cellStyle name="Normal 2 4 2 3 2 2 7 3" xfId="27863" xr:uid="{62605C9E-27AB-420B-A64E-36C8096F1288}"/>
    <cellStyle name="Normal 2 4 2 3 2 2 7 4" xfId="19422" xr:uid="{3558FF26-DA69-4029-838C-A00A65CC1C1D}"/>
    <cellStyle name="Normal 2 4 2 3 2 2 7 5" xfId="10974" xr:uid="{D4061043-E881-42F7-B122-18A1B028E0C0}"/>
    <cellStyle name="Normal 2 4 2 3 2 2 8" xfId="4676" xr:uid="{00000000-0005-0000-0000-0000C00E0000}"/>
    <cellStyle name="Normal 2 4 2 3 2 2 8 2" xfId="30015" xr:uid="{74103BDC-5FAC-40A8-8A73-51BFA7013262}"/>
    <cellStyle name="Normal 2 4 2 3 2 2 8 3" xfId="21574" xr:uid="{02D74CE6-82F0-4F61-8601-A394D601F387}"/>
    <cellStyle name="Normal 2 4 2 3 2 2 8 4" xfId="13126" xr:uid="{CC10A44D-AFD5-40EE-AF6D-534A986B0E0F}"/>
    <cellStyle name="Normal 2 4 2 3 2 2 9" xfId="25797" xr:uid="{AAF530A6-2D02-429A-B712-31172DB5F216}"/>
    <cellStyle name="Normal 2 4 2 3 2 3" xfId="285" xr:uid="{00000000-0005-0000-0000-0000C10E0000}"/>
    <cellStyle name="Normal 2 4 2 3 2 3 10" xfId="8910" xr:uid="{4CD02D6E-C581-4622-9036-E2586F57EFCB}"/>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32576" xr:uid="{67E3383E-55D9-4BA9-A838-161A4BB7F846}"/>
    <cellStyle name="Normal 2 4 2 3 2 3 2 2 2 3" xfId="24135" xr:uid="{5E08FB0E-A15D-44EE-9926-C9C235CBEEAA}"/>
    <cellStyle name="Normal 2 4 2 3 2 3 2 2 2 4" xfId="15687" xr:uid="{7F09D63D-08F8-4535-B089-D9B3E7C60D66}"/>
    <cellStyle name="Normal 2 4 2 3 2 3 2 2 3" xfId="28358" xr:uid="{1DF1483A-E264-40C5-9F54-DB2897775214}"/>
    <cellStyle name="Normal 2 4 2 3 2 3 2 2 4" xfId="19917" xr:uid="{F9B357C4-A578-445F-9429-D40B1750AC06}"/>
    <cellStyle name="Normal 2 4 2 3 2 3 2 2 5" xfId="11469" xr:uid="{08C9C63F-4F01-41DC-9AA4-6860A141B1BC}"/>
    <cellStyle name="Normal 2 4 2 3 2 3 2 3" xfId="5092" xr:uid="{00000000-0005-0000-0000-0000C50E0000}"/>
    <cellStyle name="Normal 2 4 2 3 2 3 2 3 2" xfId="30431" xr:uid="{2FA09E2D-0486-4A2E-BBD2-A7C17C285690}"/>
    <cellStyle name="Normal 2 4 2 3 2 3 2 3 3" xfId="21990" xr:uid="{6F141563-7325-44D3-884A-2709EC896FDE}"/>
    <cellStyle name="Normal 2 4 2 3 2 3 2 3 4" xfId="13542" xr:uid="{C0748ABC-F8DC-4890-8711-9D09DB3866DF}"/>
    <cellStyle name="Normal 2 4 2 3 2 3 2 4" xfId="26213" xr:uid="{C237B9E7-54E2-4F68-B962-BD237B93098B}"/>
    <cellStyle name="Normal 2 4 2 3 2 3 2 5" xfId="17772" xr:uid="{0DA92E21-BB83-418C-AE4A-A5C5B116140E}"/>
    <cellStyle name="Normal 2 4 2 3 2 3 2 6" xfId="9324" xr:uid="{D68E33BA-1443-4319-A0A9-6DEF2AE9D5A4}"/>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32989" xr:uid="{EDA375D0-0D19-45FE-A0D0-CB5CCB8B5206}"/>
    <cellStyle name="Normal 2 4 2 3 2 3 3 2 2 3" xfId="24548" xr:uid="{89489A50-C720-4F8D-8EE3-1AEC2B11ACF4}"/>
    <cellStyle name="Normal 2 4 2 3 2 3 3 2 2 4" xfId="16100" xr:uid="{53D9D423-99EB-47D4-9D11-E27AD10C3003}"/>
    <cellStyle name="Normal 2 4 2 3 2 3 3 2 3" xfId="28771" xr:uid="{E16B467F-5659-4246-9CCA-A7A20BDDF0F2}"/>
    <cellStyle name="Normal 2 4 2 3 2 3 3 2 4" xfId="20330" xr:uid="{3BBDCB30-537B-4BF9-A2CD-B75E7A84E3AC}"/>
    <cellStyle name="Normal 2 4 2 3 2 3 3 2 5" xfId="11882" xr:uid="{06373910-3E5C-4D6C-8E84-BB6C6A761BF6}"/>
    <cellStyle name="Normal 2 4 2 3 2 3 3 3" xfId="5505" xr:uid="{00000000-0005-0000-0000-0000C90E0000}"/>
    <cellStyle name="Normal 2 4 2 3 2 3 3 3 2" xfId="30844" xr:uid="{87A7024A-0AE7-4DEB-A2DF-7559A876C4DA}"/>
    <cellStyle name="Normal 2 4 2 3 2 3 3 3 3" xfId="22403" xr:uid="{19160148-D020-43D3-82E0-F3EF1AE7828F}"/>
    <cellStyle name="Normal 2 4 2 3 2 3 3 3 4" xfId="13955" xr:uid="{899EE45F-CF05-4145-AE99-3F664D6B1DED}"/>
    <cellStyle name="Normal 2 4 2 3 2 3 3 4" xfId="26626" xr:uid="{431CDF15-6988-4FB6-9223-6E5E0D68CC4F}"/>
    <cellStyle name="Normal 2 4 2 3 2 3 3 5" xfId="18185" xr:uid="{01368530-022B-4E62-9602-7AA5CA659C66}"/>
    <cellStyle name="Normal 2 4 2 3 2 3 3 6" xfId="9737" xr:uid="{44100B9A-1C68-4F95-8346-B629510243B4}"/>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33402" xr:uid="{E9974D96-8AEC-44F9-B2C8-15AD4157DD9A}"/>
    <cellStyle name="Normal 2 4 2 3 2 3 4 2 2 3" xfId="24961" xr:uid="{EA389592-E17D-4C3A-A9FE-21C4B6D55518}"/>
    <cellStyle name="Normal 2 4 2 3 2 3 4 2 2 4" xfId="16513" xr:uid="{17B05B60-F8DE-49E3-A2C7-2913E6F6C1A4}"/>
    <cellStyle name="Normal 2 4 2 3 2 3 4 2 3" xfId="29184" xr:uid="{F746269D-5778-4C11-9CB2-3EE29F7CA139}"/>
    <cellStyle name="Normal 2 4 2 3 2 3 4 2 4" xfId="20743" xr:uid="{ED21CA3C-1695-4A43-BD34-D502F0F9F38E}"/>
    <cellStyle name="Normal 2 4 2 3 2 3 4 2 5" xfId="12295" xr:uid="{A91AC89A-9A65-4885-BF1A-0BD71069C603}"/>
    <cellStyle name="Normal 2 4 2 3 2 3 4 3" xfId="5918" xr:uid="{00000000-0005-0000-0000-0000CD0E0000}"/>
    <cellStyle name="Normal 2 4 2 3 2 3 4 3 2" xfId="31257" xr:uid="{93945EC1-F595-41AE-9A43-93AA0E635FDF}"/>
    <cellStyle name="Normal 2 4 2 3 2 3 4 3 3" xfId="22816" xr:uid="{BF0B2209-7486-45AD-B6CE-10E9499AAD76}"/>
    <cellStyle name="Normal 2 4 2 3 2 3 4 3 4" xfId="14368" xr:uid="{E99ECE06-620A-4C42-B9D6-89F83060D5F1}"/>
    <cellStyle name="Normal 2 4 2 3 2 3 4 4" xfId="27039" xr:uid="{F4E12F82-F1F7-4453-9CE0-024B43E49F77}"/>
    <cellStyle name="Normal 2 4 2 3 2 3 4 5" xfId="18598" xr:uid="{6F475B4C-7BDD-4EB7-8A5B-67E3BDF8069D}"/>
    <cellStyle name="Normal 2 4 2 3 2 3 4 6" xfId="10150" xr:uid="{3D4A51F1-D81D-4B51-9212-3DB55CE9E685}"/>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33815" xr:uid="{20FD942E-4E50-447F-A260-533BF881737C}"/>
    <cellStyle name="Normal 2 4 2 3 2 3 5 2 2 3" xfId="25374" xr:uid="{C1BCFED1-7E6B-4ED9-A2CF-907F123D8EA4}"/>
    <cellStyle name="Normal 2 4 2 3 2 3 5 2 2 4" xfId="16926" xr:uid="{B20F7657-7BB5-4586-8C3C-CDFEFEDB9B3D}"/>
    <cellStyle name="Normal 2 4 2 3 2 3 5 2 3" xfId="29597" xr:uid="{E55232D9-F0B9-4146-8285-932648F21A28}"/>
    <cellStyle name="Normal 2 4 2 3 2 3 5 2 4" xfId="21156" xr:uid="{A38036F0-3F4D-4FB7-80FC-F09957285270}"/>
    <cellStyle name="Normal 2 4 2 3 2 3 5 2 5" xfId="12708" xr:uid="{6C52EADA-FF63-4C7B-8A4D-ADB16F2FE2B2}"/>
    <cellStyle name="Normal 2 4 2 3 2 3 5 3" xfId="6331" xr:uid="{00000000-0005-0000-0000-0000D10E0000}"/>
    <cellStyle name="Normal 2 4 2 3 2 3 5 3 2" xfId="31670" xr:uid="{E2E016DB-5415-48FF-B61C-1B23949506FA}"/>
    <cellStyle name="Normal 2 4 2 3 2 3 5 3 3" xfId="23229" xr:uid="{798E40C6-CCA4-4ECC-B333-9FED9DBD6721}"/>
    <cellStyle name="Normal 2 4 2 3 2 3 5 3 4" xfId="14781" xr:uid="{2E3ED07A-2344-4651-A86F-6784C6061D5D}"/>
    <cellStyle name="Normal 2 4 2 3 2 3 5 4" xfId="27452" xr:uid="{5224F431-A89A-4368-BAC6-2BED7FBB6F5E}"/>
    <cellStyle name="Normal 2 4 2 3 2 3 5 5" xfId="19011" xr:uid="{531B34E3-F8E2-4765-BDFB-59B8062CA175}"/>
    <cellStyle name="Normal 2 4 2 3 2 3 5 6" xfId="10563" xr:uid="{D9028368-7451-4B0E-9F42-EA2ACC5493EE}"/>
    <cellStyle name="Normal 2 4 2 3 2 3 6" xfId="2461" xr:uid="{00000000-0005-0000-0000-0000D20E0000}"/>
    <cellStyle name="Normal 2 4 2 3 2 3 6 2" xfId="6744" xr:uid="{00000000-0005-0000-0000-0000D30E0000}"/>
    <cellStyle name="Normal 2 4 2 3 2 3 6 2 2" xfId="32083" xr:uid="{AA45ADA9-0146-44E6-BA31-8E529195992D}"/>
    <cellStyle name="Normal 2 4 2 3 2 3 6 2 3" xfId="23642" xr:uid="{0075DA96-0684-45C8-AA6E-805C77A33F63}"/>
    <cellStyle name="Normal 2 4 2 3 2 3 6 2 4" xfId="15194" xr:uid="{24BA2760-D926-4849-AC42-5C9A50711BCF}"/>
    <cellStyle name="Normal 2 4 2 3 2 3 6 3" xfId="27865" xr:uid="{4DFF3CE7-457B-4B1A-9DA6-053CAC0472BF}"/>
    <cellStyle name="Normal 2 4 2 3 2 3 6 4" xfId="19424" xr:uid="{254FFC19-EB2E-477F-8DDE-EA1C805FF2F1}"/>
    <cellStyle name="Normal 2 4 2 3 2 3 6 5" xfId="10976" xr:uid="{B9878244-0398-4557-AF16-177DDFE7432D}"/>
    <cellStyle name="Normal 2 4 2 3 2 3 7" xfId="4678" xr:uid="{00000000-0005-0000-0000-0000D40E0000}"/>
    <cellStyle name="Normal 2 4 2 3 2 3 7 2" xfId="30017" xr:uid="{74C7EE9A-989C-4CC9-BEAC-8FED4A585381}"/>
    <cellStyle name="Normal 2 4 2 3 2 3 7 3" xfId="21576" xr:uid="{0E529271-047A-4AEB-83C6-B339AB211EEA}"/>
    <cellStyle name="Normal 2 4 2 3 2 3 7 4" xfId="13128" xr:uid="{BB191D2C-8DBA-4F5A-8922-F41390589EAD}"/>
    <cellStyle name="Normal 2 4 2 3 2 3 8" xfId="25799" xr:uid="{871FC414-C217-4793-B198-E4B816606DEF}"/>
    <cellStyle name="Normal 2 4 2 3 2 3 9" xfId="17358" xr:uid="{3E349B11-BAD6-4130-9ACD-9201412965C7}"/>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32573" xr:uid="{EC09429F-D163-4D9F-B98C-6F488530CE77}"/>
    <cellStyle name="Normal 2 4 2 3 2 4 2 2 3" xfId="24132" xr:uid="{5B04F2B7-2011-4F29-AE30-E9A0751DB39F}"/>
    <cellStyle name="Normal 2 4 2 3 2 4 2 2 4" xfId="15684" xr:uid="{3C1D51E7-D4DC-4A14-8D17-FB163E889399}"/>
    <cellStyle name="Normal 2 4 2 3 2 4 2 3" xfId="28355" xr:uid="{872CA4C8-0F54-4A8E-92EE-CF67DA1781EA}"/>
    <cellStyle name="Normal 2 4 2 3 2 4 2 4" xfId="19914" xr:uid="{239802A2-A404-4CE8-ABC4-19E6D8DD4C8C}"/>
    <cellStyle name="Normal 2 4 2 3 2 4 2 5" xfId="11466" xr:uid="{D327EC76-18FE-4F3D-A18A-C93AC73F7060}"/>
    <cellStyle name="Normal 2 4 2 3 2 4 3" xfId="5089" xr:uid="{00000000-0005-0000-0000-0000D80E0000}"/>
    <cellStyle name="Normal 2 4 2 3 2 4 3 2" xfId="30428" xr:uid="{E2841A9D-6D67-42C1-901B-DAEB83B972D3}"/>
    <cellStyle name="Normal 2 4 2 3 2 4 3 3" xfId="21987" xr:uid="{70C21E52-4F17-42C5-8946-52B44991549B}"/>
    <cellStyle name="Normal 2 4 2 3 2 4 3 4" xfId="13539" xr:uid="{56BFC963-AE33-4E0B-AA44-A09E15022A04}"/>
    <cellStyle name="Normal 2 4 2 3 2 4 4" xfId="26210" xr:uid="{2FB79AE6-7434-43F9-ABB3-7FBF5D7A4ED0}"/>
    <cellStyle name="Normal 2 4 2 3 2 4 5" xfId="17769" xr:uid="{92275AC5-4739-433F-B431-9BC53EA828CC}"/>
    <cellStyle name="Normal 2 4 2 3 2 4 6" xfId="9321" xr:uid="{B2B4C7BD-E99E-4182-81FB-C6D39BE59CDF}"/>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32986" xr:uid="{0B498280-85F0-4DD9-AC76-FCD41B82BA8E}"/>
    <cellStyle name="Normal 2 4 2 3 2 5 2 2 3" xfId="24545" xr:uid="{139AA569-530E-4774-96B8-22E9539E4883}"/>
    <cellStyle name="Normal 2 4 2 3 2 5 2 2 4" xfId="16097" xr:uid="{B653937B-059F-47D0-8B3C-96F53658AD70}"/>
    <cellStyle name="Normal 2 4 2 3 2 5 2 3" xfId="28768" xr:uid="{BB23C902-3679-40D3-A316-1A09452A37F0}"/>
    <cellStyle name="Normal 2 4 2 3 2 5 2 4" xfId="20327" xr:uid="{4DEA149C-5E49-44CC-8BFD-48553FCAC744}"/>
    <cellStyle name="Normal 2 4 2 3 2 5 2 5" xfId="11879" xr:uid="{F09A5C18-B133-4A6E-AED4-655CC68F4136}"/>
    <cellStyle name="Normal 2 4 2 3 2 5 3" xfId="5502" xr:uid="{00000000-0005-0000-0000-0000DC0E0000}"/>
    <cellStyle name="Normal 2 4 2 3 2 5 3 2" xfId="30841" xr:uid="{5F7DF785-2E15-4EF3-B44E-0ED180CCAD85}"/>
    <cellStyle name="Normal 2 4 2 3 2 5 3 3" xfId="22400" xr:uid="{EC14AE05-105A-4375-B0F2-91A93076DDEE}"/>
    <cellStyle name="Normal 2 4 2 3 2 5 3 4" xfId="13952" xr:uid="{0F1234AA-5F58-489E-91AD-A136620DD91E}"/>
    <cellStyle name="Normal 2 4 2 3 2 5 4" xfId="26623" xr:uid="{F27B8BA4-AC10-4D8D-9275-BCD671A9927C}"/>
    <cellStyle name="Normal 2 4 2 3 2 5 5" xfId="18182" xr:uid="{325FCBBF-C06C-4A66-B4EA-2D605551C335}"/>
    <cellStyle name="Normal 2 4 2 3 2 5 6" xfId="9734" xr:uid="{717D89BA-8C3E-4D01-B327-D0949F390A73}"/>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33399" xr:uid="{71E2A274-C245-47BF-9E48-7DFC29AEBE0E}"/>
    <cellStyle name="Normal 2 4 2 3 2 6 2 2 3" xfId="24958" xr:uid="{27DD22EB-3B44-416B-955F-60AA791965B3}"/>
    <cellStyle name="Normal 2 4 2 3 2 6 2 2 4" xfId="16510" xr:uid="{4D2BB1AD-5D20-4393-918C-581A94C378B6}"/>
    <cellStyle name="Normal 2 4 2 3 2 6 2 3" xfId="29181" xr:uid="{BA37A09A-3600-4C68-82D7-C576BB741FEB}"/>
    <cellStyle name="Normal 2 4 2 3 2 6 2 4" xfId="20740" xr:uid="{6E30CFE4-7455-4F6A-AFF1-3DF076FFD6FE}"/>
    <cellStyle name="Normal 2 4 2 3 2 6 2 5" xfId="12292" xr:uid="{97EEF988-5D5C-437E-90EC-F4CC508EE086}"/>
    <cellStyle name="Normal 2 4 2 3 2 6 3" xfId="5915" xr:uid="{00000000-0005-0000-0000-0000E00E0000}"/>
    <cellStyle name="Normal 2 4 2 3 2 6 3 2" xfId="31254" xr:uid="{27326C2C-CA65-4930-AAAC-AC4D80953B5A}"/>
    <cellStyle name="Normal 2 4 2 3 2 6 3 3" xfId="22813" xr:uid="{F5F34C18-904F-4687-B87A-7B274F149FF1}"/>
    <cellStyle name="Normal 2 4 2 3 2 6 3 4" xfId="14365" xr:uid="{8244AE75-0B9D-4712-AA2F-AFE138EF3AFE}"/>
    <cellStyle name="Normal 2 4 2 3 2 6 4" xfId="27036" xr:uid="{E0B2C86B-4769-45E8-9C91-9FB956470F3A}"/>
    <cellStyle name="Normal 2 4 2 3 2 6 5" xfId="18595" xr:uid="{8B6BB397-7620-4504-89B6-64E4AA6F6D95}"/>
    <cellStyle name="Normal 2 4 2 3 2 6 6" xfId="10147" xr:uid="{C4DC95B2-8C05-4F0D-8469-58BBA405F236}"/>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33812" xr:uid="{89524178-B08A-4864-B98B-23B2EE5FF17D}"/>
    <cellStyle name="Normal 2 4 2 3 2 7 2 2 3" xfId="25371" xr:uid="{FCF6FC84-33B4-4B40-AF32-C03BB5AFB225}"/>
    <cellStyle name="Normal 2 4 2 3 2 7 2 2 4" xfId="16923" xr:uid="{811E4F0E-3DB7-4126-A05B-29CC133DB02E}"/>
    <cellStyle name="Normal 2 4 2 3 2 7 2 3" xfId="29594" xr:uid="{65653DFD-9830-4458-9DFB-30E8A5E6AB61}"/>
    <cellStyle name="Normal 2 4 2 3 2 7 2 4" xfId="21153" xr:uid="{07875DA1-01CE-4DCC-9364-D4BDA5B8FADF}"/>
    <cellStyle name="Normal 2 4 2 3 2 7 2 5" xfId="12705" xr:uid="{5B244B12-4558-4736-A6BE-17AFF3F8743F}"/>
    <cellStyle name="Normal 2 4 2 3 2 7 3" xfId="6328" xr:uid="{00000000-0005-0000-0000-0000E40E0000}"/>
    <cellStyle name="Normal 2 4 2 3 2 7 3 2" xfId="31667" xr:uid="{A637BEB4-136B-460F-BED0-824C1ABADD2D}"/>
    <cellStyle name="Normal 2 4 2 3 2 7 3 3" xfId="23226" xr:uid="{A4959D21-07B2-4FD0-BAC2-0D59CA3E6C67}"/>
    <cellStyle name="Normal 2 4 2 3 2 7 3 4" xfId="14778" xr:uid="{6A74C99A-D7DF-406E-A81D-FB3B0E9441D9}"/>
    <cellStyle name="Normal 2 4 2 3 2 7 4" xfId="27449" xr:uid="{B2E5576C-A9DE-437C-AD1F-D978D63B3E8F}"/>
    <cellStyle name="Normal 2 4 2 3 2 7 5" xfId="19008" xr:uid="{58F815B6-0E0F-4D50-94D8-F038D2CC1A96}"/>
    <cellStyle name="Normal 2 4 2 3 2 7 6" xfId="10560" xr:uid="{1D4F61B3-90F0-4960-9D80-1D3A1FB9C8D5}"/>
    <cellStyle name="Normal 2 4 2 3 2 8" xfId="2458" xr:uid="{00000000-0005-0000-0000-0000E50E0000}"/>
    <cellStyle name="Normal 2 4 2 3 2 8 2" xfId="6741" xr:uid="{00000000-0005-0000-0000-0000E60E0000}"/>
    <cellStyle name="Normal 2 4 2 3 2 8 2 2" xfId="32080" xr:uid="{8402DD55-5D57-4565-A06E-0B08BF4259AC}"/>
    <cellStyle name="Normal 2 4 2 3 2 8 2 3" xfId="23639" xr:uid="{564455AC-EAED-4B0E-8120-8BDAD1657160}"/>
    <cellStyle name="Normal 2 4 2 3 2 8 2 4" xfId="15191" xr:uid="{E4B7E9E1-AA62-42DF-9D8F-D5BBA5EA5CDB}"/>
    <cellStyle name="Normal 2 4 2 3 2 8 3" xfId="27862" xr:uid="{4DE49E70-0CA3-4502-9CDB-E5717789F7DF}"/>
    <cellStyle name="Normal 2 4 2 3 2 8 4" xfId="19421" xr:uid="{B60D5E11-8BD6-4104-A157-1D4698DBF329}"/>
    <cellStyle name="Normal 2 4 2 3 2 8 5" xfId="10973" xr:uid="{10328496-A7DA-4280-8B0D-72B26954F33A}"/>
    <cellStyle name="Normal 2 4 2 3 2 9" xfId="4675" xr:uid="{00000000-0005-0000-0000-0000E70E0000}"/>
    <cellStyle name="Normal 2 4 2 3 2 9 2" xfId="30014" xr:uid="{614EF2B3-C885-482B-808E-F139B4F05DF5}"/>
    <cellStyle name="Normal 2 4 2 3 2 9 3" xfId="21573" xr:uid="{6FFF1A84-EEF5-456B-AF3A-4D267D166039}"/>
    <cellStyle name="Normal 2 4 2 3 2 9 4" xfId="13125" xr:uid="{9D4E376B-840D-4469-8B41-C682B4DBF776}"/>
    <cellStyle name="Normal 2 4 2 3 3" xfId="286" xr:uid="{00000000-0005-0000-0000-0000E80E0000}"/>
    <cellStyle name="Normal 2 4 2 3 3 10" xfId="17359" xr:uid="{2369CA95-BF93-4D0B-BCDD-A32707C1C0F4}"/>
    <cellStyle name="Normal 2 4 2 3 3 11" xfId="8911" xr:uid="{1D8BFCAC-9BE0-4361-AAC4-5B015CEFEB35}"/>
    <cellStyle name="Normal 2 4 2 3 3 2" xfId="287" xr:uid="{00000000-0005-0000-0000-0000E90E0000}"/>
    <cellStyle name="Normal 2 4 2 3 3 2 10" xfId="8912" xr:uid="{8EE33760-1FA8-464D-802B-EFDADC39A16A}"/>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32578" xr:uid="{453B165F-2E5C-4190-9FD2-CF98532DCA87}"/>
    <cellStyle name="Normal 2 4 2 3 3 2 2 2 2 3" xfId="24137" xr:uid="{70F4EDDC-4381-48C9-AC5E-B22BA8718BFA}"/>
    <cellStyle name="Normal 2 4 2 3 3 2 2 2 2 4" xfId="15689" xr:uid="{0943C15A-F449-413B-94E8-65A29896DDDA}"/>
    <cellStyle name="Normal 2 4 2 3 3 2 2 2 3" xfId="28360" xr:uid="{C6064A9B-CA6E-44A7-B6E2-D3E17E1B2087}"/>
    <cellStyle name="Normal 2 4 2 3 3 2 2 2 4" xfId="19919" xr:uid="{A3889EED-985F-4B33-8320-8995FE8EF4D3}"/>
    <cellStyle name="Normal 2 4 2 3 3 2 2 2 5" xfId="11471" xr:uid="{B06E7EC2-EB76-4D4D-816B-E05B8C75E600}"/>
    <cellStyle name="Normal 2 4 2 3 3 2 2 3" xfId="5094" xr:uid="{00000000-0005-0000-0000-0000ED0E0000}"/>
    <cellStyle name="Normal 2 4 2 3 3 2 2 3 2" xfId="30433" xr:uid="{BB4EDA29-567C-4F7F-9C04-E2650B7279FE}"/>
    <cellStyle name="Normal 2 4 2 3 3 2 2 3 3" xfId="21992" xr:uid="{8392241C-8A79-45A2-955A-89B6957BD2F5}"/>
    <cellStyle name="Normal 2 4 2 3 3 2 2 3 4" xfId="13544" xr:uid="{CBA4D94E-3B86-4617-939F-6855BD7A5D1D}"/>
    <cellStyle name="Normal 2 4 2 3 3 2 2 4" xfId="26215" xr:uid="{D77377E9-B597-47E7-A3DD-587735D7A35B}"/>
    <cellStyle name="Normal 2 4 2 3 3 2 2 5" xfId="17774" xr:uid="{C2415AE4-F3D9-4327-B33C-E2DD5DB2EE91}"/>
    <cellStyle name="Normal 2 4 2 3 3 2 2 6" xfId="9326" xr:uid="{8E637CC5-7857-4FD8-A611-66085809317B}"/>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32991" xr:uid="{588DC11C-B560-436A-8799-DB40433E6D6B}"/>
    <cellStyle name="Normal 2 4 2 3 3 2 3 2 2 3" xfId="24550" xr:uid="{726451AB-7F4E-41D5-A4AC-6B74FF1FB5D6}"/>
    <cellStyle name="Normal 2 4 2 3 3 2 3 2 2 4" xfId="16102" xr:uid="{1ABDBD46-2DDD-4077-9A21-8D11C377FBDA}"/>
    <cellStyle name="Normal 2 4 2 3 3 2 3 2 3" xfId="28773" xr:uid="{AB280CED-EC54-453A-B54E-54EC7CF6ED70}"/>
    <cellStyle name="Normal 2 4 2 3 3 2 3 2 4" xfId="20332" xr:uid="{19B49CA3-F61F-45BA-AA66-01037E16E400}"/>
    <cellStyle name="Normal 2 4 2 3 3 2 3 2 5" xfId="11884" xr:uid="{3C95E76E-D90D-4FD3-9515-B8FDA6C90F2B}"/>
    <cellStyle name="Normal 2 4 2 3 3 2 3 3" xfId="5507" xr:uid="{00000000-0005-0000-0000-0000F10E0000}"/>
    <cellStyle name="Normal 2 4 2 3 3 2 3 3 2" xfId="30846" xr:uid="{84C0168B-B917-4DF9-BBD9-D5F25C334648}"/>
    <cellStyle name="Normal 2 4 2 3 3 2 3 3 3" xfId="22405" xr:uid="{35681771-7BE4-4FFF-A7BA-C2E2AF99B352}"/>
    <cellStyle name="Normal 2 4 2 3 3 2 3 3 4" xfId="13957" xr:uid="{D181082E-26DC-4B25-A6E6-8CDCC6988AF4}"/>
    <cellStyle name="Normal 2 4 2 3 3 2 3 4" xfId="26628" xr:uid="{36CC67CC-B15B-4AE7-93F2-686DAE590C04}"/>
    <cellStyle name="Normal 2 4 2 3 3 2 3 5" xfId="18187" xr:uid="{BE08369F-BE20-4C02-A967-27AAF8400C86}"/>
    <cellStyle name="Normal 2 4 2 3 3 2 3 6" xfId="9739" xr:uid="{DF355B43-4399-4B73-A930-C4CF254DF4BF}"/>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33404" xr:uid="{BACB2E7F-25F1-45F1-A3BD-5F9221CF42F7}"/>
    <cellStyle name="Normal 2 4 2 3 3 2 4 2 2 3" xfId="24963" xr:uid="{A77BDC5E-5C5D-4D0D-A598-1FF47CBFCB11}"/>
    <cellStyle name="Normal 2 4 2 3 3 2 4 2 2 4" xfId="16515" xr:uid="{D0FD69F7-12A9-4E69-9482-53FBD3CB4529}"/>
    <cellStyle name="Normal 2 4 2 3 3 2 4 2 3" xfId="29186" xr:uid="{8C780BCD-ED15-4091-A39B-3DC8CE67BC27}"/>
    <cellStyle name="Normal 2 4 2 3 3 2 4 2 4" xfId="20745" xr:uid="{6B708C0D-D679-41FD-A514-75BD4777039A}"/>
    <cellStyle name="Normal 2 4 2 3 3 2 4 2 5" xfId="12297" xr:uid="{1FBCBD97-AF95-425C-9FA0-E98367FB1C45}"/>
    <cellStyle name="Normal 2 4 2 3 3 2 4 3" xfId="5920" xr:uid="{00000000-0005-0000-0000-0000F50E0000}"/>
    <cellStyle name="Normal 2 4 2 3 3 2 4 3 2" xfId="31259" xr:uid="{4CA39C20-6062-4856-9226-7BE4ABD3590C}"/>
    <cellStyle name="Normal 2 4 2 3 3 2 4 3 3" xfId="22818" xr:uid="{F4F45CE1-7040-4D3D-8D24-E4C3BA242714}"/>
    <cellStyle name="Normal 2 4 2 3 3 2 4 3 4" xfId="14370" xr:uid="{8D8F81BA-0A7A-46CC-9A37-EA7DFA6C1F4C}"/>
    <cellStyle name="Normal 2 4 2 3 3 2 4 4" xfId="27041" xr:uid="{9596F56E-41F9-4907-B783-7422039C6B37}"/>
    <cellStyle name="Normal 2 4 2 3 3 2 4 5" xfId="18600" xr:uid="{482DD81B-1B78-460D-9393-F96EAF8BAA56}"/>
    <cellStyle name="Normal 2 4 2 3 3 2 4 6" xfId="10152" xr:uid="{10465ED6-01F6-4033-9537-5AB4B00750BC}"/>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33817" xr:uid="{9AFDAF82-10F0-452C-9373-1234BA4EA65C}"/>
    <cellStyle name="Normal 2 4 2 3 3 2 5 2 2 3" xfId="25376" xr:uid="{9A636398-4F1F-42F5-85E5-95965689C9B7}"/>
    <cellStyle name="Normal 2 4 2 3 3 2 5 2 2 4" xfId="16928" xr:uid="{059739C6-93CD-4D0D-ACAC-B47A582BCF4C}"/>
    <cellStyle name="Normal 2 4 2 3 3 2 5 2 3" xfId="29599" xr:uid="{27D931BE-3008-45F6-8EB2-7AEA2551FDF1}"/>
    <cellStyle name="Normal 2 4 2 3 3 2 5 2 4" xfId="21158" xr:uid="{F9887388-29D8-4F95-B140-E30F1BC94750}"/>
    <cellStyle name="Normal 2 4 2 3 3 2 5 2 5" xfId="12710" xr:uid="{3FEDC1C3-AB9D-476C-A47C-1610D037BA36}"/>
    <cellStyle name="Normal 2 4 2 3 3 2 5 3" xfId="6333" xr:uid="{00000000-0005-0000-0000-0000F90E0000}"/>
    <cellStyle name="Normal 2 4 2 3 3 2 5 3 2" xfId="31672" xr:uid="{155F6355-3DB7-48C8-9F49-92DF7C73E71A}"/>
    <cellStyle name="Normal 2 4 2 3 3 2 5 3 3" xfId="23231" xr:uid="{E9BF52C9-B0A6-4B89-A8AF-9E32720E7179}"/>
    <cellStyle name="Normal 2 4 2 3 3 2 5 3 4" xfId="14783" xr:uid="{E120EEC7-7EE3-4A07-B43F-7C023BE58B1D}"/>
    <cellStyle name="Normal 2 4 2 3 3 2 5 4" xfId="27454" xr:uid="{0B3F9746-DEE8-421E-85B8-0CB13EB682F2}"/>
    <cellStyle name="Normal 2 4 2 3 3 2 5 5" xfId="19013" xr:uid="{C824278E-D7EC-495E-868C-AD0A8ECE808B}"/>
    <cellStyle name="Normal 2 4 2 3 3 2 5 6" xfId="10565" xr:uid="{8E7405DB-59A9-40D9-BCE6-75282061BFBF}"/>
    <cellStyle name="Normal 2 4 2 3 3 2 6" xfId="2463" xr:uid="{00000000-0005-0000-0000-0000FA0E0000}"/>
    <cellStyle name="Normal 2 4 2 3 3 2 6 2" xfId="6746" xr:uid="{00000000-0005-0000-0000-0000FB0E0000}"/>
    <cellStyle name="Normal 2 4 2 3 3 2 6 2 2" xfId="32085" xr:uid="{D2E91790-68EA-4178-913C-E6A22D1D9DE3}"/>
    <cellStyle name="Normal 2 4 2 3 3 2 6 2 3" xfId="23644" xr:uid="{9317841F-E475-4C1B-9127-1E3BA23BD628}"/>
    <cellStyle name="Normal 2 4 2 3 3 2 6 2 4" xfId="15196" xr:uid="{8A15C719-84C5-4C3F-A2CB-CA31FEBED9EB}"/>
    <cellStyle name="Normal 2 4 2 3 3 2 6 3" xfId="27867" xr:uid="{0FAB4D33-902C-4B91-AEC7-14D728F107DB}"/>
    <cellStyle name="Normal 2 4 2 3 3 2 6 4" xfId="19426" xr:uid="{447BDC6A-CE9D-42F0-AE96-813A2FF5C3DF}"/>
    <cellStyle name="Normal 2 4 2 3 3 2 6 5" xfId="10978" xr:uid="{90C4D350-343E-467A-89FA-8C5F9F1738B3}"/>
    <cellStyle name="Normal 2 4 2 3 3 2 7" xfId="4680" xr:uid="{00000000-0005-0000-0000-0000FC0E0000}"/>
    <cellStyle name="Normal 2 4 2 3 3 2 7 2" xfId="30019" xr:uid="{8C5DDAB1-60AA-4681-B683-02C78C0F9ED4}"/>
    <cellStyle name="Normal 2 4 2 3 3 2 7 3" xfId="21578" xr:uid="{2DE0979A-C449-4F74-B6DA-1C86C44DF01F}"/>
    <cellStyle name="Normal 2 4 2 3 3 2 7 4" xfId="13130" xr:uid="{92CE2224-1F1C-4D86-B68D-D198506AF0F0}"/>
    <cellStyle name="Normal 2 4 2 3 3 2 8" xfId="25801" xr:uid="{946A668A-65BA-4EE2-84AE-B7A4CF904F8E}"/>
    <cellStyle name="Normal 2 4 2 3 3 2 9" xfId="17360" xr:uid="{5BA8B8B6-52EB-4F95-A790-B6F31A51FE42}"/>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32577" xr:uid="{86B58BF4-A872-406F-8472-998E05D29BA2}"/>
    <cellStyle name="Normal 2 4 2 3 3 3 2 2 3" xfId="24136" xr:uid="{6A91493A-479B-4818-A3D3-ED77A85EBF59}"/>
    <cellStyle name="Normal 2 4 2 3 3 3 2 2 4" xfId="15688" xr:uid="{ABD6494D-E2F5-4722-B441-F115AD0D5F3C}"/>
    <cellStyle name="Normal 2 4 2 3 3 3 2 3" xfId="28359" xr:uid="{B3D6FF5F-4A02-4E0C-92ED-417B2460EAFE}"/>
    <cellStyle name="Normal 2 4 2 3 3 3 2 4" xfId="19918" xr:uid="{F05E7F55-13B2-42AD-B683-2202DA5358AD}"/>
    <cellStyle name="Normal 2 4 2 3 3 3 2 5" xfId="11470" xr:uid="{0045F9F1-AA9C-4512-9570-BCCC6032D2DA}"/>
    <cellStyle name="Normal 2 4 2 3 3 3 3" xfId="5093" xr:uid="{00000000-0005-0000-0000-0000000F0000}"/>
    <cellStyle name="Normal 2 4 2 3 3 3 3 2" xfId="30432" xr:uid="{FF786C56-BBFB-4536-93EB-EAEE835D0742}"/>
    <cellStyle name="Normal 2 4 2 3 3 3 3 3" xfId="21991" xr:uid="{0568C3D1-4C42-4F4C-A9DC-9BB498461032}"/>
    <cellStyle name="Normal 2 4 2 3 3 3 3 4" xfId="13543" xr:uid="{3041B130-8705-4729-A6FC-26A48A44330C}"/>
    <cellStyle name="Normal 2 4 2 3 3 3 4" xfId="26214" xr:uid="{480A0582-768C-42AA-84DE-FB0A3F635BB5}"/>
    <cellStyle name="Normal 2 4 2 3 3 3 5" xfId="17773" xr:uid="{49E315C5-41B1-4692-B01C-49F929C41427}"/>
    <cellStyle name="Normal 2 4 2 3 3 3 6" xfId="9325" xr:uid="{A0E5692D-0C7B-426C-9D13-B5C650703674}"/>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32990" xr:uid="{5AEB6029-1AB6-4E8F-9F52-5F4664E1EB65}"/>
    <cellStyle name="Normal 2 4 2 3 3 4 2 2 3" xfId="24549" xr:uid="{2D5EB12A-9146-4621-97A5-EDD41EE11FB8}"/>
    <cellStyle name="Normal 2 4 2 3 3 4 2 2 4" xfId="16101" xr:uid="{EB82BCEE-21B5-4DCB-BFE3-13F1180CFBD2}"/>
    <cellStyle name="Normal 2 4 2 3 3 4 2 3" xfId="28772" xr:uid="{E9A5988A-72D0-43DA-A2C1-86EF78E20851}"/>
    <cellStyle name="Normal 2 4 2 3 3 4 2 4" xfId="20331" xr:uid="{4C3E4819-AD14-4DD1-B0BD-3724194F3D30}"/>
    <cellStyle name="Normal 2 4 2 3 3 4 2 5" xfId="11883" xr:uid="{66D7E251-95C6-4C03-BB2D-0779CA85CF88}"/>
    <cellStyle name="Normal 2 4 2 3 3 4 3" xfId="5506" xr:uid="{00000000-0005-0000-0000-0000040F0000}"/>
    <cellStyle name="Normal 2 4 2 3 3 4 3 2" xfId="30845" xr:uid="{151E180A-DC96-43A9-8BB3-633E8890FFF6}"/>
    <cellStyle name="Normal 2 4 2 3 3 4 3 3" xfId="22404" xr:uid="{E0676010-172D-4298-B63B-11BB97620866}"/>
    <cellStyle name="Normal 2 4 2 3 3 4 3 4" xfId="13956" xr:uid="{0BF9C81D-8288-4186-B78E-F03968B0C659}"/>
    <cellStyle name="Normal 2 4 2 3 3 4 4" xfId="26627" xr:uid="{C9A614CB-0959-4229-92EF-2E66A9F04881}"/>
    <cellStyle name="Normal 2 4 2 3 3 4 5" xfId="18186" xr:uid="{5A750B07-96FA-472D-8B16-438BACC36607}"/>
    <cellStyle name="Normal 2 4 2 3 3 4 6" xfId="9738" xr:uid="{87DF9CAC-7A05-453D-B3C9-D7FBBEC4ADEC}"/>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33403" xr:uid="{BC29C66E-9B3D-4196-A49C-2B6D383A44A2}"/>
    <cellStyle name="Normal 2 4 2 3 3 5 2 2 3" xfId="24962" xr:uid="{A25CD0CF-6076-4899-ADEE-975B36E392CF}"/>
    <cellStyle name="Normal 2 4 2 3 3 5 2 2 4" xfId="16514" xr:uid="{AF07CE95-5253-416D-B7C3-27D165ED3041}"/>
    <cellStyle name="Normal 2 4 2 3 3 5 2 3" xfId="29185" xr:uid="{554656DC-C889-4DF8-894C-30FA9FA99E15}"/>
    <cellStyle name="Normal 2 4 2 3 3 5 2 4" xfId="20744" xr:uid="{1E63BF7C-6418-4554-AA59-A3DE9F96ADC2}"/>
    <cellStyle name="Normal 2 4 2 3 3 5 2 5" xfId="12296" xr:uid="{E629EA7A-8F43-466B-972B-5E99794B08CA}"/>
    <cellStyle name="Normal 2 4 2 3 3 5 3" xfId="5919" xr:uid="{00000000-0005-0000-0000-0000080F0000}"/>
    <cellStyle name="Normal 2 4 2 3 3 5 3 2" xfId="31258" xr:uid="{6C6D61F6-13E3-4987-ADAD-44F6D7C8B882}"/>
    <cellStyle name="Normal 2 4 2 3 3 5 3 3" xfId="22817" xr:uid="{15341A61-5072-41EE-8773-37C5AEC59A3E}"/>
    <cellStyle name="Normal 2 4 2 3 3 5 3 4" xfId="14369" xr:uid="{4AEBC1D4-F9CF-42A7-BB41-B73D73077651}"/>
    <cellStyle name="Normal 2 4 2 3 3 5 4" xfId="27040" xr:uid="{011E9D79-AE25-4312-AE4E-7FA4B221B38A}"/>
    <cellStyle name="Normal 2 4 2 3 3 5 5" xfId="18599" xr:uid="{E1DCB323-F709-4CAA-8828-CA2179D295D1}"/>
    <cellStyle name="Normal 2 4 2 3 3 5 6" xfId="10151" xr:uid="{3DD07AFC-FFEC-4D48-88CB-B038B35C7E9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33816" xr:uid="{0BA48AA7-A091-4BF2-8121-8E659B4BA3D5}"/>
    <cellStyle name="Normal 2 4 2 3 3 6 2 2 3" xfId="25375" xr:uid="{3A0E3017-BF87-42D8-841E-95A9678F1E9C}"/>
    <cellStyle name="Normal 2 4 2 3 3 6 2 2 4" xfId="16927" xr:uid="{57A16141-D48D-40C3-81C7-07BD4D1BBE43}"/>
    <cellStyle name="Normal 2 4 2 3 3 6 2 3" xfId="29598" xr:uid="{57A82DB0-24E0-45A8-84D0-581809255F68}"/>
    <cellStyle name="Normal 2 4 2 3 3 6 2 4" xfId="21157" xr:uid="{10AF75C2-35FD-4F22-830D-7E8D4CF06E62}"/>
    <cellStyle name="Normal 2 4 2 3 3 6 2 5" xfId="12709" xr:uid="{A5237AC2-A1A2-4857-BAC4-53A130B1793B}"/>
    <cellStyle name="Normal 2 4 2 3 3 6 3" xfId="6332" xr:uid="{00000000-0005-0000-0000-00000C0F0000}"/>
    <cellStyle name="Normal 2 4 2 3 3 6 3 2" xfId="31671" xr:uid="{6C10AD2C-CE5F-4336-9556-FC93DA10F616}"/>
    <cellStyle name="Normal 2 4 2 3 3 6 3 3" xfId="23230" xr:uid="{27FAC8D9-927E-403B-BA9B-EADC64B6A67C}"/>
    <cellStyle name="Normal 2 4 2 3 3 6 3 4" xfId="14782" xr:uid="{ABC629E4-4685-4A40-B427-345A571AF8C5}"/>
    <cellStyle name="Normal 2 4 2 3 3 6 4" xfId="27453" xr:uid="{04DFD220-B4C8-4544-819D-594F065AFA3A}"/>
    <cellStyle name="Normal 2 4 2 3 3 6 5" xfId="19012" xr:uid="{898143A8-B541-485F-BDEC-9EAAC8B11FB6}"/>
    <cellStyle name="Normal 2 4 2 3 3 6 6" xfId="10564" xr:uid="{1BC3EEDE-B658-4575-B36A-8B6DC595107C}"/>
    <cellStyle name="Normal 2 4 2 3 3 7" xfId="2462" xr:uid="{00000000-0005-0000-0000-00000D0F0000}"/>
    <cellStyle name="Normal 2 4 2 3 3 7 2" xfId="6745" xr:uid="{00000000-0005-0000-0000-00000E0F0000}"/>
    <cellStyle name="Normal 2 4 2 3 3 7 2 2" xfId="32084" xr:uid="{5447A007-049A-46FA-B242-2B5EB6C007DC}"/>
    <cellStyle name="Normal 2 4 2 3 3 7 2 3" xfId="23643" xr:uid="{DC215479-81F1-4EC1-B265-221FC30C5BE8}"/>
    <cellStyle name="Normal 2 4 2 3 3 7 2 4" xfId="15195" xr:uid="{34C22E44-3C38-42FD-8A77-960BBB92D8CF}"/>
    <cellStyle name="Normal 2 4 2 3 3 7 3" xfId="27866" xr:uid="{1F0B524F-9056-46B5-A25E-A6497FC4AE8A}"/>
    <cellStyle name="Normal 2 4 2 3 3 7 4" xfId="19425" xr:uid="{5889D2FA-0551-419F-989F-26B9BCA7BFE1}"/>
    <cellStyle name="Normal 2 4 2 3 3 7 5" xfId="10977" xr:uid="{94DED1E0-2474-47EE-B985-061A02B0F349}"/>
    <cellStyle name="Normal 2 4 2 3 3 8" xfId="4679" xr:uid="{00000000-0005-0000-0000-00000F0F0000}"/>
    <cellStyle name="Normal 2 4 2 3 3 8 2" xfId="30018" xr:uid="{9FE3939C-A5C1-4EE1-97D5-37C887F4CEFD}"/>
    <cellStyle name="Normal 2 4 2 3 3 8 3" xfId="21577" xr:uid="{B9DB1091-1E0C-413F-AD08-1365C84E8766}"/>
    <cellStyle name="Normal 2 4 2 3 3 8 4" xfId="13129" xr:uid="{CC081B65-DA03-4F9D-84EF-F6F73211ED52}"/>
    <cellStyle name="Normal 2 4 2 3 3 9" xfId="25800" xr:uid="{11247FEE-DE02-483C-9B4A-0059633D9195}"/>
    <cellStyle name="Normal 2 4 2 3 4" xfId="288" xr:uid="{00000000-0005-0000-0000-0000100F0000}"/>
    <cellStyle name="Normal 2 4 2 3 4 10" xfId="8913" xr:uid="{22FA9992-0E23-472F-9AF8-173CECE31562}"/>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32579" xr:uid="{520A0357-C232-40E9-A606-3C1B727A05A8}"/>
    <cellStyle name="Normal 2 4 2 3 4 2 2 2 3" xfId="24138" xr:uid="{F98F3E8E-FC97-4E0D-8B86-0B5D15AC5DC7}"/>
    <cellStyle name="Normal 2 4 2 3 4 2 2 2 4" xfId="15690" xr:uid="{F0A085F3-66C5-4A48-B8D1-A8E410D0BE07}"/>
    <cellStyle name="Normal 2 4 2 3 4 2 2 3" xfId="28361" xr:uid="{DF3D5ED3-B2C7-4B37-94D7-53C989FD9E72}"/>
    <cellStyle name="Normal 2 4 2 3 4 2 2 4" xfId="19920" xr:uid="{F86E14E3-3D4D-4AA0-85D5-8DD2EFF7434E}"/>
    <cellStyle name="Normal 2 4 2 3 4 2 2 5" xfId="11472" xr:uid="{B3E04B25-B86B-41ED-A555-481DD21E8B89}"/>
    <cellStyle name="Normal 2 4 2 3 4 2 3" xfId="5095" xr:uid="{00000000-0005-0000-0000-0000140F0000}"/>
    <cellStyle name="Normal 2 4 2 3 4 2 3 2" xfId="30434" xr:uid="{7B1C3D5F-0036-4BBB-BF33-4CCC20D59CAC}"/>
    <cellStyle name="Normal 2 4 2 3 4 2 3 3" xfId="21993" xr:uid="{3C92B67D-DB86-4A78-82B6-22060DE0C2E9}"/>
    <cellStyle name="Normal 2 4 2 3 4 2 3 4" xfId="13545" xr:uid="{6EE45368-BAD9-41BA-8C88-EC7F92D65A95}"/>
    <cellStyle name="Normal 2 4 2 3 4 2 4" xfId="26216" xr:uid="{0DC028CD-E7D7-41C8-B76F-27F473E88D63}"/>
    <cellStyle name="Normal 2 4 2 3 4 2 5" xfId="17775" xr:uid="{D6090B68-8182-4AD4-8408-DBA520D8A3D3}"/>
    <cellStyle name="Normal 2 4 2 3 4 2 6" xfId="9327" xr:uid="{3F483FA7-01E7-4716-B968-13A9B8C6089D}"/>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32992" xr:uid="{4C6CC02A-310B-47FA-A9F4-B12DBEA8AD1F}"/>
    <cellStyle name="Normal 2 4 2 3 4 3 2 2 3" xfId="24551" xr:uid="{1BBD8F13-EE61-4BD5-85F4-B7BC47172C4B}"/>
    <cellStyle name="Normal 2 4 2 3 4 3 2 2 4" xfId="16103" xr:uid="{9339CF98-87B8-46B0-AF8C-D5061BC67E7B}"/>
    <cellStyle name="Normal 2 4 2 3 4 3 2 3" xfId="28774" xr:uid="{49E13E72-CA4C-4AA9-B9B9-B3994B71D381}"/>
    <cellStyle name="Normal 2 4 2 3 4 3 2 4" xfId="20333" xr:uid="{18D0D05A-491D-4D8B-8745-7FD96403B072}"/>
    <cellStyle name="Normal 2 4 2 3 4 3 2 5" xfId="11885" xr:uid="{36B99776-7CE0-45EB-97F0-C66B66327F47}"/>
    <cellStyle name="Normal 2 4 2 3 4 3 3" xfId="5508" xr:uid="{00000000-0005-0000-0000-0000180F0000}"/>
    <cellStyle name="Normal 2 4 2 3 4 3 3 2" xfId="30847" xr:uid="{2F4D3C25-78CE-4E88-878C-EA1ED7344331}"/>
    <cellStyle name="Normal 2 4 2 3 4 3 3 3" xfId="22406" xr:uid="{A8E6C1DA-B3C5-4297-AE6B-CDF8CAF762F9}"/>
    <cellStyle name="Normal 2 4 2 3 4 3 3 4" xfId="13958" xr:uid="{BF52973A-90C4-43DA-B339-150BA98BE4DB}"/>
    <cellStyle name="Normal 2 4 2 3 4 3 4" xfId="26629" xr:uid="{F5871B28-AD01-4F8F-B33D-736455D87850}"/>
    <cellStyle name="Normal 2 4 2 3 4 3 5" xfId="18188" xr:uid="{083864A8-0B4B-445B-9221-E50844317F34}"/>
    <cellStyle name="Normal 2 4 2 3 4 3 6" xfId="9740" xr:uid="{F6DBAE59-26E6-4BF7-8D90-5648E2BA6416}"/>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33405" xr:uid="{FA0336AC-6E56-416E-B1D2-12BAE7DC5C06}"/>
    <cellStyle name="Normal 2 4 2 3 4 4 2 2 3" xfId="24964" xr:uid="{C7370902-A808-4B99-BA6A-E8B914EEA5B8}"/>
    <cellStyle name="Normal 2 4 2 3 4 4 2 2 4" xfId="16516" xr:uid="{64030B24-57FF-4E53-A947-3CC01C68CF8C}"/>
    <cellStyle name="Normal 2 4 2 3 4 4 2 3" xfId="29187" xr:uid="{B3FD4CE8-885E-4222-AA50-B59038D7616C}"/>
    <cellStyle name="Normal 2 4 2 3 4 4 2 4" xfId="20746" xr:uid="{7E42D688-CD20-40C1-80F7-59448BF2A2E2}"/>
    <cellStyle name="Normal 2 4 2 3 4 4 2 5" xfId="12298" xr:uid="{BE4CB59A-7824-4098-B24C-C4A75316625A}"/>
    <cellStyle name="Normal 2 4 2 3 4 4 3" xfId="5921" xr:uid="{00000000-0005-0000-0000-00001C0F0000}"/>
    <cellStyle name="Normal 2 4 2 3 4 4 3 2" xfId="31260" xr:uid="{124E3BAE-D1A6-4F25-A415-593533715628}"/>
    <cellStyle name="Normal 2 4 2 3 4 4 3 3" xfId="22819" xr:uid="{C2B22A5A-8EBD-4E18-923D-72A1E25A897C}"/>
    <cellStyle name="Normal 2 4 2 3 4 4 3 4" xfId="14371" xr:uid="{EE1F606B-0048-4D1A-B4E9-6CA53A3FB347}"/>
    <cellStyle name="Normal 2 4 2 3 4 4 4" xfId="27042" xr:uid="{80602C2E-D382-40BB-AC3C-56DDEFE66A7F}"/>
    <cellStyle name="Normal 2 4 2 3 4 4 5" xfId="18601" xr:uid="{0C20CEAD-C2AA-43B1-9BF9-B905B0EDA068}"/>
    <cellStyle name="Normal 2 4 2 3 4 4 6" xfId="10153" xr:uid="{90338B42-2156-4A9C-9FCA-7B48A21EDC6C}"/>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33818" xr:uid="{34C22784-EC29-4AA7-BF3D-CD784E2D3AE4}"/>
    <cellStyle name="Normal 2 4 2 3 4 5 2 2 3" xfId="25377" xr:uid="{F8FDA524-76A0-4CC4-A393-27720A71C4BE}"/>
    <cellStyle name="Normal 2 4 2 3 4 5 2 2 4" xfId="16929" xr:uid="{105CE1F0-D19D-4B49-82A6-EA4E956982E2}"/>
    <cellStyle name="Normal 2 4 2 3 4 5 2 3" xfId="29600" xr:uid="{7DD396D6-6A3B-45FC-8820-2CBCBC2E2B56}"/>
    <cellStyle name="Normal 2 4 2 3 4 5 2 4" xfId="21159" xr:uid="{2252CF09-0B1C-4B52-AE69-061CFF14D4CC}"/>
    <cellStyle name="Normal 2 4 2 3 4 5 2 5" xfId="12711" xr:uid="{10A80758-4F45-449B-A5D5-71C3ECC3E907}"/>
    <cellStyle name="Normal 2 4 2 3 4 5 3" xfId="6334" xr:uid="{00000000-0005-0000-0000-0000200F0000}"/>
    <cellStyle name="Normal 2 4 2 3 4 5 3 2" xfId="31673" xr:uid="{A0007B88-9DE8-4498-8074-3D0BC848D451}"/>
    <cellStyle name="Normal 2 4 2 3 4 5 3 3" xfId="23232" xr:uid="{CF7E4ECB-F0A9-4521-9158-006047CEAA4A}"/>
    <cellStyle name="Normal 2 4 2 3 4 5 3 4" xfId="14784" xr:uid="{038B1FA9-5562-4ABE-8FD4-C0AB3707CAA9}"/>
    <cellStyle name="Normal 2 4 2 3 4 5 4" xfId="27455" xr:uid="{E6C6DAFC-8AF2-4BBF-B02A-62399264176D}"/>
    <cellStyle name="Normal 2 4 2 3 4 5 5" xfId="19014" xr:uid="{CF18A142-C441-4BA1-8DF6-32DA272C3B79}"/>
    <cellStyle name="Normal 2 4 2 3 4 5 6" xfId="10566" xr:uid="{7850B4DC-6C15-440D-8735-169447D723C0}"/>
    <cellStyle name="Normal 2 4 2 3 4 6" xfId="2464" xr:uid="{00000000-0005-0000-0000-0000210F0000}"/>
    <cellStyle name="Normal 2 4 2 3 4 6 2" xfId="6747" xr:uid="{00000000-0005-0000-0000-0000220F0000}"/>
    <cellStyle name="Normal 2 4 2 3 4 6 2 2" xfId="32086" xr:uid="{2E2EF68D-B926-46F5-960D-698CE8CCC159}"/>
    <cellStyle name="Normal 2 4 2 3 4 6 2 3" xfId="23645" xr:uid="{93D68926-903A-439F-8CF8-A0B3FE0F2653}"/>
    <cellStyle name="Normal 2 4 2 3 4 6 2 4" xfId="15197" xr:uid="{C08AC332-8DFF-4809-8FED-20F744D9C552}"/>
    <cellStyle name="Normal 2 4 2 3 4 6 3" xfId="27868" xr:uid="{32E39CF1-F7E3-4223-9A34-A1659BA22D15}"/>
    <cellStyle name="Normal 2 4 2 3 4 6 4" xfId="19427" xr:uid="{51160035-B7C0-4742-8405-7B2A963B1379}"/>
    <cellStyle name="Normal 2 4 2 3 4 6 5" xfId="10979" xr:uid="{A177AABC-D024-42DB-9E79-0B3C7E71CF18}"/>
    <cellStyle name="Normal 2 4 2 3 4 7" xfId="4681" xr:uid="{00000000-0005-0000-0000-0000230F0000}"/>
    <cellStyle name="Normal 2 4 2 3 4 7 2" xfId="30020" xr:uid="{8888FC75-69F1-4185-A545-855061BAEFBB}"/>
    <cellStyle name="Normal 2 4 2 3 4 7 3" xfId="21579" xr:uid="{163CA256-9F61-42EA-8B3C-D44FA59501ED}"/>
    <cellStyle name="Normal 2 4 2 3 4 7 4" xfId="13131" xr:uid="{C99ACD3F-8A69-4272-BBCF-5E577BDBDB05}"/>
    <cellStyle name="Normal 2 4 2 3 4 8" xfId="25802" xr:uid="{ABFE1480-06F3-4755-B1FF-2A2E7ECD9025}"/>
    <cellStyle name="Normal 2 4 2 3 4 9" xfId="17361" xr:uid="{A67B6EDC-8598-46E3-8989-14E6E6818A87}"/>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32572" xr:uid="{9AFE649E-594D-4E7C-AB81-0F7D78CF7C89}"/>
    <cellStyle name="Normal 2 4 2 3 5 2 2 3" xfId="24131" xr:uid="{F401278D-937E-40D6-842B-A10EF77701FE}"/>
    <cellStyle name="Normal 2 4 2 3 5 2 2 4" xfId="15683" xr:uid="{D8E31F86-6198-4333-873A-C7D415E91FFD}"/>
    <cellStyle name="Normal 2 4 2 3 5 2 3" xfId="28354" xr:uid="{D4F17AFF-28C0-421D-ACED-0440A0C6786B}"/>
    <cellStyle name="Normal 2 4 2 3 5 2 4" xfId="19913" xr:uid="{8281A752-1C08-497E-9A12-1325C46EDC32}"/>
    <cellStyle name="Normal 2 4 2 3 5 2 5" xfId="11465" xr:uid="{E68E3FB7-4C19-46DF-B497-2E5F2CC23098}"/>
    <cellStyle name="Normal 2 4 2 3 5 3" xfId="5088" xr:uid="{00000000-0005-0000-0000-0000270F0000}"/>
    <cellStyle name="Normal 2 4 2 3 5 3 2" xfId="30427" xr:uid="{47CFE9AE-12EC-4DB1-A77C-4974AB7532EF}"/>
    <cellStyle name="Normal 2 4 2 3 5 3 3" xfId="21986" xr:uid="{1711ECA8-F1E0-4429-9A1B-C55A7173875F}"/>
    <cellStyle name="Normal 2 4 2 3 5 3 4" xfId="13538" xr:uid="{C1D8D36A-5997-42E6-8863-E9860754C1A3}"/>
    <cellStyle name="Normal 2 4 2 3 5 4" xfId="26209" xr:uid="{082D6C41-03E0-4DC6-9347-784981C0B627}"/>
    <cellStyle name="Normal 2 4 2 3 5 5" xfId="17768" xr:uid="{00D77009-7DFB-44D3-B0D3-B79220D1FA7C}"/>
    <cellStyle name="Normal 2 4 2 3 5 6" xfId="9320" xr:uid="{CF54BF9C-B720-434C-9088-B152AD36E669}"/>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32985" xr:uid="{14E3F3D3-E896-4826-92FC-711D8EEB7507}"/>
    <cellStyle name="Normal 2 4 2 3 6 2 2 3" xfId="24544" xr:uid="{1B7F6F09-1328-4162-A365-587CC77E84C8}"/>
    <cellStyle name="Normal 2 4 2 3 6 2 2 4" xfId="16096" xr:uid="{AC442793-4799-4FF4-87F1-EFCA97E2AB61}"/>
    <cellStyle name="Normal 2 4 2 3 6 2 3" xfId="28767" xr:uid="{BC360189-C87E-400E-953F-48EEE2B5C369}"/>
    <cellStyle name="Normal 2 4 2 3 6 2 4" xfId="20326" xr:uid="{5D4B0482-8EF8-4339-9184-A02BFDF8C7B5}"/>
    <cellStyle name="Normal 2 4 2 3 6 2 5" xfId="11878" xr:uid="{4E13654A-017C-4898-A689-9E8193B7BE9B}"/>
    <cellStyle name="Normal 2 4 2 3 6 3" xfId="5501" xr:uid="{00000000-0005-0000-0000-00002B0F0000}"/>
    <cellStyle name="Normal 2 4 2 3 6 3 2" xfId="30840" xr:uid="{391803A1-0C04-4D3A-8963-7B83CEA3B578}"/>
    <cellStyle name="Normal 2 4 2 3 6 3 3" xfId="22399" xr:uid="{1399FFC2-1DA7-407B-ACAA-627ED0A00561}"/>
    <cellStyle name="Normal 2 4 2 3 6 3 4" xfId="13951" xr:uid="{4132BBC8-1661-4A8D-9530-4AFF324B5908}"/>
    <cellStyle name="Normal 2 4 2 3 6 4" xfId="26622" xr:uid="{E72B7564-EC16-4C40-B28E-F53D66567917}"/>
    <cellStyle name="Normal 2 4 2 3 6 5" xfId="18181" xr:uid="{772F8776-8FA9-498A-AE09-6D2D44369008}"/>
    <cellStyle name="Normal 2 4 2 3 6 6" xfId="9733" xr:uid="{F07CCC2A-C918-4B8D-973B-01CAFFD94E4C}"/>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33398" xr:uid="{5F047794-D9D8-4054-A4E2-3AC0591C02E1}"/>
    <cellStyle name="Normal 2 4 2 3 7 2 2 3" xfId="24957" xr:uid="{B7433710-B3BB-474A-90A1-E9943BF616EE}"/>
    <cellStyle name="Normal 2 4 2 3 7 2 2 4" xfId="16509" xr:uid="{58101650-4655-45DA-94B7-BB8B434A6620}"/>
    <cellStyle name="Normal 2 4 2 3 7 2 3" xfId="29180" xr:uid="{DD2980D3-E2BA-4663-A71C-5FD179FC703B}"/>
    <cellStyle name="Normal 2 4 2 3 7 2 4" xfId="20739" xr:uid="{AE948D63-F4BC-4347-88C7-550DEFDFC101}"/>
    <cellStyle name="Normal 2 4 2 3 7 2 5" xfId="12291" xr:uid="{F1FAB9DA-AF82-46C6-AA7C-D25B17BA138A}"/>
    <cellStyle name="Normal 2 4 2 3 7 3" xfId="5914" xr:uid="{00000000-0005-0000-0000-00002F0F0000}"/>
    <cellStyle name="Normal 2 4 2 3 7 3 2" xfId="31253" xr:uid="{BA5597CB-7479-49C5-9048-B7E2379FCAF8}"/>
    <cellStyle name="Normal 2 4 2 3 7 3 3" xfId="22812" xr:uid="{73D29138-124B-4F16-9535-6C7034C7FCDC}"/>
    <cellStyle name="Normal 2 4 2 3 7 3 4" xfId="14364" xr:uid="{D6F0AC5A-63C3-4D8D-B993-1F733C904847}"/>
    <cellStyle name="Normal 2 4 2 3 7 4" xfId="27035" xr:uid="{39AE909A-D349-4876-ADCB-A7E90FAAF117}"/>
    <cellStyle name="Normal 2 4 2 3 7 5" xfId="18594" xr:uid="{E333C1B1-A1E0-4B9F-81D5-33A8E6CAA95D}"/>
    <cellStyle name="Normal 2 4 2 3 7 6" xfId="10146" xr:uid="{9555D028-7EC3-46B3-9AFD-0F2D5820F808}"/>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33811" xr:uid="{A321FF28-C557-4D5C-B921-DF23C9FA5B46}"/>
    <cellStyle name="Normal 2 4 2 3 8 2 2 3" xfId="25370" xr:uid="{E78976DF-FDFF-4A5E-8CF9-82B8AA6E27CD}"/>
    <cellStyle name="Normal 2 4 2 3 8 2 2 4" xfId="16922" xr:uid="{D012A90A-C85D-4200-A5AA-80B47614C52A}"/>
    <cellStyle name="Normal 2 4 2 3 8 2 3" xfId="29593" xr:uid="{9507FDE1-5EDB-4E60-B9D1-F52D88075BA0}"/>
    <cellStyle name="Normal 2 4 2 3 8 2 4" xfId="21152" xr:uid="{327EBEBF-05BA-417B-981F-0735E62567D7}"/>
    <cellStyle name="Normal 2 4 2 3 8 2 5" xfId="12704" xr:uid="{900CC8FF-7906-4D35-B676-D205BE5EB067}"/>
    <cellStyle name="Normal 2 4 2 3 8 3" xfId="6327" xr:uid="{00000000-0005-0000-0000-0000330F0000}"/>
    <cellStyle name="Normal 2 4 2 3 8 3 2" xfId="31666" xr:uid="{D894AF25-F252-45A1-961C-B965FDAA9FDC}"/>
    <cellStyle name="Normal 2 4 2 3 8 3 3" xfId="23225" xr:uid="{CA9DC388-297E-46CB-A074-8B4BEFBAD549}"/>
    <cellStyle name="Normal 2 4 2 3 8 3 4" xfId="14777" xr:uid="{B6BFD45C-7FA4-42EB-8F16-EEE09C197E43}"/>
    <cellStyle name="Normal 2 4 2 3 8 4" xfId="27448" xr:uid="{E8B38520-E684-40C7-970F-10FE6E3BE783}"/>
    <cellStyle name="Normal 2 4 2 3 8 5" xfId="19007" xr:uid="{A6D02687-B843-4315-90FD-A3DDCCB9E62F}"/>
    <cellStyle name="Normal 2 4 2 3 8 6" xfId="10559" xr:uid="{75CA1DF4-08A9-4357-95B4-F3C1AEE90388}"/>
    <cellStyle name="Normal 2 4 2 3 9" xfId="2457" xr:uid="{00000000-0005-0000-0000-0000340F0000}"/>
    <cellStyle name="Normal 2 4 2 3 9 2" xfId="6740" xr:uid="{00000000-0005-0000-0000-0000350F0000}"/>
    <cellStyle name="Normal 2 4 2 3 9 2 2" xfId="32079" xr:uid="{DF76AC31-7E4C-494C-9148-BF5489665AB6}"/>
    <cellStyle name="Normal 2 4 2 3 9 2 3" xfId="23638" xr:uid="{17050382-92CF-4579-9223-1AA5DDC99D60}"/>
    <cellStyle name="Normal 2 4 2 3 9 2 4" xfId="15190" xr:uid="{CC43A328-880B-4E1F-9B7E-6089E948B6AF}"/>
    <cellStyle name="Normal 2 4 2 3 9 3" xfId="27861" xr:uid="{B62E2673-E4F8-4273-BBE6-7B02BDEBE3DD}"/>
    <cellStyle name="Normal 2 4 2 3 9 4" xfId="19420" xr:uid="{6FD21B21-3945-4F63-B4C6-23FECD84D988}"/>
    <cellStyle name="Normal 2 4 2 3 9 5" xfId="10972" xr:uid="{88161763-680F-4780-8B93-71CE91A6D47F}"/>
    <cellStyle name="Normal 2 4 2 4" xfId="289" xr:uid="{00000000-0005-0000-0000-0000360F0000}"/>
    <cellStyle name="Normal 2 4 2 4 10" xfId="25803" xr:uid="{64825841-6D4D-4B47-8E33-5EC3996E7679}"/>
    <cellStyle name="Normal 2 4 2 4 11" xfId="17362" xr:uid="{50CB6664-A7B6-4E10-8CFC-DE7E3A87B74A}"/>
    <cellStyle name="Normal 2 4 2 4 12" xfId="8914" xr:uid="{7E13DB41-73FD-47FF-91BF-A69B6DA1D5BF}"/>
    <cellStyle name="Normal 2 4 2 4 2" xfId="290" xr:uid="{00000000-0005-0000-0000-0000370F0000}"/>
    <cellStyle name="Normal 2 4 2 4 2 10" xfId="17363" xr:uid="{B5BB8991-0DDE-435B-9928-1F6489EA2608}"/>
    <cellStyle name="Normal 2 4 2 4 2 11" xfId="8915" xr:uid="{DF9D7C78-A396-41CD-91D8-1BC7435B33C3}"/>
    <cellStyle name="Normal 2 4 2 4 2 2" xfId="291" xr:uid="{00000000-0005-0000-0000-0000380F0000}"/>
    <cellStyle name="Normal 2 4 2 4 2 2 10" xfId="8916" xr:uid="{A1651FE6-450F-4079-8D82-79B8A008166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32582" xr:uid="{C71C826E-9C12-4A4C-80AA-1433BC71AF61}"/>
    <cellStyle name="Normal 2 4 2 4 2 2 2 2 2 3" xfId="24141" xr:uid="{A9234008-6039-4B02-A5C0-755ED8EA045F}"/>
    <cellStyle name="Normal 2 4 2 4 2 2 2 2 2 4" xfId="15693" xr:uid="{8FF76558-1094-4541-8E1F-28F623901D9A}"/>
    <cellStyle name="Normal 2 4 2 4 2 2 2 2 3" xfId="28364" xr:uid="{30077768-138A-4ACD-9DCF-9F85B751BBAA}"/>
    <cellStyle name="Normal 2 4 2 4 2 2 2 2 4" xfId="19923" xr:uid="{FECBE822-2A33-4195-A1DD-5D66316B261E}"/>
    <cellStyle name="Normal 2 4 2 4 2 2 2 2 5" xfId="11475" xr:uid="{F887161E-F137-4BE1-9657-539C4A856DB5}"/>
    <cellStyle name="Normal 2 4 2 4 2 2 2 3" xfId="5098" xr:uid="{00000000-0005-0000-0000-00003C0F0000}"/>
    <cellStyle name="Normal 2 4 2 4 2 2 2 3 2" xfId="30437" xr:uid="{91E09D42-E869-4533-BE2E-CF7F8F5AB539}"/>
    <cellStyle name="Normal 2 4 2 4 2 2 2 3 3" xfId="21996" xr:uid="{388AAFB2-213A-47AA-8F68-B646BD69949E}"/>
    <cellStyle name="Normal 2 4 2 4 2 2 2 3 4" xfId="13548" xr:uid="{794B4FC0-AE67-40D0-887D-552F50DB745F}"/>
    <cellStyle name="Normal 2 4 2 4 2 2 2 4" xfId="26219" xr:uid="{081886B3-FD03-494C-A568-8EABFEF3C85D}"/>
    <cellStyle name="Normal 2 4 2 4 2 2 2 5" xfId="17778" xr:uid="{97CDD043-055E-4401-B9AA-F390A0AE2CF2}"/>
    <cellStyle name="Normal 2 4 2 4 2 2 2 6" xfId="9330" xr:uid="{27876539-BBC9-4F11-BE44-B0940650BD28}"/>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32995" xr:uid="{43407CFB-BF93-4B50-A923-2F5730F5CFC1}"/>
    <cellStyle name="Normal 2 4 2 4 2 2 3 2 2 3" xfId="24554" xr:uid="{7222B051-AA97-4C91-B367-7296C903EDE2}"/>
    <cellStyle name="Normal 2 4 2 4 2 2 3 2 2 4" xfId="16106" xr:uid="{20E71AC1-CA3F-48BA-9FBB-D944C33BEB42}"/>
    <cellStyle name="Normal 2 4 2 4 2 2 3 2 3" xfId="28777" xr:uid="{FDE5E451-3D59-46E1-9DEC-BBCDAE4C6BA7}"/>
    <cellStyle name="Normal 2 4 2 4 2 2 3 2 4" xfId="20336" xr:uid="{1CBB48E5-5B71-4E34-950E-576CD1950CE2}"/>
    <cellStyle name="Normal 2 4 2 4 2 2 3 2 5" xfId="11888" xr:uid="{5AA148CC-3EAD-42E5-943E-82C24D836F27}"/>
    <cellStyle name="Normal 2 4 2 4 2 2 3 3" xfId="5511" xr:uid="{00000000-0005-0000-0000-0000400F0000}"/>
    <cellStyle name="Normal 2 4 2 4 2 2 3 3 2" xfId="30850" xr:uid="{03C151C7-7933-4677-883D-95D316B88165}"/>
    <cellStyle name="Normal 2 4 2 4 2 2 3 3 3" xfId="22409" xr:uid="{C42E83CF-626B-4C3B-9563-16D5A76B0A57}"/>
    <cellStyle name="Normal 2 4 2 4 2 2 3 3 4" xfId="13961" xr:uid="{034AE3C6-B2AC-4465-BD1A-ED37D0F1E5D8}"/>
    <cellStyle name="Normal 2 4 2 4 2 2 3 4" xfId="26632" xr:uid="{D604D929-5920-4EF5-A75C-F172F6F344DC}"/>
    <cellStyle name="Normal 2 4 2 4 2 2 3 5" xfId="18191" xr:uid="{F8FAB1B3-6F31-4C4E-BABB-0B9613CFA8C5}"/>
    <cellStyle name="Normal 2 4 2 4 2 2 3 6" xfId="9743" xr:uid="{E319092F-B153-4827-978B-7B9D46BADA29}"/>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33408" xr:uid="{69BE0EAA-88D1-4B73-9039-9AF95108C5CD}"/>
    <cellStyle name="Normal 2 4 2 4 2 2 4 2 2 3" xfId="24967" xr:uid="{C289F8F1-5CC1-426C-9FEF-4D49A9D2FF13}"/>
    <cellStyle name="Normal 2 4 2 4 2 2 4 2 2 4" xfId="16519" xr:uid="{E836AC67-546C-4A5B-A835-C1F4BCDADA65}"/>
    <cellStyle name="Normal 2 4 2 4 2 2 4 2 3" xfId="29190" xr:uid="{774CAEA9-0F66-4139-9E9D-621DA2071ECB}"/>
    <cellStyle name="Normal 2 4 2 4 2 2 4 2 4" xfId="20749" xr:uid="{65526EC5-6680-4517-A608-1F4D63B08CAD}"/>
    <cellStyle name="Normal 2 4 2 4 2 2 4 2 5" xfId="12301" xr:uid="{68C89E2B-1732-4EBA-833D-44A5B5DDD385}"/>
    <cellStyle name="Normal 2 4 2 4 2 2 4 3" xfId="5924" xr:uid="{00000000-0005-0000-0000-0000440F0000}"/>
    <cellStyle name="Normal 2 4 2 4 2 2 4 3 2" xfId="31263" xr:uid="{ED987BA2-168B-4066-A99E-0482003851CF}"/>
    <cellStyle name="Normal 2 4 2 4 2 2 4 3 3" xfId="22822" xr:uid="{E0EA96F1-0A66-4A18-8520-4FF378EB5DDC}"/>
    <cellStyle name="Normal 2 4 2 4 2 2 4 3 4" xfId="14374" xr:uid="{EC92BBBD-EB60-4908-B2C1-5CA4CFF2E36A}"/>
    <cellStyle name="Normal 2 4 2 4 2 2 4 4" xfId="27045" xr:uid="{9645665B-E314-4EAF-8F65-98219F7D91EE}"/>
    <cellStyle name="Normal 2 4 2 4 2 2 4 5" xfId="18604" xr:uid="{96C23CBC-A48E-4D1C-80F7-1DB008DC60FF}"/>
    <cellStyle name="Normal 2 4 2 4 2 2 4 6" xfId="10156" xr:uid="{74ACF948-E53D-474B-A5BC-8AB18C2645E1}"/>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33821" xr:uid="{E2EFEDA3-41E6-4081-ACD4-8DB588771490}"/>
    <cellStyle name="Normal 2 4 2 4 2 2 5 2 2 3" xfId="25380" xr:uid="{DD40A441-C831-4503-8B1C-CEF0EDFE92B3}"/>
    <cellStyle name="Normal 2 4 2 4 2 2 5 2 2 4" xfId="16932" xr:uid="{402B663B-6EED-4228-A82F-E0E0271708FC}"/>
    <cellStyle name="Normal 2 4 2 4 2 2 5 2 3" xfId="29603" xr:uid="{97A2BA60-C507-4370-9320-C030C46390BC}"/>
    <cellStyle name="Normal 2 4 2 4 2 2 5 2 4" xfId="21162" xr:uid="{DD096CDC-D79B-4308-87E5-7BBBD6B435BD}"/>
    <cellStyle name="Normal 2 4 2 4 2 2 5 2 5" xfId="12714" xr:uid="{C8879BC3-AB6A-43F7-A8AE-47DF8D58ACEC}"/>
    <cellStyle name="Normal 2 4 2 4 2 2 5 3" xfId="6337" xr:uid="{00000000-0005-0000-0000-0000480F0000}"/>
    <cellStyle name="Normal 2 4 2 4 2 2 5 3 2" xfId="31676" xr:uid="{8A83417B-10A9-405C-8774-B3D88DBB3D34}"/>
    <cellStyle name="Normal 2 4 2 4 2 2 5 3 3" xfId="23235" xr:uid="{14D2A383-49C8-4880-BA53-A9BDFA90992C}"/>
    <cellStyle name="Normal 2 4 2 4 2 2 5 3 4" xfId="14787" xr:uid="{78581A3C-3A2B-4C7C-B3D8-7118B4AD6751}"/>
    <cellStyle name="Normal 2 4 2 4 2 2 5 4" xfId="27458" xr:uid="{7CCAFC71-674B-4C1D-8658-29F9FAC6A66F}"/>
    <cellStyle name="Normal 2 4 2 4 2 2 5 5" xfId="19017" xr:uid="{59DF00FA-0498-4711-85B9-262FC67C9B94}"/>
    <cellStyle name="Normal 2 4 2 4 2 2 5 6" xfId="10569" xr:uid="{9AB7501C-0D87-4241-B8DC-52B319A0B99E}"/>
    <cellStyle name="Normal 2 4 2 4 2 2 6" xfId="2467" xr:uid="{00000000-0005-0000-0000-0000490F0000}"/>
    <cellStyle name="Normal 2 4 2 4 2 2 6 2" xfId="6750" xr:uid="{00000000-0005-0000-0000-00004A0F0000}"/>
    <cellStyle name="Normal 2 4 2 4 2 2 6 2 2" xfId="32089" xr:uid="{8E059853-2552-4118-B405-F42005D68AA5}"/>
    <cellStyle name="Normal 2 4 2 4 2 2 6 2 3" xfId="23648" xr:uid="{56500DCB-F482-4720-8944-408A3E4CF8E5}"/>
    <cellStyle name="Normal 2 4 2 4 2 2 6 2 4" xfId="15200" xr:uid="{F3E0B03D-3936-47E8-ABC8-0B3DD08E9207}"/>
    <cellStyle name="Normal 2 4 2 4 2 2 6 3" xfId="27871" xr:uid="{F7B5D6DD-FECF-4149-A404-F03E706BDE15}"/>
    <cellStyle name="Normal 2 4 2 4 2 2 6 4" xfId="19430" xr:uid="{42DEC365-DB86-4B19-8A7B-7C661573027A}"/>
    <cellStyle name="Normal 2 4 2 4 2 2 6 5" xfId="10982" xr:uid="{37427430-7F47-4916-83E6-AC0BD18AC0E2}"/>
    <cellStyle name="Normal 2 4 2 4 2 2 7" xfId="4684" xr:uid="{00000000-0005-0000-0000-00004B0F0000}"/>
    <cellStyle name="Normal 2 4 2 4 2 2 7 2" xfId="30023" xr:uid="{D17F6700-E135-43FC-AE53-FBA15514787D}"/>
    <cellStyle name="Normal 2 4 2 4 2 2 7 3" xfId="21582" xr:uid="{F3B71AB6-2159-44C9-AF9F-4E1A48F55D57}"/>
    <cellStyle name="Normal 2 4 2 4 2 2 7 4" xfId="13134" xr:uid="{2193180C-A981-48DA-AA3F-CEA84256EDF8}"/>
    <cellStyle name="Normal 2 4 2 4 2 2 8" xfId="25805" xr:uid="{8C1EB74D-4453-421F-94F2-EF2E88212C8E}"/>
    <cellStyle name="Normal 2 4 2 4 2 2 9" xfId="17364" xr:uid="{506BC733-E18F-4FC7-BEB0-806440723714}"/>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32581" xr:uid="{32DE4F23-9796-42E5-A944-3AA1AFAB5220}"/>
    <cellStyle name="Normal 2 4 2 4 2 3 2 2 3" xfId="24140" xr:uid="{83D1483B-61C6-4D11-BA9D-F94843CE33DC}"/>
    <cellStyle name="Normal 2 4 2 4 2 3 2 2 4" xfId="15692" xr:uid="{B7437733-1EFA-444C-816C-A08E80303905}"/>
    <cellStyle name="Normal 2 4 2 4 2 3 2 3" xfId="28363" xr:uid="{C5147DBB-8D7B-43C6-97E6-18C96C52CB00}"/>
    <cellStyle name="Normal 2 4 2 4 2 3 2 4" xfId="19922" xr:uid="{AD41E2A0-FC64-4A5B-A319-51E62217E4A8}"/>
    <cellStyle name="Normal 2 4 2 4 2 3 2 5" xfId="11474" xr:uid="{9A487C4D-2688-41DB-BEB7-C4F98BE10C13}"/>
    <cellStyle name="Normal 2 4 2 4 2 3 3" xfId="5097" xr:uid="{00000000-0005-0000-0000-00004F0F0000}"/>
    <cellStyle name="Normal 2 4 2 4 2 3 3 2" xfId="30436" xr:uid="{9AFCB5F2-5430-44F0-9A57-10D52447CD95}"/>
    <cellStyle name="Normal 2 4 2 4 2 3 3 3" xfId="21995" xr:uid="{481DBA6A-B5B0-4008-94A9-19863F38D42A}"/>
    <cellStyle name="Normal 2 4 2 4 2 3 3 4" xfId="13547" xr:uid="{65F20BEC-B149-46FC-8F80-6E28519AAABE}"/>
    <cellStyle name="Normal 2 4 2 4 2 3 4" xfId="26218" xr:uid="{26AE9C7C-8014-4CDE-BCB1-D74D4D1FA272}"/>
    <cellStyle name="Normal 2 4 2 4 2 3 5" xfId="17777" xr:uid="{9272D140-B66D-4329-8078-58B727D41059}"/>
    <cellStyle name="Normal 2 4 2 4 2 3 6" xfId="9329" xr:uid="{C0F72C5E-A563-409A-B82B-879CBD066E17}"/>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32994" xr:uid="{F354B271-4220-467A-83E3-47287836724C}"/>
    <cellStyle name="Normal 2 4 2 4 2 4 2 2 3" xfId="24553" xr:uid="{64A6959E-22A8-44DA-A29F-73F12529D00A}"/>
    <cellStyle name="Normal 2 4 2 4 2 4 2 2 4" xfId="16105" xr:uid="{258D906E-7FAB-46D5-84C3-52C92870B13A}"/>
    <cellStyle name="Normal 2 4 2 4 2 4 2 3" xfId="28776" xr:uid="{7039554A-511C-42A1-BE08-9A70EC51F4B5}"/>
    <cellStyle name="Normal 2 4 2 4 2 4 2 4" xfId="20335" xr:uid="{140720FC-73E9-489B-8C8F-7494B3F9025E}"/>
    <cellStyle name="Normal 2 4 2 4 2 4 2 5" xfId="11887" xr:uid="{4FE3DE31-1AFC-4C5A-9648-05E9307416A5}"/>
    <cellStyle name="Normal 2 4 2 4 2 4 3" xfId="5510" xr:uid="{00000000-0005-0000-0000-0000530F0000}"/>
    <cellStyle name="Normal 2 4 2 4 2 4 3 2" xfId="30849" xr:uid="{1F556B6D-39DF-486F-894C-D37FEDB5B26F}"/>
    <cellStyle name="Normal 2 4 2 4 2 4 3 3" xfId="22408" xr:uid="{F23E1596-15AD-41FE-8FFE-E08B9F719536}"/>
    <cellStyle name="Normal 2 4 2 4 2 4 3 4" xfId="13960" xr:uid="{EE963620-0FAD-41AD-98A0-04702AE9496C}"/>
    <cellStyle name="Normal 2 4 2 4 2 4 4" xfId="26631" xr:uid="{7294C9D7-B0A7-4198-AC9A-165DB667C1FA}"/>
    <cellStyle name="Normal 2 4 2 4 2 4 5" xfId="18190" xr:uid="{CCF8CE25-BB25-4F78-993D-97F7420ABE9C}"/>
    <cellStyle name="Normal 2 4 2 4 2 4 6" xfId="9742" xr:uid="{919E7292-E7F2-4EE9-A37D-16FD47A6ECFF}"/>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33407" xr:uid="{ED55CA73-6C90-4F9E-9035-18017B0131C7}"/>
    <cellStyle name="Normal 2 4 2 4 2 5 2 2 3" xfId="24966" xr:uid="{C53F19A2-8109-43E8-9BF2-05AA3A40A3D6}"/>
    <cellStyle name="Normal 2 4 2 4 2 5 2 2 4" xfId="16518" xr:uid="{B823FF4F-AEDC-470A-9ED0-50CDDE99BE62}"/>
    <cellStyle name="Normal 2 4 2 4 2 5 2 3" xfId="29189" xr:uid="{D1121672-133B-410A-A97F-5F6CA8AD4862}"/>
    <cellStyle name="Normal 2 4 2 4 2 5 2 4" xfId="20748" xr:uid="{8838C754-427B-495D-AC03-AB1EE5A7CFEE}"/>
    <cellStyle name="Normal 2 4 2 4 2 5 2 5" xfId="12300" xr:uid="{50837FBF-B071-4342-872B-85D81DB63058}"/>
    <cellStyle name="Normal 2 4 2 4 2 5 3" xfId="5923" xr:uid="{00000000-0005-0000-0000-0000570F0000}"/>
    <cellStyle name="Normal 2 4 2 4 2 5 3 2" xfId="31262" xr:uid="{5314F0FB-2DCA-4036-A0AD-0DA65551DE97}"/>
    <cellStyle name="Normal 2 4 2 4 2 5 3 3" xfId="22821" xr:uid="{445021EE-034E-416B-9D20-45EAD3D9563D}"/>
    <cellStyle name="Normal 2 4 2 4 2 5 3 4" xfId="14373" xr:uid="{9E4D11AD-B53B-4EB5-9B0B-9388944A5D5F}"/>
    <cellStyle name="Normal 2 4 2 4 2 5 4" xfId="27044" xr:uid="{93651F5E-0F2F-44B6-AC94-B15ACCC810AE}"/>
    <cellStyle name="Normal 2 4 2 4 2 5 5" xfId="18603" xr:uid="{C5164BF9-6E75-4861-9AEE-A84C4021682C}"/>
    <cellStyle name="Normal 2 4 2 4 2 5 6" xfId="10155" xr:uid="{9EBDD781-8341-463C-B375-6B6A37179034}"/>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33820" xr:uid="{BAB2EB9A-ECEA-472E-97F5-FA3495A97AB5}"/>
    <cellStyle name="Normal 2 4 2 4 2 6 2 2 3" xfId="25379" xr:uid="{D0C431D4-5DAE-4BFB-A7E7-F8359E16BFCE}"/>
    <cellStyle name="Normal 2 4 2 4 2 6 2 2 4" xfId="16931" xr:uid="{D0A70490-62EF-447E-83C8-237EC52D1A8C}"/>
    <cellStyle name="Normal 2 4 2 4 2 6 2 3" xfId="29602" xr:uid="{C766D45B-5DD9-4316-ABB6-9575FBE6A5CB}"/>
    <cellStyle name="Normal 2 4 2 4 2 6 2 4" xfId="21161" xr:uid="{19F48CFC-A4C8-4BA2-93CD-858F3CBF7132}"/>
    <cellStyle name="Normal 2 4 2 4 2 6 2 5" xfId="12713" xr:uid="{85F02997-7A62-41EF-A44D-D43A48E5AAC0}"/>
    <cellStyle name="Normal 2 4 2 4 2 6 3" xfId="6336" xr:uid="{00000000-0005-0000-0000-00005B0F0000}"/>
    <cellStyle name="Normal 2 4 2 4 2 6 3 2" xfId="31675" xr:uid="{149CEDB7-C221-4B2C-B019-631576A9471C}"/>
    <cellStyle name="Normal 2 4 2 4 2 6 3 3" xfId="23234" xr:uid="{98854AA5-0670-4D1E-AD37-77857E17CFE9}"/>
    <cellStyle name="Normal 2 4 2 4 2 6 3 4" xfId="14786" xr:uid="{CC9581FD-1DDB-44E1-8405-54EC48880273}"/>
    <cellStyle name="Normal 2 4 2 4 2 6 4" xfId="27457" xr:uid="{D2F5CD67-8135-40F3-930C-379B3D59F675}"/>
    <cellStyle name="Normal 2 4 2 4 2 6 5" xfId="19016" xr:uid="{4A4C9627-8255-4C0C-9665-57EC6A00DA97}"/>
    <cellStyle name="Normal 2 4 2 4 2 6 6" xfId="10568" xr:uid="{A6BDE844-2ECC-4BEB-A063-7D4F631DADD4}"/>
    <cellStyle name="Normal 2 4 2 4 2 7" xfId="2466" xr:uid="{00000000-0005-0000-0000-00005C0F0000}"/>
    <cellStyle name="Normal 2 4 2 4 2 7 2" xfId="6749" xr:uid="{00000000-0005-0000-0000-00005D0F0000}"/>
    <cellStyle name="Normal 2 4 2 4 2 7 2 2" xfId="32088" xr:uid="{02ACB04C-EB2C-4FF8-8148-C3005D16999C}"/>
    <cellStyle name="Normal 2 4 2 4 2 7 2 3" xfId="23647" xr:uid="{1ACC0D9A-40AE-46EF-B823-6B673F65FF5A}"/>
    <cellStyle name="Normal 2 4 2 4 2 7 2 4" xfId="15199" xr:uid="{297F8D97-8B48-4889-B444-ED2ABCEFEE38}"/>
    <cellStyle name="Normal 2 4 2 4 2 7 3" xfId="27870" xr:uid="{FD583764-2A4A-4260-A300-408446C59209}"/>
    <cellStyle name="Normal 2 4 2 4 2 7 4" xfId="19429" xr:uid="{E7F3F3EB-B3B2-4EBA-9195-DC9D25DFD0A8}"/>
    <cellStyle name="Normal 2 4 2 4 2 7 5" xfId="10981" xr:uid="{F9912BC4-A56F-44DB-9AA7-5518406C100E}"/>
    <cellStyle name="Normal 2 4 2 4 2 8" xfId="4683" xr:uid="{00000000-0005-0000-0000-00005E0F0000}"/>
    <cellStyle name="Normal 2 4 2 4 2 8 2" xfId="30022" xr:uid="{CE6082AA-734B-42F0-A472-764E36B7B0FD}"/>
    <cellStyle name="Normal 2 4 2 4 2 8 3" xfId="21581" xr:uid="{987ED853-FB98-4889-89B6-18EADA9BCC29}"/>
    <cellStyle name="Normal 2 4 2 4 2 8 4" xfId="13133" xr:uid="{2BB76CBA-711D-47A7-978A-48FE8BFE4755}"/>
    <cellStyle name="Normal 2 4 2 4 2 9" xfId="25804" xr:uid="{0AD4AA17-32FA-4407-8906-69867E20822E}"/>
    <cellStyle name="Normal 2 4 2 4 3" xfId="292" xr:uid="{00000000-0005-0000-0000-00005F0F0000}"/>
    <cellStyle name="Normal 2 4 2 4 3 10" xfId="8917" xr:uid="{DF898D79-B5FD-4EB5-BAA2-A41C65AABD1C}"/>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32583" xr:uid="{FAF70B16-49EC-4335-9758-1E309B4AB2F6}"/>
    <cellStyle name="Normal 2 4 2 4 3 2 2 2 3" xfId="24142" xr:uid="{3F4BFFC3-CBD1-40B0-ADA4-37E3D77E81E9}"/>
    <cellStyle name="Normal 2 4 2 4 3 2 2 2 4" xfId="15694" xr:uid="{9F36AB06-52A2-4090-BA2F-600F15552792}"/>
    <cellStyle name="Normal 2 4 2 4 3 2 2 3" xfId="28365" xr:uid="{F87FE88C-4B60-4B5F-ACBB-59EBC94D9E45}"/>
    <cellStyle name="Normal 2 4 2 4 3 2 2 4" xfId="19924" xr:uid="{BEFD5790-CE31-429E-AAF4-73D8A7D2E3EA}"/>
    <cellStyle name="Normal 2 4 2 4 3 2 2 5" xfId="11476" xr:uid="{22CD54C6-36C3-482E-90BB-94112E5E5D5A}"/>
    <cellStyle name="Normal 2 4 2 4 3 2 3" xfId="5099" xr:uid="{00000000-0005-0000-0000-0000630F0000}"/>
    <cellStyle name="Normal 2 4 2 4 3 2 3 2" xfId="30438" xr:uid="{28EA7BCB-3E92-459F-B5D4-525C2F63A1BF}"/>
    <cellStyle name="Normal 2 4 2 4 3 2 3 3" xfId="21997" xr:uid="{36BC10E7-B5B1-40CE-9992-78962C5C6AF8}"/>
    <cellStyle name="Normal 2 4 2 4 3 2 3 4" xfId="13549" xr:uid="{087C2F97-1D56-4542-8835-BFA063BFFF47}"/>
    <cellStyle name="Normal 2 4 2 4 3 2 4" xfId="26220" xr:uid="{372C60AE-8E40-421E-921A-B76B52110A66}"/>
    <cellStyle name="Normal 2 4 2 4 3 2 5" xfId="17779" xr:uid="{0FE85727-4644-4AB4-A1D6-465025F7722D}"/>
    <cellStyle name="Normal 2 4 2 4 3 2 6" xfId="9331" xr:uid="{71B6B292-81E2-4BAD-91E8-F796FFDF4118}"/>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32996" xr:uid="{ED5AF5FD-0988-4229-ADCF-12FA33E3D135}"/>
    <cellStyle name="Normal 2 4 2 4 3 3 2 2 3" xfId="24555" xr:uid="{97F89EB2-9418-43D6-8A2C-3B9279145AC9}"/>
    <cellStyle name="Normal 2 4 2 4 3 3 2 2 4" xfId="16107" xr:uid="{49B50E1C-D713-4E0E-90E8-8C91487463AF}"/>
    <cellStyle name="Normal 2 4 2 4 3 3 2 3" xfId="28778" xr:uid="{CD5D05DF-EB76-4C5A-9777-34F31FCA9DD7}"/>
    <cellStyle name="Normal 2 4 2 4 3 3 2 4" xfId="20337" xr:uid="{FE07B48A-DD4E-44D9-8A75-251EC64D157C}"/>
    <cellStyle name="Normal 2 4 2 4 3 3 2 5" xfId="11889" xr:uid="{02C3F348-EC8A-44D1-BED8-66B81547CDEA}"/>
    <cellStyle name="Normal 2 4 2 4 3 3 3" xfId="5512" xr:uid="{00000000-0005-0000-0000-0000670F0000}"/>
    <cellStyle name="Normal 2 4 2 4 3 3 3 2" xfId="30851" xr:uid="{7B6509C3-9A9B-461B-8E0F-7EEDFD28849B}"/>
    <cellStyle name="Normal 2 4 2 4 3 3 3 3" xfId="22410" xr:uid="{A00AE743-3BC9-42CF-A159-8ED1438AADC8}"/>
    <cellStyle name="Normal 2 4 2 4 3 3 3 4" xfId="13962" xr:uid="{7DC3DF3E-D5AA-45AA-9D39-C29D7A313823}"/>
    <cellStyle name="Normal 2 4 2 4 3 3 4" xfId="26633" xr:uid="{117CCE2F-47B5-4648-AFAC-3A45C9D93347}"/>
    <cellStyle name="Normal 2 4 2 4 3 3 5" xfId="18192" xr:uid="{E62C0CBB-9FA4-4ABD-9794-D9079DE36C96}"/>
    <cellStyle name="Normal 2 4 2 4 3 3 6" xfId="9744" xr:uid="{D54C0C68-344E-47D2-9FCE-F0C4AC8CB417}"/>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33409" xr:uid="{602D7743-19ED-4271-8D18-D6BD438BB0E5}"/>
    <cellStyle name="Normal 2 4 2 4 3 4 2 2 3" xfId="24968" xr:uid="{D1123758-E27E-4E6D-A637-A86F650B076E}"/>
    <cellStyle name="Normal 2 4 2 4 3 4 2 2 4" xfId="16520" xr:uid="{4364BDC9-069B-4ECE-9619-812ABF95B37A}"/>
    <cellStyle name="Normal 2 4 2 4 3 4 2 3" xfId="29191" xr:uid="{515A7762-64DB-4EF8-9A18-9FBD76D0E3C7}"/>
    <cellStyle name="Normal 2 4 2 4 3 4 2 4" xfId="20750" xr:uid="{65014E8F-AB6E-491F-BB22-A6D0CE9D3E4A}"/>
    <cellStyle name="Normal 2 4 2 4 3 4 2 5" xfId="12302" xr:uid="{7E099D41-B420-40CF-AD1D-9EEC9B527AF1}"/>
    <cellStyle name="Normal 2 4 2 4 3 4 3" xfId="5925" xr:uid="{00000000-0005-0000-0000-00006B0F0000}"/>
    <cellStyle name="Normal 2 4 2 4 3 4 3 2" xfId="31264" xr:uid="{82A11AA4-75FE-4500-8C97-9D1B8D4ED7EA}"/>
    <cellStyle name="Normal 2 4 2 4 3 4 3 3" xfId="22823" xr:uid="{54FB9522-F717-4EE2-A9FF-276175F1C044}"/>
    <cellStyle name="Normal 2 4 2 4 3 4 3 4" xfId="14375" xr:uid="{AAFD90DB-8DFB-4228-8F40-FAB1AA12743D}"/>
    <cellStyle name="Normal 2 4 2 4 3 4 4" xfId="27046" xr:uid="{FB3C804D-B0F2-4CF9-8111-E6654DDB6116}"/>
    <cellStyle name="Normal 2 4 2 4 3 4 5" xfId="18605" xr:uid="{CDEAA9C0-3991-4F99-88B8-91F246B39D62}"/>
    <cellStyle name="Normal 2 4 2 4 3 4 6" xfId="10157" xr:uid="{C8501B24-437B-4174-AF45-002A7E44144E}"/>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33822" xr:uid="{169CA291-48E5-46A0-BB92-41FF9D5FE987}"/>
    <cellStyle name="Normal 2 4 2 4 3 5 2 2 3" xfId="25381" xr:uid="{21CF443B-A4F5-4FAE-8250-F9084E49A275}"/>
    <cellStyle name="Normal 2 4 2 4 3 5 2 2 4" xfId="16933" xr:uid="{43E89072-3539-444B-BB30-31F876C9F888}"/>
    <cellStyle name="Normal 2 4 2 4 3 5 2 3" xfId="29604" xr:uid="{75D22500-3636-4C83-9388-6682BA3592AB}"/>
    <cellStyle name="Normal 2 4 2 4 3 5 2 4" xfId="21163" xr:uid="{38AD5D4A-2867-459C-B2C9-7DB65887F9D6}"/>
    <cellStyle name="Normal 2 4 2 4 3 5 2 5" xfId="12715" xr:uid="{CB71E903-E0C1-4F7E-9CE8-CE10101B6C6F}"/>
    <cellStyle name="Normal 2 4 2 4 3 5 3" xfId="6338" xr:uid="{00000000-0005-0000-0000-00006F0F0000}"/>
    <cellStyle name="Normal 2 4 2 4 3 5 3 2" xfId="31677" xr:uid="{4C9A5E3C-DA36-4258-993D-776F03408A5B}"/>
    <cellStyle name="Normal 2 4 2 4 3 5 3 3" xfId="23236" xr:uid="{E69BD25A-0484-4A9C-B930-46C898DDE1A5}"/>
    <cellStyle name="Normal 2 4 2 4 3 5 3 4" xfId="14788" xr:uid="{84554E25-779D-42F9-9164-16B5004AD757}"/>
    <cellStyle name="Normal 2 4 2 4 3 5 4" xfId="27459" xr:uid="{2A177BE4-CC51-4064-B511-5F15A139BE07}"/>
    <cellStyle name="Normal 2 4 2 4 3 5 5" xfId="19018" xr:uid="{CD86079C-9C07-4708-AB26-A40C1628D80D}"/>
    <cellStyle name="Normal 2 4 2 4 3 5 6" xfId="10570" xr:uid="{0CA8374A-5B28-4046-BD6C-CC73C2D82E31}"/>
    <cellStyle name="Normal 2 4 2 4 3 6" xfId="2468" xr:uid="{00000000-0005-0000-0000-0000700F0000}"/>
    <cellStyle name="Normal 2 4 2 4 3 6 2" xfId="6751" xr:uid="{00000000-0005-0000-0000-0000710F0000}"/>
    <cellStyle name="Normal 2 4 2 4 3 6 2 2" xfId="32090" xr:uid="{DC776D72-8057-4D9F-96AA-887A1DB4AD8F}"/>
    <cellStyle name="Normal 2 4 2 4 3 6 2 3" xfId="23649" xr:uid="{782AAB59-BC30-470C-BC2B-6771346B0F57}"/>
    <cellStyle name="Normal 2 4 2 4 3 6 2 4" xfId="15201" xr:uid="{50913D0C-75E8-4C42-AC02-AAE8741B4453}"/>
    <cellStyle name="Normal 2 4 2 4 3 6 3" xfId="27872" xr:uid="{33BD3903-3E7D-4D08-8B98-41A1FAB992B7}"/>
    <cellStyle name="Normal 2 4 2 4 3 6 4" xfId="19431" xr:uid="{AB6DF797-7729-445D-A167-6E35E2C95AA3}"/>
    <cellStyle name="Normal 2 4 2 4 3 6 5" xfId="10983" xr:uid="{1B0AA396-9B0C-4A9D-9123-60E148769AB3}"/>
    <cellStyle name="Normal 2 4 2 4 3 7" xfId="4685" xr:uid="{00000000-0005-0000-0000-0000720F0000}"/>
    <cellStyle name="Normal 2 4 2 4 3 7 2" xfId="30024" xr:uid="{690290B0-95C9-4F19-A3EA-9184F5E68174}"/>
    <cellStyle name="Normal 2 4 2 4 3 7 3" xfId="21583" xr:uid="{CA388629-3F5C-4B22-ACA6-3DF55884965B}"/>
    <cellStyle name="Normal 2 4 2 4 3 7 4" xfId="13135" xr:uid="{ED341C51-6139-4663-A6CF-800DD6B54DBB}"/>
    <cellStyle name="Normal 2 4 2 4 3 8" xfId="25806" xr:uid="{13736F47-BC9D-4095-8CF8-33C1C105DFAD}"/>
    <cellStyle name="Normal 2 4 2 4 3 9" xfId="17365" xr:uid="{4258CC1F-ED98-4B76-875E-3A310BA457BD}"/>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32580" xr:uid="{5E637907-AFB8-41A9-A9FB-D7B9E2110919}"/>
    <cellStyle name="Normal 2 4 2 4 4 2 2 3" xfId="24139" xr:uid="{78CCEACF-0ED1-4E53-8F22-E1B62994F0A3}"/>
    <cellStyle name="Normal 2 4 2 4 4 2 2 4" xfId="15691" xr:uid="{0A1AD61E-6486-4ED3-8746-625B8D9EAC36}"/>
    <cellStyle name="Normal 2 4 2 4 4 2 3" xfId="28362" xr:uid="{4C462874-3FA0-4592-B255-79E71223CB0B}"/>
    <cellStyle name="Normal 2 4 2 4 4 2 4" xfId="19921" xr:uid="{3B9460F8-AA59-43BC-9EC9-1D865871D0DF}"/>
    <cellStyle name="Normal 2 4 2 4 4 2 5" xfId="11473" xr:uid="{46C5063D-1CDF-44ED-AC2A-2C2E33A81B26}"/>
    <cellStyle name="Normal 2 4 2 4 4 3" xfId="5096" xr:uid="{00000000-0005-0000-0000-0000760F0000}"/>
    <cellStyle name="Normal 2 4 2 4 4 3 2" xfId="30435" xr:uid="{DCD5A8CA-EB93-4B39-84B8-BACA2F948732}"/>
    <cellStyle name="Normal 2 4 2 4 4 3 3" xfId="21994" xr:uid="{A948BDC4-C6C9-4BBD-8EF0-E628211B4015}"/>
    <cellStyle name="Normal 2 4 2 4 4 3 4" xfId="13546" xr:uid="{618E90F8-C4A7-4180-BB12-D7CDD567D002}"/>
    <cellStyle name="Normal 2 4 2 4 4 4" xfId="26217" xr:uid="{7335E705-EBAE-499C-BB86-525EF29AD6B8}"/>
    <cellStyle name="Normal 2 4 2 4 4 5" xfId="17776" xr:uid="{63FC99BF-0D11-4EB6-BC2E-896099D007BE}"/>
    <cellStyle name="Normal 2 4 2 4 4 6" xfId="9328" xr:uid="{7C3DF103-41BD-4832-943D-22EFE6402E51}"/>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32993" xr:uid="{AC26EE0B-B467-4F6B-A28F-075FF86CE6B7}"/>
    <cellStyle name="Normal 2 4 2 4 5 2 2 3" xfId="24552" xr:uid="{927B4BA0-8958-4C5E-A25C-2D1901542BE0}"/>
    <cellStyle name="Normal 2 4 2 4 5 2 2 4" xfId="16104" xr:uid="{8C4546B9-6B8E-474F-8018-3AD7EC40FB21}"/>
    <cellStyle name="Normal 2 4 2 4 5 2 3" xfId="28775" xr:uid="{6BE1BB3B-DF63-456C-875B-8C0967A4481A}"/>
    <cellStyle name="Normal 2 4 2 4 5 2 4" xfId="20334" xr:uid="{7BE39BFE-983A-468D-8360-2559E8C02B12}"/>
    <cellStyle name="Normal 2 4 2 4 5 2 5" xfId="11886" xr:uid="{09FBEEDA-77AA-48AA-956A-E101E2314FD0}"/>
    <cellStyle name="Normal 2 4 2 4 5 3" xfId="5509" xr:uid="{00000000-0005-0000-0000-00007A0F0000}"/>
    <cellStyle name="Normal 2 4 2 4 5 3 2" xfId="30848" xr:uid="{F3D9D241-B9C4-425B-8D5A-EC2A32F3845A}"/>
    <cellStyle name="Normal 2 4 2 4 5 3 3" xfId="22407" xr:uid="{7D12D63D-E9F7-4AAA-9F87-CF33890249D9}"/>
    <cellStyle name="Normal 2 4 2 4 5 3 4" xfId="13959" xr:uid="{C3F050AB-87D5-4942-8C83-CD23A1CA4685}"/>
    <cellStyle name="Normal 2 4 2 4 5 4" xfId="26630" xr:uid="{0BCEA311-FF34-43EC-B6CE-D7AAD15DD3E5}"/>
    <cellStyle name="Normal 2 4 2 4 5 5" xfId="18189" xr:uid="{9CB0A68A-D084-4405-AD73-220EC55DE684}"/>
    <cellStyle name="Normal 2 4 2 4 5 6" xfId="9741" xr:uid="{F728A7E2-49E3-4C21-8EEF-BAE8242AF2D7}"/>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33406" xr:uid="{6859E03A-E81A-46E0-8980-1F4843CB72AD}"/>
    <cellStyle name="Normal 2 4 2 4 6 2 2 3" xfId="24965" xr:uid="{6D61B032-9226-4652-A612-B7784FCB38A2}"/>
    <cellStyle name="Normal 2 4 2 4 6 2 2 4" xfId="16517" xr:uid="{0AF1007A-821C-4F85-AD36-64FD3F5E6211}"/>
    <cellStyle name="Normal 2 4 2 4 6 2 3" xfId="29188" xr:uid="{46891B4D-CE8E-41E2-8473-7055A596DA84}"/>
    <cellStyle name="Normal 2 4 2 4 6 2 4" xfId="20747" xr:uid="{D813D5D8-DFED-48E7-9DE6-A3B9239B69E0}"/>
    <cellStyle name="Normal 2 4 2 4 6 2 5" xfId="12299" xr:uid="{C00194E6-66CA-4C36-9483-802D034FA465}"/>
    <cellStyle name="Normal 2 4 2 4 6 3" xfId="5922" xr:uid="{00000000-0005-0000-0000-00007E0F0000}"/>
    <cellStyle name="Normal 2 4 2 4 6 3 2" xfId="31261" xr:uid="{300ED40A-C5E7-463A-A87A-13C735C10D8A}"/>
    <cellStyle name="Normal 2 4 2 4 6 3 3" xfId="22820" xr:uid="{CC130A3E-EDBF-42DA-A15D-A2C7F33277F4}"/>
    <cellStyle name="Normal 2 4 2 4 6 3 4" xfId="14372" xr:uid="{A996D74A-E709-437A-9C3D-972A7B41B1B8}"/>
    <cellStyle name="Normal 2 4 2 4 6 4" xfId="27043" xr:uid="{E6F34A79-A7FD-41CC-849A-F6C61F3584C5}"/>
    <cellStyle name="Normal 2 4 2 4 6 5" xfId="18602" xr:uid="{E52AFB05-0E51-431D-9197-F85DE7C93C99}"/>
    <cellStyle name="Normal 2 4 2 4 6 6" xfId="10154" xr:uid="{03082C31-1E56-43D9-83E0-4AB63E75D023}"/>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33819" xr:uid="{5C4D9A30-F439-4280-AB5F-CB91FC25A836}"/>
    <cellStyle name="Normal 2 4 2 4 7 2 2 3" xfId="25378" xr:uid="{069CCA5D-B4CB-4287-91D4-3FFA331CAD55}"/>
    <cellStyle name="Normal 2 4 2 4 7 2 2 4" xfId="16930" xr:uid="{8D41A593-CE7F-4CD6-98CC-736A41CCD70D}"/>
    <cellStyle name="Normal 2 4 2 4 7 2 3" xfId="29601" xr:uid="{D2062AB9-0EAD-4C6E-A8DA-345512C9C73F}"/>
    <cellStyle name="Normal 2 4 2 4 7 2 4" xfId="21160" xr:uid="{FDCCDA06-5E1F-4EC0-B012-06847F36F4A0}"/>
    <cellStyle name="Normal 2 4 2 4 7 2 5" xfId="12712" xr:uid="{B05BD713-5963-47C3-BD03-A80A3204C7DA}"/>
    <cellStyle name="Normal 2 4 2 4 7 3" xfId="6335" xr:uid="{00000000-0005-0000-0000-0000820F0000}"/>
    <cellStyle name="Normal 2 4 2 4 7 3 2" xfId="31674" xr:uid="{67EDC766-16DC-4E13-9BFC-26D78695C059}"/>
    <cellStyle name="Normal 2 4 2 4 7 3 3" xfId="23233" xr:uid="{A6BE13C2-CAD5-41D8-860B-7DAEFD486981}"/>
    <cellStyle name="Normal 2 4 2 4 7 3 4" xfId="14785" xr:uid="{7031BF5B-3737-48D2-A7B4-CFECE903CF37}"/>
    <cellStyle name="Normal 2 4 2 4 7 4" xfId="27456" xr:uid="{9A74F17A-A257-40D7-89F5-64FF0A9AA99C}"/>
    <cellStyle name="Normal 2 4 2 4 7 5" xfId="19015" xr:uid="{878359BE-6C38-4A3A-AAEF-ED17721AB01D}"/>
    <cellStyle name="Normal 2 4 2 4 7 6" xfId="10567" xr:uid="{2D0695B5-7787-46B1-AFE3-19747D07D526}"/>
    <cellStyle name="Normal 2 4 2 4 8" xfId="2465" xr:uid="{00000000-0005-0000-0000-0000830F0000}"/>
    <cellStyle name="Normal 2 4 2 4 8 2" xfId="6748" xr:uid="{00000000-0005-0000-0000-0000840F0000}"/>
    <cellStyle name="Normal 2 4 2 4 8 2 2" xfId="32087" xr:uid="{6E76C6F4-CDD8-44ED-B338-CAEF83030E3E}"/>
    <cellStyle name="Normal 2 4 2 4 8 2 3" xfId="23646" xr:uid="{BA78FDB8-B29A-4D21-970F-031279FEF616}"/>
    <cellStyle name="Normal 2 4 2 4 8 2 4" xfId="15198" xr:uid="{D3C6A2AD-3751-4B90-883C-B33BCEB588BE}"/>
    <cellStyle name="Normal 2 4 2 4 8 3" xfId="27869" xr:uid="{132AEA7D-EBF8-4C01-97C3-4C3B6F1F0150}"/>
    <cellStyle name="Normal 2 4 2 4 8 4" xfId="19428" xr:uid="{A7A98AB4-2709-419F-B535-4BD26773E8D7}"/>
    <cellStyle name="Normal 2 4 2 4 8 5" xfId="10980" xr:uid="{43AACA13-E6D5-4B8A-8CF2-55D16CBC3958}"/>
    <cellStyle name="Normal 2 4 2 4 9" xfId="4682" xr:uid="{00000000-0005-0000-0000-0000850F0000}"/>
    <cellStyle name="Normal 2 4 2 4 9 2" xfId="30021" xr:uid="{D7A0D423-E041-42E3-AA3D-9CB5DE65558C}"/>
    <cellStyle name="Normal 2 4 2 4 9 3" xfId="21580" xr:uid="{2179992E-5010-4DBB-8CE3-606AADBA146E}"/>
    <cellStyle name="Normal 2 4 2 4 9 4" xfId="13132" xr:uid="{B0AE1B34-E1D7-494E-8340-C10E06E138C9}"/>
    <cellStyle name="Normal 2 4 2 5" xfId="293" xr:uid="{00000000-0005-0000-0000-0000860F0000}"/>
    <cellStyle name="Normal 2 4 2 5 10" xfId="17366" xr:uid="{46645A3C-3DB4-4F29-B46B-ED7091E4F03C}"/>
    <cellStyle name="Normal 2 4 2 5 11" xfId="8918" xr:uid="{74FFFDB6-43C6-48BF-A63A-FAE162FF2147}"/>
    <cellStyle name="Normal 2 4 2 5 2" xfId="294" xr:uid="{00000000-0005-0000-0000-0000870F0000}"/>
    <cellStyle name="Normal 2 4 2 5 2 10" xfId="8919" xr:uid="{76DED74F-90DB-44D2-B565-BCBB82163873}"/>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32585" xr:uid="{EF0145A3-A537-4B28-A205-3F559E9C66F4}"/>
    <cellStyle name="Normal 2 4 2 5 2 2 2 2 3" xfId="24144" xr:uid="{41AAEC19-89AE-4D07-8E13-5319035B5D54}"/>
    <cellStyle name="Normal 2 4 2 5 2 2 2 2 4" xfId="15696" xr:uid="{120E6345-034C-466B-B4F3-D24BABBF68DE}"/>
    <cellStyle name="Normal 2 4 2 5 2 2 2 3" xfId="28367" xr:uid="{52927CD6-A533-4A9D-AC3C-DBCAA74D2ACA}"/>
    <cellStyle name="Normal 2 4 2 5 2 2 2 4" xfId="19926" xr:uid="{F05C2413-6925-453A-A01A-11AD6CB9EA14}"/>
    <cellStyle name="Normal 2 4 2 5 2 2 2 5" xfId="11478" xr:uid="{0738A7C4-0C4C-44D5-9779-5B4E0BD9F517}"/>
    <cellStyle name="Normal 2 4 2 5 2 2 3" xfId="5101" xr:uid="{00000000-0005-0000-0000-00008B0F0000}"/>
    <cellStyle name="Normal 2 4 2 5 2 2 3 2" xfId="30440" xr:uid="{871F6B5A-A797-4E6E-9044-0D005D9133B8}"/>
    <cellStyle name="Normal 2 4 2 5 2 2 3 3" xfId="21999" xr:uid="{ABB59362-1324-4D34-BBBA-5A1A802F1F7D}"/>
    <cellStyle name="Normal 2 4 2 5 2 2 3 4" xfId="13551" xr:uid="{135E4D88-BFD0-4A5B-A879-FBDE3729A50B}"/>
    <cellStyle name="Normal 2 4 2 5 2 2 4" xfId="26222" xr:uid="{9BFA56DC-D6CF-4DD0-A8FC-03A02611E0A0}"/>
    <cellStyle name="Normal 2 4 2 5 2 2 5" xfId="17781" xr:uid="{614AE16C-C9D9-4D96-9392-5087595A8561}"/>
    <cellStyle name="Normal 2 4 2 5 2 2 6" xfId="9333" xr:uid="{81F94BF1-AE2D-4723-8E78-1EC585EBB49D}"/>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32998" xr:uid="{5766EB46-CD43-449F-92DC-244ADB69FBFF}"/>
    <cellStyle name="Normal 2 4 2 5 2 3 2 2 3" xfId="24557" xr:uid="{596D4BBA-00F3-41E7-A1A4-8E21A37BE993}"/>
    <cellStyle name="Normal 2 4 2 5 2 3 2 2 4" xfId="16109" xr:uid="{B77B9A49-1596-4524-9746-DFE3CFDC6F5B}"/>
    <cellStyle name="Normal 2 4 2 5 2 3 2 3" xfId="28780" xr:uid="{3F5ABC66-B8E0-459E-9A14-7F5FFEAEE7F5}"/>
    <cellStyle name="Normal 2 4 2 5 2 3 2 4" xfId="20339" xr:uid="{4722404B-B927-4D52-B320-EDC2798020D9}"/>
    <cellStyle name="Normal 2 4 2 5 2 3 2 5" xfId="11891" xr:uid="{885FEDAF-BF4E-4982-9B1B-B2B7FE7232C4}"/>
    <cellStyle name="Normal 2 4 2 5 2 3 3" xfId="5514" xr:uid="{00000000-0005-0000-0000-00008F0F0000}"/>
    <cellStyle name="Normal 2 4 2 5 2 3 3 2" xfId="30853" xr:uid="{07E0EEC6-F225-41FC-8BE6-D6FAC7B82BDE}"/>
    <cellStyle name="Normal 2 4 2 5 2 3 3 3" xfId="22412" xr:uid="{C98BFA5C-BB12-45EE-951A-44F41D01D329}"/>
    <cellStyle name="Normal 2 4 2 5 2 3 3 4" xfId="13964" xr:uid="{BA215527-B5D2-4BEE-8DC0-8453BEF4DAC2}"/>
    <cellStyle name="Normal 2 4 2 5 2 3 4" xfId="26635" xr:uid="{F4905D4D-CE94-4CCD-9E1F-83BEEF7F43A6}"/>
    <cellStyle name="Normal 2 4 2 5 2 3 5" xfId="18194" xr:uid="{9EE99524-64DC-4166-98F4-728C0C13F39D}"/>
    <cellStyle name="Normal 2 4 2 5 2 3 6" xfId="9746" xr:uid="{F838DA5F-0685-4E9E-90E1-29705A152F43}"/>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33411" xr:uid="{32B1F934-17A8-40E9-83CA-796368C8ED0C}"/>
    <cellStyle name="Normal 2 4 2 5 2 4 2 2 3" xfId="24970" xr:uid="{D1FAFC00-EF01-4685-BA1D-9C0A58A54ED1}"/>
    <cellStyle name="Normal 2 4 2 5 2 4 2 2 4" xfId="16522" xr:uid="{3AD4A233-44E3-4DE2-8C58-E2A53A1F2DB6}"/>
    <cellStyle name="Normal 2 4 2 5 2 4 2 3" xfId="29193" xr:uid="{643C9DD1-DD9A-45DD-BEF9-0218E75FF31E}"/>
    <cellStyle name="Normal 2 4 2 5 2 4 2 4" xfId="20752" xr:uid="{6EEBAA80-7C2B-4D42-85E4-9CAC21E8075F}"/>
    <cellStyle name="Normal 2 4 2 5 2 4 2 5" xfId="12304" xr:uid="{39F02EC6-BFD8-4889-8E75-009E5EBD6EBC}"/>
    <cellStyle name="Normal 2 4 2 5 2 4 3" xfId="5927" xr:uid="{00000000-0005-0000-0000-0000930F0000}"/>
    <cellStyle name="Normal 2 4 2 5 2 4 3 2" xfId="31266" xr:uid="{3FC0BD0A-44BE-4BED-A5E8-4A541653C11C}"/>
    <cellStyle name="Normal 2 4 2 5 2 4 3 3" xfId="22825" xr:uid="{9B95EDE9-AB1F-4002-8F2C-46949C5FB0DC}"/>
    <cellStyle name="Normal 2 4 2 5 2 4 3 4" xfId="14377" xr:uid="{A77E9D1A-8193-4628-AD2C-11B11BF58B46}"/>
    <cellStyle name="Normal 2 4 2 5 2 4 4" xfId="27048" xr:uid="{40F8B48C-02AA-4B74-94AD-985E6BDDB988}"/>
    <cellStyle name="Normal 2 4 2 5 2 4 5" xfId="18607" xr:uid="{B7C77402-2346-4BE9-9796-A6DB39961F69}"/>
    <cellStyle name="Normal 2 4 2 5 2 4 6" xfId="10159" xr:uid="{732D36C4-D693-46CD-A3FE-C4C5343AD45F}"/>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33824" xr:uid="{EF3B8C28-974D-47E3-A0E1-62C04D638D7D}"/>
    <cellStyle name="Normal 2 4 2 5 2 5 2 2 3" xfId="25383" xr:uid="{E3B059C6-528C-43F6-9A3C-20C4ACE91F37}"/>
    <cellStyle name="Normal 2 4 2 5 2 5 2 2 4" xfId="16935" xr:uid="{1600C4B9-0905-4E5D-9A63-D136DB64C5C8}"/>
    <cellStyle name="Normal 2 4 2 5 2 5 2 3" xfId="29606" xr:uid="{65AF4D31-81F2-4AE9-B024-13F9A75C0301}"/>
    <cellStyle name="Normal 2 4 2 5 2 5 2 4" xfId="21165" xr:uid="{5D13E0F3-A2D6-42E9-ABDB-3FCC3DB8F777}"/>
    <cellStyle name="Normal 2 4 2 5 2 5 2 5" xfId="12717" xr:uid="{49048FCA-5826-443C-BBA9-B8794331CC79}"/>
    <cellStyle name="Normal 2 4 2 5 2 5 3" xfId="6340" xr:uid="{00000000-0005-0000-0000-0000970F0000}"/>
    <cellStyle name="Normal 2 4 2 5 2 5 3 2" xfId="31679" xr:uid="{064E5295-D8D1-4829-98FE-117AB819E502}"/>
    <cellStyle name="Normal 2 4 2 5 2 5 3 3" xfId="23238" xr:uid="{9E03C774-3CFA-475F-89E1-72C44DAB608E}"/>
    <cellStyle name="Normal 2 4 2 5 2 5 3 4" xfId="14790" xr:uid="{F70E860B-F2E7-4A94-B7CD-3A933A92DE57}"/>
    <cellStyle name="Normal 2 4 2 5 2 5 4" xfId="27461" xr:uid="{8D150728-F57E-468E-83E1-5D9BDD95229C}"/>
    <cellStyle name="Normal 2 4 2 5 2 5 5" xfId="19020" xr:uid="{82855BEB-31E0-4450-AAFE-05BC01A15605}"/>
    <cellStyle name="Normal 2 4 2 5 2 5 6" xfId="10572" xr:uid="{9F07A323-E197-4D70-9941-2176BBE9A0DB}"/>
    <cellStyle name="Normal 2 4 2 5 2 6" xfId="2470" xr:uid="{00000000-0005-0000-0000-0000980F0000}"/>
    <cellStyle name="Normal 2 4 2 5 2 6 2" xfId="6753" xr:uid="{00000000-0005-0000-0000-0000990F0000}"/>
    <cellStyle name="Normal 2 4 2 5 2 6 2 2" xfId="32092" xr:uid="{D7C39597-4B8A-4329-9810-A1691B2C4FB2}"/>
    <cellStyle name="Normal 2 4 2 5 2 6 2 3" xfId="23651" xr:uid="{5BF4E242-8DBD-4CD2-98A1-22B80B1E8F42}"/>
    <cellStyle name="Normal 2 4 2 5 2 6 2 4" xfId="15203" xr:uid="{120301E0-DFFA-44EE-B049-A2FCC52383A5}"/>
    <cellStyle name="Normal 2 4 2 5 2 6 3" xfId="27874" xr:uid="{D6A43D01-BBF0-4DE2-B6B4-5C0489A6A28C}"/>
    <cellStyle name="Normal 2 4 2 5 2 6 4" xfId="19433" xr:uid="{69AF210D-B8BB-4CBF-A492-C363B79890E0}"/>
    <cellStyle name="Normal 2 4 2 5 2 6 5" xfId="10985" xr:uid="{41BFA5DB-8D5C-4A1F-AE8E-C25F49FACAE4}"/>
    <cellStyle name="Normal 2 4 2 5 2 7" xfId="4687" xr:uid="{00000000-0005-0000-0000-00009A0F0000}"/>
    <cellStyle name="Normal 2 4 2 5 2 7 2" xfId="30026" xr:uid="{491102F3-288E-40AE-9EA8-802833FD75B1}"/>
    <cellStyle name="Normal 2 4 2 5 2 7 3" xfId="21585" xr:uid="{ABD16783-8072-48C5-871D-8C3B184FD09C}"/>
    <cellStyle name="Normal 2 4 2 5 2 7 4" xfId="13137" xr:uid="{E52CCBCF-6F14-4E0B-878D-3276C08F066A}"/>
    <cellStyle name="Normal 2 4 2 5 2 8" xfId="25808" xr:uid="{F39D631D-2759-479C-BF43-1D714E67028E}"/>
    <cellStyle name="Normal 2 4 2 5 2 9" xfId="17367" xr:uid="{40911248-3E04-4E27-86C0-AEBD3CB840B8}"/>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32584" xr:uid="{F1C170F0-66DC-49B9-9F79-0815A6104D43}"/>
    <cellStyle name="Normal 2 4 2 5 3 2 2 3" xfId="24143" xr:uid="{DAACC71A-8ACD-48DD-870B-0285EC4854C6}"/>
    <cellStyle name="Normal 2 4 2 5 3 2 2 4" xfId="15695" xr:uid="{413F245B-7F2F-42EF-AE04-0D830C196A38}"/>
    <cellStyle name="Normal 2 4 2 5 3 2 3" xfId="28366" xr:uid="{F4BEC930-5068-43FD-8A33-0BABF8AB1146}"/>
    <cellStyle name="Normal 2 4 2 5 3 2 4" xfId="19925" xr:uid="{C34274D0-D556-41CD-81C7-A5618883465D}"/>
    <cellStyle name="Normal 2 4 2 5 3 2 5" xfId="11477" xr:uid="{082D986C-5691-4AA6-B97E-E3C4BA171DE5}"/>
    <cellStyle name="Normal 2 4 2 5 3 3" xfId="5100" xr:uid="{00000000-0005-0000-0000-00009E0F0000}"/>
    <cellStyle name="Normal 2 4 2 5 3 3 2" xfId="30439" xr:uid="{C528E5E6-794E-47EE-A9BF-1842818FC2BD}"/>
    <cellStyle name="Normal 2 4 2 5 3 3 3" xfId="21998" xr:uid="{A88F63B3-DBEA-4D47-9F7F-1DD5326CC1D2}"/>
    <cellStyle name="Normal 2 4 2 5 3 3 4" xfId="13550" xr:uid="{6234C443-B25B-4C3D-84BF-1D162E1DE94F}"/>
    <cellStyle name="Normal 2 4 2 5 3 4" xfId="26221" xr:uid="{38CEDA65-C909-455F-A6EF-68B3DCBC8C52}"/>
    <cellStyle name="Normal 2 4 2 5 3 5" xfId="17780" xr:uid="{C56DFF46-77AA-4AE2-B583-4777FCB52BCF}"/>
    <cellStyle name="Normal 2 4 2 5 3 6" xfId="9332" xr:uid="{246D0FE0-FB14-41D7-8393-A67F1D3566FA}"/>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32997" xr:uid="{EE694041-62DF-4D95-B656-A5A0F8BAB35A}"/>
    <cellStyle name="Normal 2 4 2 5 4 2 2 3" xfId="24556" xr:uid="{08F23EFD-87A0-4B59-A67E-5065F411A4F0}"/>
    <cellStyle name="Normal 2 4 2 5 4 2 2 4" xfId="16108" xr:uid="{F0A5DF0D-322A-4B66-8E24-E747B58EA5AA}"/>
    <cellStyle name="Normal 2 4 2 5 4 2 3" xfId="28779" xr:uid="{6B6B23E7-DED3-4844-AB56-F45A789B75B0}"/>
    <cellStyle name="Normal 2 4 2 5 4 2 4" xfId="20338" xr:uid="{BAF48CA0-4C4B-41C8-8256-DD89C79C9D55}"/>
    <cellStyle name="Normal 2 4 2 5 4 2 5" xfId="11890" xr:uid="{80CBCE53-9D9B-4BA7-BDB0-EB970E0A47AA}"/>
    <cellStyle name="Normal 2 4 2 5 4 3" xfId="5513" xr:uid="{00000000-0005-0000-0000-0000A20F0000}"/>
    <cellStyle name="Normal 2 4 2 5 4 3 2" xfId="30852" xr:uid="{ECAB6F06-E87E-4C80-9B6B-C50695D13BAF}"/>
    <cellStyle name="Normal 2 4 2 5 4 3 3" xfId="22411" xr:uid="{A0C22973-3A32-46B5-ACA7-56FB532F2281}"/>
    <cellStyle name="Normal 2 4 2 5 4 3 4" xfId="13963" xr:uid="{58871BCC-33BA-4901-9B43-C468A22DC0DD}"/>
    <cellStyle name="Normal 2 4 2 5 4 4" xfId="26634" xr:uid="{3327D09C-F228-404A-8F69-216755737A66}"/>
    <cellStyle name="Normal 2 4 2 5 4 5" xfId="18193" xr:uid="{AD60003B-2128-4FD5-9CA8-084841073B7D}"/>
    <cellStyle name="Normal 2 4 2 5 4 6" xfId="9745" xr:uid="{F6FA0C4D-1154-4A99-8442-2E6A44EEC1E4}"/>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33410" xr:uid="{CE8F9542-49CF-4CBD-8742-79B1419FE0DC}"/>
    <cellStyle name="Normal 2 4 2 5 5 2 2 3" xfId="24969" xr:uid="{B872C10E-2FFC-4199-BCF3-735F3D88C905}"/>
    <cellStyle name="Normal 2 4 2 5 5 2 2 4" xfId="16521" xr:uid="{E90A91D8-C8F5-4A0E-BD36-35EA32B6BABE}"/>
    <cellStyle name="Normal 2 4 2 5 5 2 3" xfId="29192" xr:uid="{6A62E9CA-6243-46D1-8234-F5677C13D1AB}"/>
    <cellStyle name="Normal 2 4 2 5 5 2 4" xfId="20751" xr:uid="{28E4A622-DD53-47BA-A667-8CB2A1DE90A5}"/>
    <cellStyle name="Normal 2 4 2 5 5 2 5" xfId="12303" xr:uid="{C4D93B15-2ED1-4F8B-A1B7-DB19E56C6AAA}"/>
    <cellStyle name="Normal 2 4 2 5 5 3" xfId="5926" xr:uid="{00000000-0005-0000-0000-0000A60F0000}"/>
    <cellStyle name="Normal 2 4 2 5 5 3 2" xfId="31265" xr:uid="{CB617F86-D8CE-41D5-BA71-1B66FBA71292}"/>
    <cellStyle name="Normal 2 4 2 5 5 3 3" xfId="22824" xr:uid="{DE456EB7-7882-44E4-A85A-2607750F07B6}"/>
    <cellStyle name="Normal 2 4 2 5 5 3 4" xfId="14376" xr:uid="{DF3EBED0-CF93-48EB-B645-F166F80CA88A}"/>
    <cellStyle name="Normal 2 4 2 5 5 4" xfId="27047" xr:uid="{EBF32697-366E-4F8D-9C2B-93FFC0E2C746}"/>
    <cellStyle name="Normal 2 4 2 5 5 5" xfId="18606" xr:uid="{4480A841-FF25-4910-9999-212D3552A132}"/>
    <cellStyle name="Normal 2 4 2 5 5 6" xfId="10158" xr:uid="{C2301935-3EAC-4415-ACF0-F8F8FC864796}"/>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33823" xr:uid="{706BDBCC-96BA-4304-9647-E5043764E56A}"/>
    <cellStyle name="Normal 2 4 2 5 6 2 2 3" xfId="25382" xr:uid="{69F47AB9-CC5E-4CCF-B88D-BFF6EEC9B251}"/>
    <cellStyle name="Normal 2 4 2 5 6 2 2 4" xfId="16934" xr:uid="{D2E17B1D-2297-40A3-8B71-C58BC5A21FC1}"/>
    <cellStyle name="Normal 2 4 2 5 6 2 3" xfId="29605" xr:uid="{282307C7-59C9-4095-9127-615478F0AD34}"/>
    <cellStyle name="Normal 2 4 2 5 6 2 4" xfId="21164" xr:uid="{2A900423-6AEC-4442-B3EE-9AD2F2B8C412}"/>
    <cellStyle name="Normal 2 4 2 5 6 2 5" xfId="12716" xr:uid="{090B59A5-D3CB-4221-B292-E967E500A799}"/>
    <cellStyle name="Normal 2 4 2 5 6 3" xfId="6339" xr:uid="{00000000-0005-0000-0000-0000AA0F0000}"/>
    <cellStyle name="Normal 2 4 2 5 6 3 2" xfId="31678" xr:uid="{B6821885-2243-4F5B-BBE6-888AA3CFE319}"/>
    <cellStyle name="Normal 2 4 2 5 6 3 3" xfId="23237" xr:uid="{8B4A7B6B-B570-4289-94A7-50DB34517823}"/>
    <cellStyle name="Normal 2 4 2 5 6 3 4" xfId="14789" xr:uid="{2C0E4696-434D-4258-8A27-DD1315763BF1}"/>
    <cellStyle name="Normal 2 4 2 5 6 4" xfId="27460" xr:uid="{3E251C8E-687D-4B51-ACB6-98C24B8C57B4}"/>
    <cellStyle name="Normal 2 4 2 5 6 5" xfId="19019" xr:uid="{43FBFB61-F647-4B31-BB98-A5783251182E}"/>
    <cellStyle name="Normal 2 4 2 5 6 6" xfId="10571" xr:uid="{14D86023-A003-45D9-B991-E7CCC668B140}"/>
    <cellStyle name="Normal 2 4 2 5 7" xfId="2469" xr:uid="{00000000-0005-0000-0000-0000AB0F0000}"/>
    <cellStyle name="Normal 2 4 2 5 7 2" xfId="6752" xr:uid="{00000000-0005-0000-0000-0000AC0F0000}"/>
    <cellStyle name="Normal 2 4 2 5 7 2 2" xfId="32091" xr:uid="{66C77705-BDFC-44A2-B3BA-64087F95BC59}"/>
    <cellStyle name="Normal 2 4 2 5 7 2 3" xfId="23650" xr:uid="{EE808F02-F222-4A78-8406-0B3AE1B15572}"/>
    <cellStyle name="Normal 2 4 2 5 7 2 4" xfId="15202" xr:uid="{E7391BB6-5F9D-410E-BF30-324957D12A75}"/>
    <cellStyle name="Normal 2 4 2 5 7 3" xfId="27873" xr:uid="{45EB42AD-EE88-4416-BC64-E1319F598529}"/>
    <cellStyle name="Normal 2 4 2 5 7 4" xfId="19432" xr:uid="{ED69CB89-CE50-4F61-8E2C-3B3D78CBEE24}"/>
    <cellStyle name="Normal 2 4 2 5 7 5" xfId="10984" xr:uid="{0989095E-F333-4975-ABCA-784975E3D386}"/>
    <cellStyle name="Normal 2 4 2 5 8" xfId="4686" xr:uid="{00000000-0005-0000-0000-0000AD0F0000}"/>
    <cellStyle name="Normal 2 4 2 5 8 2" xfId="30025" xr:uid="{F825BC1B-2A2B-43DE-A6E4-EC891BCFD72B}"/>
    <cellStyle name="Normal 2 4 2 5 8 3" xfId="21584" xr:uid="{DFA18D0D-C6A5-4233-A95C-97AFB5AA0426}"/>
    <cellStyle name="Normal 2 4 2 5 8 4" xfId="13136" xr:uid="{18B09AC9-BA16-436B-90D5-4397124D1A8F}"/>
    <cellStyle name="Normal 2 4 2 5 9" xfId="25807" xr:uid="{A4001E0D-9519-41CC-8C68-331754175043}"/>
    <cellStyle name="Normal 2 4 2 6" xfId="295" xr:uid="{00000000-0005-0000-0000-0000AE0F0000}"/>
    <cellStyle name="Normal 2 4 2 6 10" xfId="8920" xr:uid="{C44B019D-CCE4-442F-AD55-5A9EF7D0195D}"/>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32586" xr:uid="{10724326-8447-4D95-A15C-C8D64D9C0B5E}"/>
    <cellStyle name="Normal 2 4 2 6 2 2 2 3" xfId="24145" xr:uid="{1FE85F89-524D-4F66-A1D1-5067A5D181A2}"/>
    <cellStyle name="Normal 2 4 2 6 2 2 2 4" xfId="15697" xr:uid="{8ACDA36E-1B44-401E-B10F-F217458B1BCE}"/>
    <cellStyle name="Normal 2 4 2 6 2 2 3" xfId="28368" xr:uid="{DFE3BE6E-0EA2-4C18-A791-83F1D53DF20D}"/>
    <cellStyle name="Normal 2 4 2 6 2 2 4" xfId="19927" xr:uid="{21A95044-101E-45EB-B803-A089BE06502B}"/>
    <cellStyle name="Normal 2 4 2 6 2 2 5" xfId="11479" xr:uid="{065F965F-CE74-4E3A-91EC-09DAC3F03640}"/>
    <cellStyle name="Normal 2 4 2 6 2 3" xfId="5102" xr:uid="{00000000-0005-0000-0000-0000B20F0000}"/>
    <cellStyle name="Normal 2 4 2 6 2 3 2" xfId="30441" xr:uid="{C533C44A-6A95-4BD1-9E9F-585E59664943}"/>
    <cellStyle name="Normal 2 4 2 6 2 3 3" xfId="22000" xr:uid="{5708A0E4-A22C-4CDC-8F27-DD8C74C2EFCF}"/>
    <cellStyle name="Normal 2 4 2 6 2 3 4" xfId="13552" xr:uid="{8DB98AA4-E8AA-4D35-8518-E4D2A56151D9}"/>
    <cellStyle name="Normal 2 4 2 6 2 4" xfId="26223" xr:uid="{C54F7D53-4C1C-4945-A1FB-BFBA4B58FC07}"/>
    <cellStyle name="Normal 2 4 2 6 2 5" xfId="17782" xr:uid="{7AAC59AC-071E-4FC1-8334-9C373D3DD8E3}"/>
    <cellStyle name="Normal 2 4 2 6 2 6" xfId="9334" xr:uid="{6FDA56F8-8D5A-4C2E-9163-5FC2D3B83BC5}"/>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32999" xr:uid="{32F60B3D-08EA-4ECF-B6CF-189AAAB46306}"/>
    <cellStyle name="Normal 2 4 2 6 3 2 2 3" xfId="24558" xr:uid="{957114F7-82B6-480A-8FD1-925AB1571C2A}"/>
    <cellStyle name="Normal 2 4 2 6 3 2 2 4" xfId="16110" xr:uid="{0516E542-32DB-4326-8D7C-D01A6FF863F5}"/>
    <cellStyle name="Normal 2 4 2 6 3 2 3" xfId="28781" xr:uid="{C76C0C11-ED62-4BD0-8C0A-243CDB7D1592}"/>
    <cellStyle name="Normal 2 4 2 6 3 2 4" xfId="20340" xr:uid="{6AF36472-DCBC-43C9-B0B1-107F8EE4BC14}"/>
    <cellStyle name="Normal 2 4 2 6 3 2 5" xfId="11892" xr:uid="{BF0B2432-5FFD-4195-A75D-ABC6408B64F7}"/>
    <cellStyle name="Normal 2 4 2 6 3 3" xfId="5515" xr:uid="{00000000-0005-0000-0000-0000B60F0000}"/>
    <cellStyle name="Normal 2 4 2 6 3 3 2" xfId="30854" xr:uid="{2A230EFC-6241-40ED-805F-C0FF38CE5DB3}"/>
    <cellStyle name="Normal 2 4 2 6 3 3 3" xfId="22413" xr:uid="{8A8CFB71-C631-4762-8F7D-48CA5B218ABF}"/>
    <cellStyle name="Normal 2 4 2 6 3 3 4" xfId="13965" xr:uid="{5446E3CE-C1AB-4AFE-BAC4-AF4AEA705664}"/>
    <cellStyle name="Normal 2 4 2 6 3 4" xfId="26636" xr:uid="{A48FADD3-3A98-45F5-B1E6-F670F7D6787F}"/>
    <cellStyle name="Normal 2 4 2 6 3 5" xfId="18195" xr:uid="{809AF577-3965-48EF-A908-3B9FD88CEFBF}"/>
    <cellStyle name="Normal 2 4 2 6 3 6" xfId="9747" xr:uid="{41AD73B3-BC66-441E-BB45-26A2911B959E}"/>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33412" xr:uid="{CEA4F45F-72F8-4849-B8B1-5603C3426F25}"/>
    <cellStyle name="Normal 2 4 2 6 4 2 2 3" xfId="24971" xr:uid="{958FFB35-2EC8-4C2D-BAF1-1BC49ECD519E}"/>
    <cellStyle name="Normal 2 4 2 6 4 2 2 4" xfId="16523" xr:uid="{78B7C121-807E-454C-944E-C003AA4B5084}"/>
    <cellStyle name="Normal 2 4 2 6 4 2 3" xfId="29194" xr:uid="{4227B552-F773-4DA7-86D5-9B0FA7A902A3}"/>
    <cellStyle name="Normal 2 4 2 6 4 2 4" xfId="20753" xr:uid="{AC0113AB-5C74-43A2-87F2-D6357D7814F7}"/>
    <cellStyle name="Normal 2 4 2 6 4 2 5" xfId="12305" xr:uid="{E2E9059D-FC22-4B9C-80A0-D09D93E18BC6}"/>
    <cellStyle name="Normal 2 4 2 6 4 3" xfId="5928" xr:uid="{00000000-0005-0000-0000-0000BA0F0000}"/>
    <cellStyle name="Normal 2 4 2 6 4 3 2" xfId="31267" xr:uid="{79CD5F08-D27C-4EAB-88F0-C15AA958A48C}"/>
    <cellStyle name="Normal 2 4 2 6 4 3 3" xfId="22826" xr:uid="{120E1205-577A-445F-85AE-05C7F2F2E749}"/>
    <cellStyle name="Normal 2 4 2 6 4 3 4" xfId="14378" xr:uid="{16118ED9-2A85-4088-89FD-926940B5E1FB}"/>
    <cellStyle name="Normal 2 4 2 6 4 4" xfId="27049" xr:uid="{CFD13F27-1BE1-4DDA-B8AB-090BB506A3D3}"/>
    <cellStyle name="Normal 2 4 2 6 4 5" xfId="18608" xr:uid="{02113ABC-C6D4-47E4-B7F5-6EC0A529CE02}"/>
    <cellStyle name="Normal 2 4 2 6 4 6" xfId="10160" xr:uid="{0C48189E-5039-4899-A289-B633729468F1}"/>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33825" xr:uid="{A2758AF7-ACA3-4E69-B6EB-64ED036750A7}"/>
    <cellStyle name="Normal 2 4 2 6 5 2 2 3" xfId="25384" xr:uid="{4307A7C0-C883-48C6-8010-89708A4BB49F}"/>
    <cellStyle name="Normal 2 4 2 6 5 2 2 4" xfId="16936" xr:uid="{9AA2DB73-4E8F-4846-AE67-10BB6678D7B4}"/>
    <cellStyle name="Normal 2 4 2 6 5 2 3" xfId="29607" xr:uid="{3431F4C8-C6AE-4964-A020-803153C25C94}"/>
    <cellStyle name="Normal 2 4 2 6 5 2 4" xfId="21166" xr:uid="{94A2D8B9-F04B-4A96-BB83-F712FE4003DE}"/>
    <cellStyle name="Normal 2 4 2 6 5 2 5" xfId="12718" xr:uid="{B3037597-9293-4925-9D6A-7D023FD7D1E6}"/>
    <cellStyle name="Normal 2 4 2 6 5 3" xfId="6341" xr:uid="{00000000-0005-0000-0000-0000BE0F0000}"/>
    <cellStyle name="Normal 2 4 2 6 5 3 2" xfId="31680" xr:uid="{4367F418-03BB-4F5C-882D-03076A2EDC5F}"/>
    <cellStyle name="Normal 2 4 2 6 5 3 3" xfId="23239" xr:uid="{2A403208-41C7-4ABB-8C8E-839343785A96}"/>
    <cellStyle name="Normal 2 4 2 6 5 3 4" xfId="14791" xr:uid="{53DC1E1F-9FED-4CD7-A9A3-D9DDE666D7DF}"/>
    <cellStyle name="Normal 2 4 2 6 5 4" xfId="27462" xr:uid="{126CF83F-6575-4F27-887D-7B795BCD4FC7}"/>
    <cellStyle name="Normal 2 4 2 6 5 5" xfId="19021" xr:uid="{6CD45221-BC11-45A3-9EBF-CA8CB8D7AD81}"/>
    <cellStyle name="Normal 2 4 2 6 5 6" xfId="10573" xr:uid="{87405816-060A-4BD6-995D-EF793A19E83F}"/>
    <cellStyle name="Normal 2 4 2 6 6" xfId="2471" xr:uid="{00000000-0005-0000-0000-0000BF0F0000}"/>
    <cellStyle name="Normal 2 4 2 6 6 2" xfId="6754" xr:uid="{00000000-0005-0000-0000-0000C00F0000}"/>
    <cellStyle name="Normal 2 4 2 6 6 2 2" xfId="32093" xr:uid="{2C09FC9A-C6CF-4982-9C4A-DB1FEC8F638E}"/>
    <cellStyle name="Normal 2 4 2 6 6 2 3" xfId="23652" xr:uid="{59D203B9-1AEE-4E30-B1E8-57B2C7E2EEC9}"/>
    <cellStyle name="Normal 2 4 2 6 6 2 4" xfId="15204" xr:uid="{7A792D84-1171-4C38-8AFF-B5012027C872}"/>
    <cellStyle name="Normal 2 4 2 6 6 3" xfId="27875" xr:uid="{33E7A67D-E743-4129-8365-0BE451336692}"/>
    <cellStyle name="Normal 2 4 2 6 6 4" xfId="19434" xr:uid="{85E25DE5-6D22-45F1-B715-296C54572D84}"/>
    <cellStyle name="Normal 2 4 2 6 6 5" xfId="10986" xr:uid="{972D9979-4918-4AE3-B737-9E0C3E8FE800}"/>
    <cellStyle name="Normal 2 4 2 6 7" xfId="4688" xr:uid="{00000000-0005-0000-0000-0000C10F0000}"/>
    <cellStyle name="Normal 2 4 2 6 7 2" xfId="30027" xr:uid="{249ECACD-CD59-41CC-A640-5C4500AAA851}"/>
    <cellStyle name="Normal 2 4 2 6 7 3" xfId="21586" xr:uid="{4301C2C7-B236-488D-B1C1-160F2833389D}"/>
    <cellStyle name="Normal 2 4 2 6 7 4" xfId="13138" xr:uid="{1C29A06A-49CE-4B48-A78B-1EBFD8FBD3D7}"/>
    <cellStyle name="Normal 2 4 2 6 8" xfId="25809" xr:uid="{2CB05980-0DA1-4A07-8A71-827EF19C81E8}"/>
    <cellStyle name="Normal 2 4 2 6 9" xfId="17368" xr:uid="{610313A8-0319-4968-91E7-81E06C961FC9}"/>
    <cellStyle name="Normal 2 4 2 7" xfId="771" xr:uid="{00000000-0005-0000-0000-0000C20F0000}"/>
    <cellStyle name="Normal 2 4 2 7 2" xfId="3010" xr:uid="{00000000-0005-0000-0000-0000C30F0000}"/>
    <cellStyle name="Normal 2 4 2 7 2 2" xfId="7232" xr:uid="{00000000-0005-0000-0000-0000C40F0000}"/>
    <cellStyle name="Normal 2 4 2 7 2 2 2" xfId="32571" xr:uid="{1CF8CD25-AA96-4DC5-9B5F-61EAA9996CEC}"/>
    <cellStyle name="Normal 2 4 2 7 2 2 3" xfId="24130" xr:uid="{CC4494E6-019E-48F6-A996-E14B3DD634BE}"/>
    <cellStyle name="Normal 2 4 2 7 2 2 4" xfId="15682" xr:uid="{8D07C85C-CD3B-4A28-B29B-7994D005F402}"/>
    <cellStyle name="Normal 2 4 2 7 2 3" xfId="28353" xr:uid="{932C207F-D30F-45D6-A1B0-697370960522}"/>
    <cellStyle name="Normal 2 4 2 7 2 4" xfId="19912" xr:uid="{C2F324F7-2825-475D-978F-9C153EB1C40E}"/>
    <cellStyle name="Normal 2 4 2 7 2 5" xfId="11464" xr:uid="{39B04017-B17B-4B53-B7F2-9B332B1B199A}"/>
    <cellStyle name="Normal 2 4 2 7 3" xfId="5087" xr:uid="{00000000-0005-0000-0000-0000C50F0000}"/>
    <cellStyle name="Normal 2 4 2 7 3 2" xfId="30426" xr:uid="{4337A8A8-0BBC-4D14-8688-21F357733586}"/>
    <cellStyle name="Normal 2 4 2 7 3 3" xfId="21985" xr:uid="{304FBC5A-E29D-4987-A68A-8CD72D7BBADE}"/>
    <cellStyle name="Normal 2 4 2 7 3 4" xfId="13537" xr:uid="{6591EF76-F557-417D-9420-C8465EDB94C8}"/>
    <cellStyle name="Normal 2 4 2 7 4" xfId="26208" xr:uid="{9EB9D594-58CC-4B57-A4A2-50C4F411F98A}"/>
    <cellStyle name="Normal 2 4 2 7 5" xfId="17767" xr:uid="{6E4772DF-144B-481C-B0A9-40B0D6917C03}"/>
    <cellStyle name="Normal 2 4 2 7 6" xfId="9319" xr:uid="{44D476B1-7257-4B46-AABA-44FB46D2F79C}"/>
    <cellStyle name="Normal 2 4 2 8" xfId="1193" xr:uid="{00000000-0005-0000-0000-0000C60F0000}"/>
    <cellStyle name="Normal 2 4 2 8 2" xfId="3423" xr:uid="{00000000-0005-0000-0000-0000C70F0000}"/>
    <cellStyle name="Normal 2 4 2 8 2 2" xfId="7645" xr:uid="{00000000-0005-0000-0000-0000C80F0000}"/>
    <cellStyle name="Normal 2 4 2 8 2 2 2" xfId="32984" xr:uid="{8956D5A7-09AA-4AE8-BF20-6A6013A29DD1}"/>
    <cellStyle name="Normal 2 4 2 8 2 2 3" xfId="24543" xr:uid="{D8590769-8D4C-4475-A695-7832DC6A684C}"/>
    <cellStyle name="Normal 2 4 2 8 2 2 4" xfId="16095" xr:uid="{4D7DC70B-51E1-46DB-8D54-3B31E07FAC50}"/>
    <cellStyle name="Normal 2 4 2 8 2 3" xfId="28766" xr:uid="{1FB1E331-69AE-4CB5-A249-97BF1D407EE2}"/>
    <cellStyle name="Normal 2 4 2 8 2 4" xfId="20325" xr:uid="{E7982FCD-B5DA-4461-89F5-15CED5F13AC7}"/>
    <cellStyle name="Normal 2 4 2 8 2 5" xfId="11877" xr:uid="{E9BDAF81-C018-4B72-9263-D427BB89A304}"/>
    <cellStyle name="Normal 2 4 2 8 3" xfId="5500" xr:uid="{00000000-0005-0000-0000-0000C90F0000}"/>
    <cellStyle name="Normal 2 4 2 8 3 2" xfId="30839" xr:uid="{D07E0C42-129F-4D46-8DD1-7DC3B8DD0712}"/>
    <cellStyle name="Normal 2 4 2 8 3 3" xfId="22398" xr:uid="{171628F5-DF58-4B89-B3EB-127A5DB4C37F}"/>
    <cellStyle name="Normal 2 4 2 8 3 4" xfId="13950" xr:uid="{66CFA7E4-B18F-44A4-86B4-F12C18BCB6B4}"/>
    <cellStyle name="Normal 2 4 2 8 4" xfId="26621" xr:uid="{15F57CDC-CE64-486C-89BE-8235948307AB}"/>
    <cellStyle name="Normal 2 4 2 8 5" xfId="18180" xr:uid="{8CA4694F-B6D8-45C8-8272-D0CED38C95A1}"/>
    <cellStyle name="Normal 2 4 2 8 6" xfId="9732" xr:uid="{D2D1A605-2FEA-404B-99EB-90A96D4CB72A}"/>
    <cellStyle name="Normal 2 4 2 9" xfId="1606" xr:uid="{00000000-0005-0000-0000-0000CA0F0000}"/>
    <cellStyle name="Normal 2 4 2 9 2" xfId="3836" xr:uid="{00000000-0005-0000-0000-0000CB0F0000}"/>
    <cellStyle name="Normal 2 4 2 9 2 2" xfId="8058" xr:uid="{00000000-0005-0000-0000-0000CC0F0000}"/>
    <cellStyle name="Normal 2 4 2 9 2 2 2" xfId="33397" xr:uid="{6A68095C-39A7-4A50-B79E-1D2E845A0C88}"/>
    <cellStyle name="Normal 2 4 2 9 2 2 3" xfId="24956" xr:uid="{344CDDA9-FBF8-4159-B187-144D01A00E4C}"/>
    <cellStyle name="Normal 2 4 2 9 2 2 4" xfId="16508" xr:uid="{A974E1EC-76DF-42C6-B40A-BC2FC8A637B8}"/>
    <cellStyle name="Normal 2 4 2 9 2 3" xfId="29179" xr:uid="{66AE0D60-1FEF-435C-A17B-15CCF76A9A0F}"/>
    <cellStyle name="Normal 2 4 2 9 2 4" xfId="20738" xr:uid="{83179384-E96E-44A2-8932-375B21C48923}"/>
    <cellStyle name="Normal 2 4 2 9 2 5" xfId="12290" xr:uid="{E2B3CD74-8852-4B06-B937-EAAB3ACAE52E}"/>
    <cellStyle name="Normal 2 4 2 9 3" xfId="5913" xr:uid="{00000000-0005-0000-0000-0000CD0F0000}"/>
    <cellStyle name="Normal 2 4 2 9 3 2" xfId="31252" xr:uid="{7334D35F-C041-4F9D-979F-59AE6E687B18}"/>
    <cellStyle name="Normal 2 4 2 9 3 3" xfId="22811" xr:uid="{FD380F81-D19F-42F5-B42C-6812AFFD43A7}"/>
    <cellStyle name="Normal 2 4 2 9 3 4" xfId="14363" xr:uid="{D3BAF5C1-3A6D-46E3-8C57-B190DF4B0B20}"/>
    <cellStyle name="Normal 2 4 2 9 4" xfId="27034" xr:uid="{0E33DBC3-D9E9-4E69-A620-C4A0FF1B3694}"/>
    <cellStyle name="Normal 2 4 2 9 5" xfId="18593" xr:uid="{4C9248D4-2402-4C07-809B-B13F1FD7D4BF}"/>
    <cellStyle name="Normal 2 4 2 9 6" xfId="10145" xr:uid="{3DE31C0B-918E-4142-8A04-4FE0D315330F}"/>
    <cellStyle name="Normal 2 4 3" xfId="296" xr:uid="{00000000-0005-0000-0000-0000CE0F0000}"/>
    <cellStyle name="Normal 2 4 3 10" xfId="25810" xr:uid="{80198BAC-3581-4B3D-B823-0238BF8F00B6}"/>
    <cellStyle name="Normal 2 4 3 11" xfId="17369" xr:uid="{252120E0-7142-457C-9D10-1400BE73E971}"/>
    <cellStyle name="Normal 2 4 3 12" xfId="8921" xr:uid="{28A6DEC1-6F6E-4A50-9481-A8C05B5C269C}"/>
    <cellStyle name="Normal 2 4 3 2" xfId="297" xr:uid="{00000000-0005-0000-0000-0000CF0F0000}"/>
    <cellStyle name="Normal 2 4 3 3" xfId="298" xr:uid="{00000000-0005-0000-0000-0000D00F0000}"/>
    <cellStyle name="Normal 2 4 3 3 10" xfId="25811" xr:uid="{EC7A4DA7-9D66-4CA9-AAE5-C5BDDAE366FD}"/>
    <cellStyle name="Normal 2 4 3 3 11" xfId="17370" xr:uid="{D343A192-40E5-4650-8E0A-F261F5BEFD23}"/>
    <cellStyle name="Normal 2 4 3 3 12" xfId="8922" xr:uid="{6EF17381-5442-4D05-89EB-9E6C15B78EBB}"/>
    <cellStyle name="Normal 2 4 3 3 2" xfId="299" xr:uid="{00000000-0005-0000-0000-0000D10F0000}"/>
    <cellStyle name="Normal 2 4 3 3 2 10" xfId="17371" xr:uid="{D62EDE35-F0DC-45E7-B2FD-F47843FA72BF}"/>
    <cellStyle name="Normal 2 4 3 3 2 11" xfId="8923" xr:uid="{6850EB11-20B3-4054-A89B-FBCD1A5C1FAA}"/>
    <cellStyle name="Normal 2 4 3 3 2 2" xfId="300" xr:uid="{00000000-0005-0000-0000-0000D20F0000}"/>
    <cellStyle name="Normal 2 4 3 3 2 2 10" xfId="8924" xr:uid="{ED4D8483-0663-4326-9A5D-8AADDB670E9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32590" xr:uid="{14E40982-0E42-447F-9E40-31CCE643F8F4}"/>
    <cellStyle name="Normal 2 4 3 3 2 2 2 2 2 3" xfId="24149" xr:uid="{7DF6DC86-62AE-40F0-B108-E13C2EE7A952}"/>
    <cellStyle name="Normal 2 4 3 3 2 2 2 2 2 4" xfId="15701" xr:uid="{B840C256-5BD6-4F71-9B14-06211244408D}"/>
    <cellStyle name="Normal 2 4 3 3 2 2 2 2 3" xfId="28372" xr:uid="{190C92E9-21A0-4FCF-9FB7-197221EADDC2}"/>
    <cellStyle name="Normal 2 4 3 3 2 2 2 2 4" xfId="19931" xr:uid="{F5ABECC4-34F2-437F-B3C5-7BF9FAFB516C}"/>
    <cellStyle name="Normal 2 4 3 3 2 2 2 2 5" xfId="11483" xr:uid="{5213A7AC-7198-44B9-92B0-F8840DFC9C38}"/>
    <cellStyle name="Normal 2 4 3 3 2 2 2 3" xfId="5106" xr:uid="{00000000-0005-0000-0000-0000D60F0000}"/>
    <cellStyle name="Normal 2 4 3 3 2 2 2 3 2" xfId="30445" xr:uid="{B5F32E14-3C69-4973-A221-EAD3449A84D9}"/>
    <cellStyle name="Normal 2 4 3 3 2 2 2 3 3" xfId="22004" xr:uid="{8B60A5D3-7C5D-44BC-8CF0-1B5391096DE5}"/>
    <cellStyle name="Normal 2 4 3 3 2 2 2 3 4" xfId="13556" xr:uid="{E53C912A-BFBD-4BB5-9CC3-72E8F016A7AD}"/>
    <cellStyle name="Normal 2 4 3 3 2 2 2 4" xfId="26227" xr:uid="{D5FCEBE0-1840-4838-BEFB-E6C91C00AA9E}"/>
    <cellStyle name="Normal 2 4 3 3 2 2 2 5" xfId="17786" xr:uid="{D936EA68-3230-47EF-9C7D-8E06D963AE22}"/>
    <cellStyle name="Normal 2 4 3 3 2 2 2 6" xfId="9338" xr:uid="{14B403EC-DC4A-49DE-81DD-C0B9DDA4AC39}"/>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33003" xr:uid="{05D937A3-7E49-4329-A6B6-F23E73A7E25C}"/>
    <cellStyle name="Normal 2 4 3 3 2 2 3 2 2 3" xfId="24562" xr:uid="{A6EDF14E-3F5B-45A8-9CC7-875EE417F69C}"/>
    <cellStyle name="Normal 2 4 3 3 2 2 3 2 2 4" xfId="16114" xr:uid="{72B10F63-844A-4FD3-9564-2056CBA50CCC}"/>
    <cellStyle name="Normal 2 4 3 3 2 2 3 2 3" xfId="28785" xr:uid="{FB65E3E7-E9D5-4422-8C34-8EF97122E67A}"/>
    <cellStyle name="Normal 2 4 3 3 2 2 3 2 4" xfId="20344" xr:uid="{673E0651-7734-4738-B11C-FE15318A26BB}"/>
    <cellStyle name="Normal 2 4 3 3 2 2 3 2 5" xfId="11896" xr:uid="{3ACF6547-81F8-4358-A079-7D7178552A61}"/>
    <cellStyle name="Normal 2 4 3 3 2 2 3 3" xfId="5519" xr:uid="{00000000-0005-0000-0000-0000DA0F0000}"/>
    <cellStyle name="Normal 2 4 3 3 2 2 3 3 2" xfId="30858" xr:uid="{8EE0A3AE-9C7F-41A6-8E5F-340E3163BDBC}"/>
    <cellStyle name="Normal 2 4 3 3 2 2 3 3 3" xfId="22417" xr:uid="{FC538394-BE2A-4E09-9222-B6E53E502188}"/>
    <cellStyle name="Normal 2 4 3 3 2 2 3 3 4" xfId="13969" xr:uid="{5565949B-73DD-475A-8AE5-A17DC2AD739C}"/>
    <cellStyle name="Normal 2 4 3 3 2 2 3 4" xfId="26640" xr:uid="{6375427B-A428-4624-98AF-72B44336F1B7}"/>
    <cellStyle name="Normal 2 4 3 3 2 2 3 5" xfId="18199" xr:uid="{DA0821B0-0657-4DBE-B635-9751F5260D29}"/>
    <cellStyle name="Normal 2 4 3 3 2 2 3 6" xfId="9751" xr:uid="{4381754A-1DED-4027-BDFA-C5FE383665F1}"/>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33416" xr:uid="{1B6BC798-7ADD-451C-B043-67074055A7B4}"/>
    <cellStyle name="Normal 2 4 3 3 2 2 4 2 2 3" xfId="24975" xr:uid="{904FCE2C-2659-4EFD-8F57-CEBA83A3AC43}"/>
    <cellStyle name="Normal 2 4 3 3 2 2 4 2 2 4" xfId="16527" xr:uid="{C5B1769E-8092-43B7-9FF4-7EBA177F2C0A}"/>
    <cellStyle name="Normal 2 4 3 3 2 2 4 2 3" xfId="29198" xr:uid="{30D3FC01-3C94-4982-8BB3-570388B66BC6}"/>
    <cellStyle name="Normal 2 4 3 3 2 2 4 2 4" xfId="20757" xr:uid="{2AEBA5F7-F417-4B3F-AFB1-DF80F6C54024}"/>
    <cellStyle name="Normal 2 4 3 3 2 2 4 2 5" xfId="12309" xr:uid="{419CF02B-869D-4B57-B983-37DD096F5D7C}"/>
    <cellStyle name="Normal 2 4 3 3 2 2 4 3" xfId="5932" xr:uid="{00000000-0005-0000-0000-0000DE0F0000}"/>
    <cellStyle name="Normal 2 4 3 3 2 2 4 3 2" xfId="31271" xr:uid="{CC848526-3846-4937-BC94-E99F163C049D}"/>
    <cellStyle name="Normal 2 4 3 3 2 2 4 3 3" xfId="22830" xr:uid="{1D71F34C-D1C0-486B-BDEE-7FE00D611BE9}"/>
    <cellStyle name="Normal 2 4 3 3 2 2 4 3 4" xfId="14382" xr:uid="{1B45F270-0BC9-4A8D-B30B-91DFFD89D7CD}"/>
    <cellStyle name="Normal 2 4 3 3 2 2 4 4" xfId="27053" xr:uid="{1A7905B2-8CE9-466E-B1DF-2F5F872E3398}"/>
    <cellStyle name="Normal 2 4 3 3 2 2 4 5" xfId="18612" xr:uid="{B75E3082-9673-4989-A7FE-6E290F9B5DE1}"/>
    <cellStyle name="Normal 2 4 3 3 2 2 4 6" xfId="10164" xr:uid="{58137E20-A177-476A-AFA9-15E6CC3157A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33829" xr:uid="{36CFD880-6900-44A6-9D4D-1D5A80909D1B}"/>
    <cellStyle name="Normal 2 4 3 3 2 2 5 2 2 3" xfId="25388" xr:uid="{D99C6C4C-3FC2-4B18-AFE4-076B4ACF2806}"/>
    <cellStyle name="Normal 2 4 3 3 2 2 5 2 2 4" xfId="16940" xr:uid="{1E9FF060-51DD-4413-872F-9A94E91D327F}"/>
    <cellStyle name="Normal 2 4 3 3 2 2 5 2 3" xfId="29611" xr:uid="{21F17DCF-32C4-4C8D-A4D0-2D2801B05002}"/>
    <cellStyle name="Normal 2 4 3 3 2 2 5 2 4" xfId="21170" xr:uid="{6AC5F851-498E-438C-98C5-0E1BF99A3840}"/>
    <cellStyle name="Normal 2 4 3 3 2 2 5 2 5" xfId="12722" xr:uid="{16E652AB-5FE3-4A1D-97FB-373F5C6F49E2}"/>
    <cellStyle name="Normal 2 4 3 3 2 2 5 3" xfId="6345" xr:uid="{00000000-0005-0000-0000-0000E20F0000}"/>
    <cellStyle name="Normal 2 4 3 3 2 2 5 3 2" xfId="31684" xr:uid="{CA1F8621-1989-4D94-9F71-A4C4ABE1A936}"/>
    <cellStyle name="Normal 2 4 3 3 2 2 5 3 3" xfId="23243" xr:uid="{CF4E4E84-C0DF-49E7-9064-4A0EEB690D4D}"/>
    <cellStyle name="Normal 2 4 3 3 2 2 5 3 4" xfId="14795" xr:uid="{55CEA458-F757-4FC1-B459-7F1EC100822D}"/>
    <cellStyle name="Normal 2 4 3 3 2 2 5 4" xfId="27466" xr:uid="{D985C34E-88EB-4FB0-B560-4A5936900AE0}"/>
    <cellStyle name="Normal 2 4 3 3 2 2 5 5" xfId="19025" xr:uid="{24C692E6-0142-4711-AD2B-C6ACF585AB9C}"/>
    <cellStyle name="Normal 2 4 3 3 2 2 5 6" xfId="10577" xr:uid="{71083CAD-D604-407E-B388-4007CB251504}"/>
    <cellStyle name="Normal 2 4 3 3 2 2 6" xfId="2475" xr:uid="{00000000-0005-0000-0000-0000E30F0000}"/>
    <cellStyle name="Normal 2 4 3 3 2 2 6 2" xfId="6758" xr:uid="{00000000-0005-0000-0000-0000E40F0000}"/>
    <cellStyle name="Normal 2 4 3 3 2 2 6 2 2" xfId="32097" xr:uid="{1A25D4CA-1110-4CF0-ACE6-7D386D5F60C1}"/>
    <cellStyle name="Normal 2 4 3 3 2 2 6 2 3" xfId="23656" xr:uid="{9909FFA4-AB4A-456E-B167-48AF9D86479B}"/>
    <cellStyle name="Normal 2 4 3 3 2 2 6 2 4" xfId="15208" xr:uid="{4FB79574-9E97-407D-AF38-A4B6C4C388C3}"/>
    <cellStyle name="Normal 2 4 3 3 2 2 6 3" xfId="27879" xr:uid="{BDD187ED-8C43-403A-A67A-E1215F0B04C4}"/>
    <cellStyle name="Normal 2 4 3 3 2 2 6 4" xfId="19438" xr:uid="{35F992F0-25F4-4A2C-B481-4E3CC1F8A668}"/>
    <cellStyle name="Normal 2 4 3 3 2 2 6 5" xfId="10990" xr:uid="{C8CADB67-9811-4851-AD53-F11C76C76784}"/>
    <cellStyle name="Normal 2 4 3 3 2 2 7" xfId="4692" xr:uid="{00000000-0005-0000-0000-0000E50F0000}"/>
    <cellStyle name="Normal 2 4 3 3 2 2 7 2" xfId="30031" xr:uid="{37304F3A-6499-498B-B137-917B72CD59AC}"/>
    <cellStyle name="Normal 2 4 3 3 2 2 7 3" xfId="21590" xr:uid="{0CB03EA8-D013-4594-9A6C-178FEF0F533E}"/>
    <cellStyle name="Normal 2 4 3 3 2 2 7 4" xfId="13142" xr:uid="{537D0339-95CF-492A-9B94-719CF2522C2B}"/>
    <cellStyle name="Normal 2 4 3 3 2 2 8" xfId="25813" xr:uid="{49E06A1F-8E23-44C8-8B43-117AD297D463}"/>
    <cellStyle name="Normal 2 4 3 3 2 2 9" xfId="17372" xr:uid="{05870502-C95E-4AD3-9FF5-EA9BF925F635}"/>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32589" xr:uid="{E95700DA-D849-45F5-9F3D-962F236FEA8E}"/>
    <cellStyle name="Normal 2 4 3 3 2 3 2 2 3" xfId="24148" xr:uid="{14C04DAC-4B8A-43CB-9F5D-554490B702D6}"/>
    <cellStyle name="Normal 2 4 3 3 2 3 2 2 4" xfId="15700" xr:uid="{445BFD43-9CF7-4F21-B948-B19C9AB11DD2}"/>
    <cellStyle name="Normal 2 4 3 3 2 3 2 3" xfId="28371" xr:uid="{2A160107-FE40-46B1-AA41-ACC0859DC056}"/>
    <cellStyle name="Normal 2 4 3 3 2 3 2 4" xfId="19930" xr:uid="{40A4D225-96C5-47DF-96F9-6D95A304343D}"/>
    <cellStyle name="Normal 2 4 3 3 2 3 2 5" xfId="11482" xr:uid="{93621C22-9316-4173-8EB8-D0FB42CB7E31}"/>
    <cellStyle name="Normal 2 4 3 3 2 3 3" xfId="5105" xr:uid="{00000000-0005-0000-0000-0000E90F0000}"/>
    <cellStyle name="Normal 2 4 3 3 2 3 3 2" xfId="30444" xr:uid="{E80A709A-D4D9-49D7-ADFA-E0DC1ACBDA5B}"/>
    <cellStyle name="Normal 2 4 3 3 2 3 3 3" xfId="22003" xr:uid="{27678FF2-6B57-4867-BCDA-0E633C679975}"/>
    <cellStyle name="Normal 2 4 3 3 2 3 3 4" xfId="13555" xr:uid="{8313327B-2AEE-4A75-9E71-DC1946B4D0F5}"/>
    <cellStyle name="Normal 2 4 3 3 2 3 4" xfId="26226" xr:uid="{16C3C1D9-4A69-4F5B-BDC1-114ED3809B6A}"/>
    <cellStyle name="Normal 2 4 3 3 2 3 5" xfId="17785" xr:uid="{74977DE1-A647-49F5-9513-A0E7391DC6EC}"/>
    <cellStyle name="Normal 2 4 3 3 2 3 6" xfId="9337" xr:uid="{51C4E96A-B49D-4269-AF29-39C3B275D517}"/>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33002" xr:uid="{3AF220F3-8FB0-41B5-9ABD-438E1F82D1D0}"/>
    <cellStyle name="Normal 2 4 3 3 2 4 2 2 3" xfId="24561" xr:uid="{6C257934-82C0-4E98-95B0-B131AAE3F22B}"/>
    <cellStyle name="Normal 2 4 3 3 2 4 2 2 4" xfId="16113" xr:uid="{05D08EFB-AC67-443D-B97D-B24C67F388A4}"/>
    <cellStyle name="Normal 2 4 3 3 2 4 2 3" xfId="28784" xr:uid="{ABD20C69-9771-4B0E-AC0E-53300D54B5A5}"/>
    <cellStyle name="Normal 2 4 3 3 2 4 2 4" xfId="20343" xr:uid="{992B9764-13CF-4DF9-9BD9-AC22F0B73FAE}"/>
    <cellStyle name="Normal 2 4 3 3 2 4 2 5" xfId="11895" xr:uid="{D7AD2563-59D0-460B-8F23-8EB6C65B19C7}"/>
    <cellStyle name="Normal 2 4 3 3 2 4 3" xfId="5518" xr:uid="{00000000-0005-0000-0000-0000ED0F0000}"/>
    <cellStyle name="Normal 2 4 3 3 2 4 3 2" xfId="30857" xr:uid="{0CF466BE-264E-4501-A473-C337E5051113}"/>
    <cellStyle name="Normal 2 4 3 3 2 4 3 3" xfId="22416" xr:uid="{5F347C00-9D09-40F2-94A1-15878C054E60}"/>
    <cellStyle name="Normal 2 4 3 3 2 4 3 4" xfId="13968" xr:uid="{DF62236E-5EF7-4355-8BC5-5480BE45E229}"/>
    <cellStyle name="Normal 2 4 3 3 2 4 4" xfId="26639" xr:uid="{5D99E359-C056-4045-A8FC-AB5266CCE4AA}"/>
    <cellStyle name="Normal 2 4 3 3 2 4 5" xfId="18198" xr:uid="{7F4F4AF5-4A3F-43D9-ACD8-11A7EB4844D1}"/>
    <cellStyle name="Normal 2 4 3 3 2 4 6" xfId="9750" xr:uid="{EC9017C7-0745-4C5D-8660-17EE8F114F26}"/>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33415" xr:uid="{971F0C00-D778-45AE-A3C0-D0752C235CF5}"/>
    <cellStyle name="Normal 2 4 3 3 2 5 2 2 3" xfId="24974" xr:uid="{D40A439C-B25C-4F9A-895E-3313162FAFC3}"/>
    <cellStyle name="Normal 2 4 3 3 2 5 2 2 4" xfId="16526" xr:uid="{0C2AB3D0-3AE1-4321-9DAE-CEB32F1826B2}"/>
    <cellStyle name="Normal 2 4 3 3 2 5 2 3" xfId="29197" xr:uid="{6D6FB43F-E8FB-4D77-BFDA-6320676A8FD1}"/>
    <cellStyle name="Normal 2 4 3 3 2 5 2 4" xfId="20756" xr:uid="{0212806D-3AF4-4234-ABAE-51C450783B1A}"/>
    <cellStyle name="Normal 2 4 3 3 2 5 2 5" xfId="12308" xr:uid="{6DA6DC77-3155-4BEA-A3EB-923F73FB4244}"/>
    <cellStyle name="Normal 2 4 3 3 2 5 3" xfId="5931" xr:uid="{00000000-0005-0000-0000-0000F10F0000}"/>
    <cellStyle name="Normal 2 4 3 3 2 5 3 2" xfId="31270" xr:uid="{07201661-D94F-4E7D-97DF-3518DDCD1A97}"/>
    <cellStyle name="Normal 2 4 3 3 2 5 3 3" xfId="22829" xr:uid="{1BDB806C-6D4B-42BD-95FB-198B94CB9356}"/>
    <cellStyle name="Normal 2 4 3 3 2 5 3 4" xfId="14381" xr:uid="{ECD9590C-B118-400F-92C9-84798504CD4E}"/>
    <cellStyle name="Normal 2 4 3 3 2 5 4" xfId="27052" xr:uid="{6C6FF779-97C1-437C-AB5C-B98C123685EA}"/>
    <cellStyle name="Normal 2 4 3 3 2 5 5" xfId="18611" xr:uid="{17B1A85D-E4DC-4667-8007-EB7FC74DD6FE}"/>
    <cellStyle name="Normal 2 4 3 3 2 5 6" xfId="10163" xr:uid="{7CB2432D-17D8-4624-992D-33E851EFE3C4}"/>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33828" xr:uid="{C5D25E5B-B198-42AB-BEE3-E24BB553150B}"/>
    <cellStyle name="Normal 2 4 3 3 2 6 2 2 3" xfId="25387" xr:uid="{9688AC7D-90EE-4C82-B989-A1F4F7AD9BE8}"/>
    <cellStyle name="Normal 2 4 3 3 2 6 2 2 4" xfId="16939" xr:uid="{6457E478-BDB3-4EAF-889E-93729E160F1E}"/>
    <cellStyle name="Normal 2 4 3 3 2 6 2 3" xfId="29610" xr:uid="{BA99859D-FC76-4023-B156-332CD4A584D3}"/>
    <cellStyle name="Normal 2 4 3 3 2 6 2 4" xfId="21169" xr:uid="{7A7537A3-AFF3-4507-A420-5CDA69AA53EE}"/>
    <cellStyle name="Normal 2 4 3 3 2 6 2 5" xfId="12721" xr:uid="{AAF54AFC-4468-4660-B120-13E67FE2BD3A}"/>
    <cellStyle name="Normal 2 4 3 3 2 6 3" xfId="6344" xr:uid="{00000000-0005-0000-0000-0000F50F0000}"/>
    <cellStyle name="Normal 2 4 3 3 2 6 3 2" xfId="31683" xr:uid="{B531762E-A744-465F-A9A4-9BD3C63C8B98}"/>
    <cellStyle name="Normal 2 4 3 3 2 6 3 3" xfId="23242" xr:uid="{63660779-1C8A-45EF-8C49-1F7F05E8BFB7}"/>
    <cellStyle name="Normal 2 4 3 3 2 6 3 4" xfId="14794" xr:uid="{519A8BB4-E480-4CEF-A47F-BF33F6E7AD37}"/>
    <cellStyle name="Normal 2 4 3 3 2 6 4" xfId="27465" xr:uid="{425E66F1-111C-4E42-8ED8-B649C2484BB6}"/>
    <cellStyle name="Normal 2 4 3 3 2 6 5" xfId="19024" xr:uid="{CF1AC77E-6376-41B4-A579-7848E2746F20}"/>
    <cellStyle name="Normal 2 4 3 3 2 6 6" xfId="10576" xr:uid="{E6F0266E-BEB7-4CCB-829B-7F52163EA457}"/>
    <cellStyle name="Normal 2 4 3 3 2 7" xfId="2474" xr:uid="{00000000-0005-0000-0000-0000F60F0000}"/>
    <cellStyle name="Normal 2 4 3 3 2 7 2" xfId="6757" xr:uid="{00000000-0005-0000-0000-0000F70F0000}"/>
    <cellStyle name="Normal 2 4 3 3 2 7 2 2" xfId="32096" xr:uid="{36048ACC-156E-42BB-BDB6-C5FDE5FCF9D6}"/>
    <cellStyle name="Normal 2 4 3 3 2 7 2 3" xfId="23655" xr:uid="{FD389CFA-D467-4928-B31E-076FF5AD2388}"/>
    <cellStyle name="Normal 2 4 3 3 2 7 2 4" xfId="15207" xr:uid="{A26914E4-6826-437D-A45C-8BECB83A20DB}"/>
    <cellStyle name="Normal 2 4 3 3 2 7 3" xfId="27878" xr:uid="{9932200E-60FD-4AAD-AC0E-9749586111C0}"/>
    <cellStyle name="Normal 2 4 3 3 2 7 4" xfId="19437" xr:uid="{A1437610-1CB3-470D-80DD-D1D7028794DC}"/>
    <cellStyle name="Normal 2 4 3 3 2 7 5" xfId="10989" xr:uid="{8A733234-BF48-43C5-8DAE-1BE2E9C9B484}"/>
    <cellStyle name="Normal 2 4 3 3 2 8" xfId="4691" xr:uid="{00000000-0005-0000-0000-0000F80F0000}"/>
    <cellStyle name="Normal 2 4 3 3 2 8 2" xfId="30030" xr:uid="{0B370F05-5BDC-45FD-AFDE-B431DF0F7C6D}"/>
    <cellStyle name="Normal 2 4 3 3 2 8 3" xfId="21589" xr:uid="{62607063-D2A1-4B6C-B0BB-3A3A369077DF}"/>
    <cellStyle name="Normal 2 4 3 3 2 8 4" xfId="13141" xr:uid="{FB9A881E-914C-4496-8FD6-7D940597CE0F}"/>
    <cellStyle name="Normal 2 4 3 3 2 9" xfId="25812" xr:uid="{93A2C9EF-4CB6-47B3-981A-0C7D621C5E3A}"/>
    <cellStyle name="Normal 2 4 3 3 3" xfId="301" xr:uid="{00000000-0005-0000-0000-0000F90F0000}"/>
    <cellStyle name="Normal 2 4 3 3 3 10" xfId="8925" xr:uid="{A1145423-70E0-43E0-8F9D-A09E1FCAE13E}"/>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32591" xr:uid="{4448844A-1AEF-44B8-9309-472E1566204D}"/>
    <cellStyle name="Normal 2 4 3 3 3 2 2 2 3" xfId="24150" xr:uid="{785FBFB7-93B9-406A-87AF-502FB8B3CED0}"/>
    <cellStyle name="Normal 2 4 3 3 3 2 2 2 4" xfId="15702" xr:uid="{02195C77-2045-4DDF-92F5-8CA603596FE8}"/>
    <cellStyle name="Normal 2 4 3 3 3 2 2 3" xfId="28373" xr:uid="{A8AB5BE4-B7B4-41C3-A61F-620F376B4764}"/>
    <cellStyle name="Normal 2 4 3 3 3 2 2 4" xfId="19932" xr:uid="{A522F06F-68D4-4D3C-890A-3CE605ED48BA}"/>
    <cellStyle name="Normal 2 4 3 3 3 2 2 5" xfId="11484" xr:uid="{CBB565CC-5350-42E9-92CB-35A2AF525A2E}"/>
    <cellStyle name="Normal 2 4 3 3 3 2 3" xfId="5107" xr:uid="{00000000-0005-0000-0000-0000FD0F0000}"/>
    <cellStyle name="Normal 2 4 3 3 3 2 3 2" xfId="30446" xr:uid="{0EAAA48C-C555-4C9C-A4D8-66B3ABB16BA5}"/>
    <cellStyle name="Normal 2 4 3 3 3 2 3 3" xfId="22005" xr:uid="{8ED5E114-A2C2-4F17-9D24-E7BF75973FBA}"/>
    <cellStyle name="Normal 2 4 3 3 3 2 3 4" xfId="13557" xr:uid="{8E739487-BEF0-4AAC-85CB-C2C45AEA3D4E}"/>
    <cellStyle name="Normal 2 4 3 3 3 2 4" xfId="26228" xr:uid="{6DC78E97-644A-4C0A-BC90-C7C6F96359DA}"/>
    <cellStyle name="Normal 2 4 3 3 3 2 5" xfId="17787" xr:uid="{374155B4-D69F-4A82-87A1-A40F7DDA20E3}"/>
    <cellStyle name="Normal 2 4 3 3 3 2 6" xfId="9339" xr:uid="{EC4CC447-F58E-4BF2-BE22-48D0B89E1F75}"/>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33004" xr:uid="{34BADE02-224B-4FD6-AF4A-E2BA3E956035}"/>
    <cellStyle name="Normal 2 4 3 3 3 3 2 2 3" xfId="24563" xr:uid="{878C7BE1-0EC0-4FB2-851C-8916F0C4E277}"/>
    <cellStyle name="Normal 2 4 3 3 3 3 2 2 4" xfId="16115" xr:uid="{A5CE15CE-317F-4A79-B5F4-F03EC321BE24}"/>
    <cellStyle name="Normal 2 4 3 3 3 3 2 3" xfId="28786" xr:uid="{9E37AB07-F795-4022-9225-441B9C4C624C}"/>
    <cellStyle name="Normal 2 4 3 3 3 3 2 4" xfId="20345" xr:uid="{D1F9602B-9453-4795-9E12-41E35157F085}"/>
    <cellStyle name="Normal 2 4 3 3 3 3 2 5" xfId="11897" xr:uid="{93FCA04D-1AB0-409C-8A26-993C8AF31328}"/>
    <cellStyle name="Normal 2 4 3 3 3 3 3" xfId="5520" xr:uid="{00000000-0005-0000-0000-000001100000}"/>
    <cellStyle name="Normal 2 4 3 3 3 3 3 2" xfId="30859" xr:uid="{A6A33026-3202-4CBC-846D-3E7AFAA4E22D}"/>
    <cellStyle name="Normal 2 4 3 3 3 3 3 3" xfId="22418" xr:uid="{8AE0DE7E-4695-4A7A-B3CC-7A3EB7DF65B5}"/>
    <cellStyle name="Normal 2 4 3 3 3 3 3 4" xfId="13970" xr:uid="{FB082F94-D61F-41A9-9F90-035F05B66444}"/>
    <cellStyle name="Normal 2 4 3 3 3 3 4" xfId="26641" xr:uid="{B50CDAE3-7CEB-4A2E-918F-16C2E1ED7E97}"/>
    <cellStyle name="Normal 2 4 3 3 3 3 5" xfId="18200" xr:uid="{F622E477-CA06-4B59-8303-A341FF6C5C40}"/>
    <cellStyle name="Normal 2 4 3 3 3 3 6" xfId="9752" xr:uid="{46826A82-6DA5-4AAB-BA41-89DBF377320D}"/>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33417" xr:uid="{1FB7A0AB-E441-4C39-BE8B-4E9E260EE96D}"/>
    <cellStyle name="Normal 2 4 3 3 3 4 2 2 3" xfId="24976" xr:uid="{74CD22E4-2E12-4ED3-95A9-FE4627688C61}"/>
    <cellStyle name="Normal 2 4 3 3 3 4 2 2 4" xfId="16528" xr:uid="{E2959DAB-897A-490A-B5BE-447E39F5C61D}"/>
    <cellStyle name="Normal 2 4 3 3 3 4 2 3" xfId="29199" xr:uid="{E833329C-11B5-453C-9751-A8C787618623}"/>
    <cellStyle name="Normal 2 4 3 3 3 4 2 4" xfId="20758" xr:uid="{57997EB3-3A03-4ECD-97C3-C3533B74FA04}"/>
    <cellStyle name="Normal 2 4 3 3 3 4 2 5" xfId="12310" xr:uid="{B697D8E7-5901-4EE5-BB28-155C41A748CF}"/>
    <cellStyle name="Normal 2 4 3 3 3 4 3" xfId="5933" xr:uid="{00000000-0005-0000-0000-000005100000}"/>
    <cellStyle name="Normal 2 4 3 3 3 4 3 2" xfId="31272" xr:uid="{AC33E60B-6460-42C4-B19B-49543EF2B0C3}"/>
    <cellStyle name="Normal 2 4 3 3 3 4 3 3" xfId="22831" xr:uid="{C16F182A-548A-45CD-92EA-AA8E7C932048}"/>
    <cellStyle name="Normal 2 4 3 3 3 4 3 4" xfId="14383" xr:uid="{AB487048-EB7A-471D-8448-5ECF3C8D0984}"/>
    <cellStyle name="Normal 2 4 3 3 3 4 4" xfId="27054" xr:uid="{A1F9B2CE-ADD2-4CAF-8B17-BAA02854B890}"/>
    <cellStyle name="Normal 2 4 3 3 3 4 5" xfId="18613" xr:uid="{ACF8CD2F-E9BB-4B2A-A181-F11A2CEB8E43}"/>
    <cellStyle name="Normal 2 4 3 3 3 4 6" xfId="10165" xr:uid="{D0455C28-052C-4836-B4C9-D0B54380904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33830" xr:uid="{A87567BF-776E-4EA7-B9E4-FD12E7564B2C}"/>
    <cellStyle name="Normal 2 4 3 3 3 5 2 2 3" xfId="25389" xr:uid="{AD81FA05-AAA8-4229-B207-1087F38301C5}"/>
    <cellStyle name="Normal 2 4 3 3 3 5 2 2 4" xfId="16941" xr:uid="{C96D11C2-7E64-4533-8AEA-A0744B0EA233}"/>
    <cellStyle name="Normal 2 4 3 3 3 5 2 3" xfId="29612" xr:uid="{403A37FE-64A7-4DF5-B1D4-EC5DCC97993F}"/>
    <cellStyle name="Normal 2 4 3 3 3 5 2 4" xfId="21171" xr:uid="{FCB00040-3B3D-4576-958B-1178AA9CC032}"/>
    <cellStyle name="Normal 2 4 3 3 3 5 2 5" xfId="12723" xr:uid="{225957DA-7D81-4469-86C3-8708A3AE322B}"/>
    <cellStyle name="Normal 2 4 3 3 3 5 3" xfId="6346" xr:uid="{00000000-0005-0000-0000-000009100000}"/>
    <cellStyle name="Normal 2 4 3 3 3 5 3 2" xfId="31685" xr:uid="{4E3DD8B3-AE14-447E-80B7-08092CDFBC95}"/>
    <cellStyle name="Normal 2 4 3 3 3 5 3 3" xfId="23244" xr:uid="{A61F91FC-8837-4CED-8E61-0DADA44781F0}"/>
    <cellStyle name="Normal 2 4 3 3 3 5 3 4" xfId="14796" xr:uid="{831E193F-16D6-4A1A-8F44-B8EC3A047BC7}"/>
    <cellStyle name="Normal 2 4 3 3 3 5 4" xfId="27467" xr:uid="{D27C0BBF-ADA5-4C45-9ACE-34DAE7FBD31D}"/>
    <cellStyle name="Normal 2 4 3 3 3 5 5" xfId="19026" xr:uid="{658C54DA-9E57-4396-AE2B-DF52C1A0E1ED}"/>
    <cellStyle name="Normal 2 4 3 3 3 5 6" xfId="10578" xr:uid="{AAF76FD5-88A3-4C09-AF9D-F84871E5FE55}"/>
    <cellStyle name="Normal 2 4 3 3 3 6" xfId="2476" xr:uid="{00000000-0005-0000-0000-00000A100000}"/>
    <cellStyle name="Normal 2 4 3 3 3 6 2" xfId="6759" xr:uid="{00000000-0005-0000-0000-00000B100000}"/>
    <cellStyle name="Normal 2 4 3 3 3 6 2 2" xfId="32098" xr:uid="{1F1CF840-0FCE-4F0D-9528-CC5210D09B49}"/>
    <cellStyle name="Normal 2 4 3 3 3 6 2 3" xfId="23657" xr:uid="{D652C945-7EDB-48D5-8148-5CA0D7D5B256}"/>
    <cellStyle name="Normal 2 4 3 3 3 6 2 4" xfId="15209" xr:uid="{D06EBA71-DEBE-4932-A76E-C6D818CFC402}"/>
    <cellStyle name="Normal 2 4 3 3 3 6 3" xfId="27880" xr:uid="{15F5682D-783A-4EBF-A567-96AFE51502D5}"/>
    <cellStyle name="Normal 2 4 3 3 3 6 4" xfId="19439" xr:uid="{154C731F-C272-4190-AAFD-09E2FD373746}"/>
    <cellStyle name="Normal 2 4 3 3 3 6 5" xfId="10991" xr:uid="{08834127-0B8E-43D9-BB11-F07352ABAC28}"/>
    <cellStyle name="Normal 2 4 3 3 3 7" xfId="4693" xr:uid="{00000000-0005-0000-0000-00000C100000}"/>
    <cellStyle name="Normal 2 4 3 3 3 7 2" xfId="30032" xr:uid="{3516673A-2068-4AE4-A776-C47FABDC154C}"/>
    <cellStyle name="Normal 2 4 3 3 3 7 3" xfId="21591" xr:uid="{B4397D41-4B12-4238-A84A-F165C6A23AC1}"/>
    <cellStyle name="Normal 2 4 3 3 3 7 4" xfId="13143" xr:uid="{A32C7CAE-7706-4708-A524-B4002331F5DD}"/>
    <cellStyle name="Normal 2 4 3 3 3 8" xfId="25814" xr:uid="{9BEA3B65-8CCE-4A35-9645-B76DAF5B2BEA}"/>
    <cellStyle name="Normal 2 4 3 3 3 9" xfId="17373" xr:uid="{11C8F873-6DDF-4016-BC39-96B4BA637C17}"/>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32588" xr:uid="{743398CF-98BA-4CE5-9DDC-F41824B2FB7B}"/>
    <cellStyle name="Normal 2 4 3 3 4 2 2 3" xfId="24147" xr:uid="{1309D112-FAB3-4F54-A83C-8595BE8DA462}"/>
    <cellStyle name="Normal 2 4 3 3 4 2 2 4" xfId="15699" xr:uid="{7A766BB4-D639-4A79-9C45-A4B63729E81C}"/>
    <cellStyle name="Normal 2 4 3 3 4 2 3" xfId="28370" xr:uid="{B31EB1BC-B820-4C1C-8381-238337B1925B}"/>
    <cellStyle name="Normal 2 4 3 3 4 2 4" xfId="19929" xr:uid="{343908A0-43AE-46EA-BF69-FD62357D82D3}"/>
    <cellStyle name="Normal 2 4 3 3 4 2 5" xfId="11481" xr:uid="{C34E5B6D-6889-421E-A2CA-47850858EA6E}"/>
    <cellStyle name="Normal 2 4 3 3 4 3" xfId="5104" xr:uid="{00000000-0005-0000-0000-000010100000}"/>
    <cellStyle name="Normal 2 4 3 3 4 3 2" xfId="30443" xr:uid="{81B06EAC-EDB7-4BA4-A201-A5DE96E7ADD5}"/>
    <cellStyle name="Normal 2 4 3 3 4 3 3" xfId="22002" xr:uid="{6B17BD73-0123-485E-9CA0-C79C15221043}"/>
    <cellStyle name="Normal 2 4 3 3 4 3 4" xfId="13554" xr:uid="{E3E440B3-C015-493F-B188-CA0E100E66BA}"/>
    <cellStyle name="Normal 2 4 3 3 4 4" xfId="26225" xr:uid="{DD22BCF4-9C8F-466D-AD99-3384C05DBD64}"/>
    <cellStyle name="Normal 2 4 3 3 4 5" xfId="17784" xr:uid="{78F1E7AB-3890-4C74-B1D1-D56DAE15D8D0}"/>
    <cellStyle name="Normal 2 4 3 3 4 6" xfId="9336" xr:uid="{4E1BA728-4FD3-457E-88E6-7EC6E4898570}"/>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33001" xr:uid="{15062F84-6B45-4F61-92A4-DB7DA21DAF3C}"/>
    <cellStyle name="Normal 2 4 3 3 5 2 2 3" xfId="24560" xr:uid="{AE1F25BA-2304-4710-B0D5-D856B5A6DFB9}"/>
    <cellStyle name="Normal 2 4 3 3 5 2 2 4" xfId="16112" xr:uid="{EB106A55-BEB3-46A3-8A89-45C4364304FA}"/>
    <cellStyle name="Normal 2 4 3 3 5 2 3" xfId="28783" xr:uid="{85A1F0F0-7EE5-464A-8B0D-3FB4854DE765}"/>
    <cellStyle name="Normal 2 4 3 3 5 2 4" xfId="20342" xr:uid="{801677FE-13AC-41F5-A839-943D9A1DA3F9}"/>
    <cellStyle name="Normal 2 4 3 3 5 2 5" xfId="11894" xr:uid="{16073C92-DBA1-4DB8-B0B9-10D72FBDC4CE}"/>
    <cellStyle name="Normal 2 4 3 3 5 3" xfId="5517" xr:uid="{00000000-0005-0000-0000-000014100000}"/>
    <cellStyle name="Normal 2 4 3 3 5 3 2" xfId="30856" xr:uid="{ABF96889-5A3E-479B-87C2-E8DC7CA31564}"/>
    <cellStyle name="Normal 2 4 3 3 5 3 3" xfId="22415" xr:uid="{B368D15C-427C-4CE1-AC86-FC82A8231D0D}"/>
    <cellStyle name="Normal 2 4 3 3 5 3 4" xfId="13967" xr:uid="{5DD69E54-10EF-48F8-9B75-76D299411199}"/>
    <cellStyle name="Normal 2 4 3 3 5 4" xfId="26638" xr:uid="{BCEC0872-C359-4218-BE8C-7E31743D7658}"/>
    <cellStyle name="Normal 2 4 3 3 5 5" xfId="18197" xr:uid="{AB4FF779-1397-4610-B2C5-CA5925994EE7}"/>
    <cellStyle name="Normal 2 4 3 3 5 6" xfId="9749" xr:uid="{71EDDCCE-8103-4B71-925A-286104E900B4}"/>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33414" xr:uid="{AF508E02-F4DC-4B03-8085-97C4AC143BB9}"/>
    <cellStyle name="Normal 2 4 3 3 6 2 2 3" xfId="24973" xr:uid="{5EB21C17-9FCA-40CD-AF12-0D7DAAC563D5}"/>
    <cellStyle name="Normal 2 4 3 3 6 2 2 4" xfId="16525" xr:uid="{E1F78C38-2E0D-409A-923D-611DB8BF90D5}"/>
    <cellStyle name="Normal 2 4 3 3 6 2 3" xfId="29196" xr:uid="{497345BD-1FC2-4552-B174-E42D2CDC1D7F}"/>
    <cellStyle name="Normal 2 4 3 3 6 2 4" xfId="20755" xr:uid="{814A8CF7-33F5-47B4-AD75-6001B2BBF5C7}"/>
    <cellStyle name="Normal 2 4 3 3 6 2 5" xfId="12307" xr:uid="{8B18F406-4CC7-4B86-9D4F-F2A4C5189FF1}"/>
    <cellStyle name="Normal 2 4 3 3 6 3" xfId="5930" xr:uid="{00000000-0005-0000-0000-000018100000}"/>
    <cellStyle name="Normal 2 4 3 3 6 3 2" xfId="31269" xr:uid="{CFFE4567-9EA6-4FB3-A979-5A0E203BD769}"/>
    <cellStyle name="Normal 2 4 3 3 6 3 3" xfId="22828" xr:uid="{DA5BCE78-9297-4138-B91A-117CA5B398BA}"/>
    <cellStyle name="Normal 2 4 3 3 6 3 4" xfId="14380" xr:uid="{52843DB2-33AB-4316-A221-5F80D5F98859}"/>
    <cellStyle name="Normal 2 4 3 3 6 4" xfId="27051" xr:uid="{9D4AA35A-7372-4584-965A-0E3F8DF5D2F5}"/>
    <cellStyle name="Normal 2 4 3 3 6 5" xfId="18610" xr:uid="{CA3238E4-89FF-40F9-AEC3-40F5C5572D50}"/>
    <cellStyle name="Normal 2 4 3 3 6 6" xfId="10162" xr:uid="{98F37FA5-CECA-4CAF-91BD-8A08BFCA8B52}"/>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33827" xr:uid="{9AF5F5DF-16A7-454B-9D09-E4587EA0AD18}"/>
    <cellStyle name="Normal 2 4 3 3 7 2 2 3" xfId="25386" xr:uid="{216FEED0-3D43-43F6-8A94-FDC119458AA1}"/>
    <cellStyle name="Normal 2 4 3 3 7 2 2 4" xfId="16938" xr:uid="{50444B04-AD94-4F88-83C9-9E8D9D71EC3D}"/>
    <cellStyle name="Normal 2 4 3 3 7 2 3" xfId="29609" xr:uid="{F115054D-334A-40BD-A56B-444B66FF6A38}"/>
    <cellStyle name="Normal 2 4 3 3 7 2 4" xfId="21168" xr:uid="{B0EBD88B-6217-435D-A0B8-D0B65FB13C18}"/>
    <cellStyle name="Normal 2 4 3 3 7 2 5" xfId="12720" xr:uid="{109E49DC-2741-411F-A8B2-ADC8EB0EB86C}"/>
    <cellStyle name="Normal 2 4 3 3 7 3" xfId="6343" xr:uid="{00000000-0005-0000-0000-00001C100000}"/>
    <cellStyle name="Normal 2 4 3 3 7 3 2" xfId="31682" xr:uid="{9C4B818B-2D81-4D9E-BBC7-C411E41132C9}"/>
    <cellStyle name="Normal 2 4 3 3 7 3 3" xfId="23241" xr:uid="{6A29D9C0-DF15-4F96-AC31-B3F99608EC38}"/>
    <cellStyle name="Normal 2 4 3 3 7 3 4" xfId="14793" xr:uid="{9034669D-9FA5-454D-8C81-4A96C2F34D91}"/>
    <cellStyle name="Normal 2 4 3 3 7 4" xfId="27464" xr:uid="{BDF7C152-1535-4F63-BF12-1B81EE9307CA}"/>
    <cellStyle name="Normal 2 4 3 3 7 5" xfId="19023" xr:uid="{BAF36592-455E-49CD-8D36-9FE8BC57F9BE}"/>
    <cellStyle name="Normal 2 4 3 3 7 6" xfId="10575" xr:uid="{63C5B888-A998-4A4B-9A12-9F7EF1117204}"/>
    <cellStyle name="Normal 2 4 3 3 8" xfId="2473" xr:uid="{00000000-0005-0000-0000-00001D100000}"/>
    <cellStyle name="Normal 2 4 3 3 8 2" xfId="6756" xr:uid="{00000000-0005-0000-0000-00001E100000}"/>
    <cellStyle name="Normal 2 4 3 3 8 2 2" xfId="32095" xr:uid="{C3374C4D-0184-4096-8401-D03103A0879F}"/>
    <cellStyle name="Normal 2 4 3 3 8 2 3" xfId="23654" xr:uid="{E8A19FC8-483C-4F76-A207-1F7B6768D8C1}"/>
    <cellStyle name="Normal 2 4 3 3 8 2 4" xfId="15206" xr:uid="{4E0C00E4-B9B9-4F2D-A1A6-2DF84D0EE7B5}"/>
    <cellStyle name="Normal 2 4 3 3 8 3" xfId="27877" xr:uid="{01FD7222-F311-4F7C-9214-EF4CE566191A}"/>
    <cellStyle name="Normal 2 4 3 3 8 4" xfId="19436" xr:uid="{8F3EB0E5-0CC7-4B47-9936-D9BCBC5873B0}"/>
    <cellStyle name="Normal 2 4 3 3 8 5" xfId="10988" xr:uid="{898657B7-FA0F-43DC-8120-7F92404A4354}"/>
    <cellStyle name="Normal 2 4 3 3 9" xfId="4690" xr:uid="{00000000-0005-0000-0000-00001F100000}"/>
    <cellStyle name="Normal 2 4 3 3 9 2" xfId="30029" xr:uid="{17F746C2-956C-44BB-AD93-2600D2152A5E}"/>
    <cellStyle name="Normal 2 4 3 3 9 3" xfId="21588" xr:uid="{180C0BCB-D32E-4812-8ED9-E10DC1691EA9}"/>
    <cellStyle name="Normal 2 4 3 3 9 4" xfId="13140" xr:uid="{9726158D-FAD3-4016-939A-819E63C93C6F}"/>
    <cellStyle name="Normal 2 4 3 4" xfId="787" xr:uid="{00000000-0005-0000-0000-000020100000}"/>
    <cellStyle name="Normal 2 4 3 4 2" xfId="3026" xr:uid="{00000000-0005-0000-0000-000021100000}"/>
    <cellStyle name="Normal 2 4 3 4 2 2" xfId="7248" xr:uid="{00000000-0005-0000-0000-000022100000}"/>
    <cellStyle name="Normal 2 4 3 4 2 2 2" xfId="32587" xr:uid="{5EB4F948-8E36-44EB-8B78-39C8BDBF7C83}"/>
    <cellStyle name="Normal 2 4 3 4 2 2 3" xfId="24146" xr:uid="{F8EA85CD-A713-46C1-8F22-6F0DC4A32021}"/>
    <cellStyle name="Normal 2 4 3 4 2 2 4" xfId="15698" xr:uid="{EBD662AB-3949-438C-A5C1-4103808E7231}"/>
    <cellStyle name="Normal 2 4 3 4 2 3" xfId="28369" xr:uid="{FE298374-FB92-44A4-83EE-7A8B58C12328}"/>
    <cellStyle name="Normal 2 4 3 4 2 4" xfId="19928" xr:uid="{F47F816C-EF22-489C-8E81-3FE5F8771AD7}"/>
    <cellStyle name="Normal 2 4 3 4 2 5" xfId="11480" xr:uid="{A8B0D650-59CA-4F9A-98F7-E927AF38853D}"/>
    <cellStyle name="Normal 2 4 3 4 3" xfId="5103" xr:uid="{00000000-0005-0000-0000-000023100000}"/>
    <cellStyle name="Normal 2 4 3 4 3 2" xfId="30442" xr:uid="{DD676910-985E-4D1A-B4BA-7CF9ED9BBB93}"/>
    <cellStyle name="Normal 2 4 3 4 3 3" xfId="22001" xr:uid="{18E36897-38EE-4F6C-AAAF-7884791923C5}"/>
    <cellStyle name="Normal 2 4 3 4 3 4" xfId="13553" xr:uid="{D1AD5721-C9F4-4598-9F0A-053C26E2CB9A}"/>
    <cellStyle name="Normal 2 4 3 4 4" xfId="26224" xr:uid="{228D948E-5D13-4115-916E-D451D059CD3D}"/>
    <cellStyle name="Normal 2 4 3 4 5" xfId="17783" xr:uid="{FDABD099-3018-426D-B56D-9EA01F6AFBBF}"/>
    <cellStyle name="Normal 2 4 3 4 6" xfId="9335" xr:uid="{9672DFA3-8DC4-45EF-BD98-9D3D313F10D5}"/>
    <cellStyle name="Normal 2 4 3 5" xfId="1209" xr:uid="{00000000-0005-0000-0000-000024100000}"/>
    <cellStyle name="Normal 2 4 3 5 2" xfId="3439" xr:uid="{00000000-0005-0000-0000-000025100000}"/>
    <cellStyle name="Normal 2 4 3 5 2 2" xfId="7661" xr:uid="{00000000-0005-0000-0000-000026100000}"/>
    <cellStyle name="Normal 2 4 3 5 2 2 2" xfId="33000" xr:uid="{DC2154D6-3098-4F63-B2A8-83C43688F0DB}"/>
    <cellStyle name="Normal 2 4 3 5 2 2 3" xfId="24559" xr:uid="{95A46E93-9B4B-47B8-8ACB-84551B326B5F}"/>
    <cellStyle name="Normal 2 4 3 5 2 2 4" xfId="16111" xr:uid="{99AD326C-0EFF-4BF8-A467-9F49A4DB08B6}"/>
    <cellStyle name="Normal 2 4 3 5 2 3" xfId="28782" xr:uid="{9D1ADCB0-0622-4F97-810E-075BFCD5733A}"/>
    <cellStyle name="Normal 2 4 3 5 2 4" xfId="20341" xr:uid="{CFB8C4D4-01DF-4A39-B62A-BEB3E097A1A9}"/>
    <cellStyle name="Normal 2 4 3 5 2 5" xfId="11893" xr:uid="{0E9ED68D-18E9-4C4B-BB3B-A4140200E1BF}"/>
    <cellStyle name="Normal 2 4 3 5 3" xfId="5516" xr:uid="{00000000-0005-0000-0000-000027100000}"/>
    <cellStyle name="Normal 2 4 3 5 3 2" xfId="30855" xr:uid="{33C6FE39-B1AF-4FE1-8A29-4CCCB57E1CDA}"/>
    <cellStyle name="Normal 2 4 3 5 3 3" xfId="22414" xr:uid="{FA3F830C-97CE-4E34-B10D-4EA4A6CFBE02}"/>
    <cellStyle name="Normal 2 4 3 5 3 4" xfId="13966" xr:uid="{DE3B473B-488E-40B4-86A5-A8D4EB4C4A2A}"/>
    <cellStyle name="Normal 2 4 3 5 4" xfId="26637" xr:uid="{6B3670F7-814C-418D-8ACD-9E3BF26F90AC}"/>
    <cellStyle name="Normal 2 4 3 5 5" xfId="18196" xr:uid="{B1D9DD65-BF9F-4BD1-93EB-C8F64FC72EFE}"/>
    <cellStyle name="Normal 2 4 3 5 6" xfId="9748" xr:uid="{7C7689D3-BE36-4763-92BD-9E480503E03A}"/>
    <cellStyle name="Normal 2 4 3 6" xfId="1622" xr:uid="{00000000-0005-0000-0000-000028100000}"/>
    <cellStyle name="Normal 2 4 3 6 2" xfId="3852" xr:uid="{00000000-0005-0000-0000-000029100000}"/>
    <cellStyle name="Normal 2 4 3 6 2 2" xfId="8074" xr:uid="{00000000-0005-0000-0000-00002A100000}"/>
    <cellStyle name="Normal 2 4 3 6 2 2 2" xfId="33413" xr:uid="{EA071DBB-9367-4298-95AC-801DDDB5E28C}"/>
    <cellStyle name="Normal 2 4 3 6 2 2 3" xfId="24972" xr:uid="{4319F12B-8D62-4DFF-9009-3C407CFECAC6}"/>
    <cellStyle name="Normal 2 4 3 6 2 2 4" xfId="16524" xr:uid="{F8DF572A-0F2B-4219-8CE6-2C96A942686B}"/>
    <cellStyle name="Normal 2 4 3 6 2 3" xfId="29195" xr:uid="{C4E2F96F-E06D-4ACC-BB86-75B5D51EF791}"/>
    <cellStyle name="Normal 2 4 3 6 2 4" xfId="20754" xr:uid="{7180B28E-148D-42F6-8B64-C3BFE4A8E34F}"/>
    <cellStyle name="Normal 2 4 3 6 2 5" xfId="12306" xr:uid="{3A070A99-215F-4282-B499-8835E3CD2A4B}"/>
    <cellStyle name="Normal 2 4 3 6 3" xfId="5929" xr:uid="{00000000-0005-0000-0000-00002B100000}"/>
    <cellStyle name="Normal 2 4 3 6 3 2" xfId="31268" xr:uid="{FE24A545-FBF3-480A-A175-5154EBA852C7}"/>
    <cellStyle name="Normal 2 4 3 6 3 3" xfId="22827" xr:uid="{07E3C738-5A0F-46A2-896F-028BCCAAF1DD}"/>
    <cellStyle name="Normal 2 4 3 6 3 4" xfId="14379" xr:uid="{0DA38FCD-1D08-474A-A1C8-71AC6FA847DA}"/>
    <cellStyle name="Normal 2 4 3 6 4" xfId="27050" xr:uid="{D2A42944-F863-48D8-BA9D-C5804C9AD2E5}"/>
    <cellStyle name="Normal 2 4 3 6 5" xfId="18609" xr:uid="{C9492A98-E0FA-4DC2-A713-EBDD32BC6F2D}"/>
    <cellStyle name="Normal 2 4 3 6 6" xfId="10161" xr:uid="{D5DB15F6-EA68-4FA7-A321-ED2DF1A4AAA2}"/>
    <cellStyle name="Normal 2 4 3 7" xfId="2036" xr:uid="{00000000-0005-0000-0000-00002C100000}"/>
    <cellStyle name="Normal 2 4 3 7 2" xfId="4265" xr:uid="{00000000-0005-0000-0000-00002D100000}"/>
    <cellStyle name="Normal 2 4 3 7 2 2" xfId="8487" xr:uid="{00000000-0005-0000-0000-00002E100000}"/>
    <cellStyle name="Normal 2 4 3 7 2 2 2" xfId="33826" xr:uid="{E341F420-418A-4D0E-9E4B-72EE726CC69B}"/>
    <cellStyle name="Normal 2 4 3 7 2 2 3" xfId="25385" xr:uid="{8A05AFA6-C2F9-4064-8B5B-5307D468E8E9}"/>
    <cellStyle name="Normal 2 4 3 7 2 2 4" xfId="16937" xr:uid="{E0A7C172-9D7E-418A-885E-DF88FB79F451}"/>
    <cellStyle name="Normal 2 4 3 7 2 3" xfId="29608" xr:uid="{350E8B69-2235-429D-82BF-EA0ED910329B}"/>
    <cellStyle name="Normal 2 4 3 7 2 4" xfId="21167" xr:uid="{B4F92F3E-8FA3-4AC6-B5DF-CDA74F77C1DA}"/>
    <cellStyle name="Normal 2 4 3 7 2 5" xfId="12719" xr:uid="{1A0B58C2-C7D2-4935-9BC8-8A4D7F15E687}"/>
    <cellStyle name="Normal 2 4 3 7 3" xfId="6342" xr:uid="{00000000-0005-0000-0000-00002F100000}"/>
    <cellStyle name="Normal 2 4 3 7 3 2" xfId="31681" xr:uid="{3008025B-7DF2-4590-B62C-0A04B06AFBDA}"/>
    <cellStyle name="Normal 2 4 3 7 3 3" xfId="23240" xr:uid="{782B7E82-0967-4DF8-AADC-5F0C52D03390}"/>
    <cellStyle name="Normal 2 4 3 7 3 4" xfId="14792" xr:uid="{67CB373E-6486-4A45-B7F8-AB8F2C75D20F}"/>
    <cellStyle name="Normal 2 4 3 7 4" xfId="27463" xr:uid="{1C8FF981-6054-4A67-A0E6-C15B7155EDF2}"/>
    <cellStyle name="Normal 2 4 3 7 5" xfId="19022" xr:uid="{3ABEACA3-4FD8-45FB-8327-0D0EE2A141F3}"/>
    <cellStyle name="Normal 2 4 3 7 6" xfId="10574" xr:uid="{5CBDEF62-B8E6-4CDA-866D-80C37138791D}"/>
    <cellStyle name="Normal 2 4 3 8" xfId="2472" xr:uid="{00000000-0005-0000-0000-000030100000}"/>
    <cellStyle name="Normal 2 4 3 8 2" xfId="6755" xr:uid="{00000000-0005-0000-0000-000031100000}"/>
    <cellStyle name="Normal 2 4 3 8 2 2" xfId="32094" xr:uid="{AE238580-8B3A-482F-81CF-4384785B7EE5}"/>
    <cellStyle name="Normal 2 4 3 8 2 3" xfId="23653" xr:uid="{E49BF8F7-AE4B-4477-A3A2-6DC807337728}"/>
    <cellStyle name="Normal 2 4 3 8 2 4" xfId="15205" xr:uid="{1DF998B3-F6CF-47B0-B9B0-58E54118FA6E}"/>
    <cellStyle name="Normal 2 4 3 8 3" xfId="27876" xr:uid="{50A74AA7-D7BE-486E-9945-68C9EC48B8ED}"/>
    <cellStyle name="Normal 2 4 3 8 4" xfId="19435" xr:uid="{1DFA0BD3-0842-4E1F-865F-0E414D7E76C7}"/>
    <cellStyle name="Normal 2 4 3 8 5" xfId="10987" xr:uid="{175BFAE0-FE02-47CC-B71E-08FB9295C7D0}"/>
    <cellStyle name="Normal 2 4 3 9" xfId="4689" xr:uid="{00000000-0005-0000-0000-000032100000}"/>
    <cellStyle name="Normal 2 4 3 9 2" xfId="30028" xr:uid="{3FB9D594-5B87-4024-B60C-F1D13EC8AFE4}"/>
    <cellStyle name="Normal 2 4 3 9 3" xfId="21587" xr:uid="{940C2D12-4904-4487-A03C-53CE525DA786}"/>
    <cellStyle name="Normal 2 4 3 9 4" xfId="13139" xr:uid="{AF9E9050-0DE3-4A57-AA7A-6D52AA5E039C}"/>
    <cellStyle name="Normal 2 4 4" xfId="302" xr:uid="{00000000-0005-0000-0000-000033100000}"/>
    <cellStyle name="Normal 2 4 5" xfId="303" xr:uid="{00000000-0005-0000-0000-000034100000}"/>
    <cellStyle name="Normal 2 4 5 10" xfId="4694" xr:uid="{00000000-0005-0000-0000-000035100000}"/>
    <cellStyle name="Normal 2 4 5 10 2" xfId="30033" xr:uid="{9F2A1734-CFA8-44E1-AAF9-1D0DED94C054}"/>
    <cellStyle name="Normal 2 4 5 10 3" xfId="21592" xr:uid="{23C523D1-2273-49F7-BF5D-33DCAB722925}"/>
    <cellStyle name="Normal 2 4 5 10 4" xfId="13144" xr:uid="{3AED95A2-8277-4C95-A8F7-3D9722F02873}"/>
    <cellStyle name="Normal 2 4 5 11" xfId="25815" xr:uid="{EF8FB30D-6F62-4D50-BD7C-AE4D2F2317B5}"/>
    <cellStyle name="Normal 2 4 5 12" xfId="17374" xr:uid="{9FB76B9B-9A91-44B9-87E6-4D76BA918BEB}"/>
    <cellStyle name="Normal 2 4 5 13" xfId="8926" xr:uid="{DE01CC0D-BCC3-4586-840F-22B8178FC5AA}"/>
    <cellStyle name="Normal 2 4 5 2" xfId="304" xr:uid="{00000000-0005-0000-0000-000036100000}"/>
    <cellStyle name="Normal 2 4 5 2 10" xfId="25816" xr:uid="{7DFC1543-BEE3-4C67-B38D-209E2B89677D}"/>
    <cellStyle name="Normal 2 4 5 2 11" xfId="17375" xr:uid="{114B96CD-4A76-45C0-BDEE-95D69581E249}"/>
    <cellStyle name="Normal 2 4 5 2 12" xfId="8927" xr:uid="{FA557B99-E1DB-45BC-8937-68B7197125E3}"/>
    <cellStyle name="Normal 2 4 5 2 2" xfId="305" xr:uid="{00000000-0005-0000-0000-000037100000}"/>
    <cellStyle name="Normal 2 4 5 2 2 10" xfId="17376" xr:uid="{9F9F9B03-9861-4208-8548-8214C64EFE35}"/>
    <cellStyle name="Normal 2 4 5 2 2 11" xfId="8928" xr:uid="{FDBBFCA8-7190-4CB5-89FF-70044F340FDE}"/>
    <cellStyle name="Normal 2 4 5 2 2 2" xfId="306" xr:uid="{00000000-0005-0000-0000-000038100000}"/>
    <cellStyle name="Normal 2 4 5 2 2 2 10" xfId="8929" xr:uid="{9E89A12C-6CB2-4C7A-A34E-AFC487C84AEB}"/>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32595" xr:uid="{E112813D-81DC-46A0-A27F-739F498DCC56}"/>
    <cellStyle name="Normal 2 4 5 2 2 2 2 2 2 3" xfId="24154" xr:uid="{8DEC9BFE-CB38-4A8D-8497-DE876A250FBF}"/>
    <cellStyle name="Normal 2 4 5 2 2 2 2 2 2 4" xfId="15706" xr:uid="{DA7F6A76-6CB5-4FFE-8AB8-22374934AAFA}"/>
    <cellStyle name="Normal 2 4 5 2 2 2 2 2 3" xfId="28377" xr:uid="{DD8188E7-63CB-4EBD-BF4A-5594B5A09D71}"/>
    <cellStyle name="Normal 2 4 5 2 2 2 2 2 4" xfId="19936" xr:uid="{4915F8AC-492F-4648-82FA-DE24EEA9E347}"/>
    <cellStyle name="Normal 2 4 5 2 2 2 2 2 5" xfId="11488" xr:uid="{2C426F28-6AAE-409E-8B36-47E678B18864}"/>
    <cellStyle name="Normal 2 4 5 2 2 2 2 3" xfId="5111" xr:uid="{00000000-0005-0000-0000-00003C100000}"/>
    <cellStyle name="Normal 2 4 5 2 2 2 2 3 2" xfId="30450" xr:uid="{E50183A1-18B0-4455-889D-9C98BA85B95A}"/>
    <cellStyle name="Normal 2 4 5 2 2 2 2 3 3" xfId="22009" xr:uid="{BFF45783-D380-462F-B036-7D22B9D51FCE}"/>
    <cellStyle name="Normal 2 4 5 2 2 2 2 3 4" xfId="13561" xr:uid="{520DFFF5-582A-481B-934E-A0EE32EB4994}"/>
    <cellStyle name="Normal 2 4 5 2 2 2 2 4" xfId="26232" xr:uid="{EFD44ECA-91CF-478E-A50F-C797E912A63F}"/>
    <cellStyle name="Normal 2 4 5 2 2 2 2 5" xfId="17791" xr:uid="{EDDBE707-9A8D-4DC7-8147-543935584640}"/>
    <cellStyle name="Normal 2 4 5 2 2 2 2 6" xfId="9343" xr:uid="{2FFD5C69-9411-46D9-B672-340B89952E08}"/>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33008" xr:uid="{592A2540-E987-47C8-9EB8-A6B5A0CBC4F0}"/>
    <cellStyle name="Normal 2 4 5 2 2 2 3 2 2 3" xfId="24567" xr:uid="{AD056794-D37E-4F39-889D-34C92ABE6E67}"/>
    <cellStyle name="Normal 2 4 5 2 2 2 3 2 2 4" xfId="16119" xr:uid="{1B305181-DCC3-4C21-93B6-637459BAFB0C}"/>
    <cellStyle name="Normal 2 4 5 2 2 2 3 2 3" xfId="28790" xr:uid="{BDF646B0-8B7C-4396-805A-539437037CC6}"/>
    <cellStyle name="Normal 2 4 5 2 2 2 3 2 4" xfId="20349" xr:uid="{668E5C4E-CC50-4BE3-8FBC-35D5D7E51309}"/>
    <cellStyle name="Normal 2 4 5 2 2 2 3 2 5" xfId="11901" xr:uid="{3BD4A85F-ECE3-4A5A-971B-B8B03780AEDD}"/>
    <cellStyle name="Normal 2 4 5 2 2 2 3 3" xfId="5524" xr:uid="{00000000-0005-0000-0000-000040100000}"/>
    <cellStyle name="Normal 2 4 5 2 2 2 3 3 2" xfId="30863" xr:uid="{9E2B113B-A52E-401E-8D20-1E4EBAB2C448}"/>
    <cellStyle name="Normal 2 4 5 2 2 2 3 3 3" xfId="22422" xr:uid="{D2D57728-942B-4060-8239-358E02C8614C}"/>
    <cellStyle name="Normal 2 4 5 2 2 2 3 3 4" xfId="13974" xr:uid="{5CAF4453-9E05-45AC-9634-7936FCB058D6}"/>
    <cellStyle name="Normal 2 4 5 2 2 2 3 4" xfId="26645" xr:uid="{86594929-197A-4E9F-A9DA-B5C6C926891D}"/>
    <cellStyle name="Normal 2 4 5 2 2 2 3 5" xfId="18204" xr:uid="{F56866A9-37FE-4C46-9A3B-D0245FFB6E16}"/>
    <cellStyle name="Normal 2 4 5 2 2 2 3 6" xfId="9756" xr:uid="{3913400F-5F44-4FE4-BF2E-781A408B912B}"/>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33421" xr:uid="{BB7DDC96-90A3-4C28-A273-D129CE3BBF6A}"/>
    <cellStyle name="Normal 2 4 5 2 2 2 4 2 2 3" xfId="24980" xr:uid="{334635A3-08AD-4E65-B0AC-D7627783B1A9}"/>
    <cellStyle name="Normal 2 4 5 2 2 2 4 2 2 4" xfId="16532" xr:uid="{A51E8286-8CEE-4AA2-9C32-6FC6DC49A129}"/>
    <cellStyle name="Normal 2 4 5 2 2 2 4 2 3" xfId="29203" xr:uid="{D02B64E2-8C30-4604-9E70-FE922D1C0A2E}"/>
    <cellStyle name="Normal 2 4 5 2 2 2 4 2 4" xfId="20762" xr:uid="{213DED2B-6F8C-4516-8133-9B5F99FC81BC}"/>
    <cellStyle name="Normal 2 4 5 2 2 2 4 2 5" xfId="12314" xr:uid="{A07DE296-F517-4CBF-A6E9-9622C80DDFB7}"/>
    <cellStyle name="Normal 2 4 5 2 2 2 4 3" xfId="5937" xr:uid="{00000000-0005-0000-0000-000044100000}"/>
    <cellStyle name="Normal 2 4 5 2 2 2 4 3 2" xfId="31276" xr:uid="{0971A919-3CDA-4EEC-A128-B78C03A2E782}"/>
    <cellStyle name="Normal 2 4 5 2 2 2 4 3 3" xfId="22835" xr:uid="{E215793A-7552-4F27-AFF1-6F95C9604804}"/>
    <cellStyle name="Normal 2 4 5 2 2 2 4 3 4" xfId="14387" xr:uid="{D7F2E9AE-5E7D-423D-A5AA-5F30497F3F4B}"/>
    <cellStyle name="Normal 2 4 5 2 2 2 4 4" xfId="27058" xr:uid="{88B22594-1DE5-4794-99D9-825F3161B167}"/>
    <cellStyle name="Normal 2 4 5 2 2 2 4 5" xfId="18617" xr:uid="{7E034A7F-08B4-4A15-9E42-50C5000E5FD8}"/>
    <cellStyle name="Normal 2 4 5 2 2 2 4 6" xfId="10169" xr:uid="{A2720220-7CAB-4412-99B4-4A8B03FC3343}"/>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33834" xr:uid="{2227420F-7E27-4264-AA3C-3AF0D378F998}"/>
    <cellStyle name="Normal 2 4 5 2 2 2 5 2 2 3" xfId="25393" xr:uid="{5B862C1A-7FB9-48B2-B65F-C88F692D18AE}"/>
    <cellStyle name="Normal 2 4 5 2 2 2 5 2 2 4" xfId="16945" xr:uid="{A5BD707B-FF04-449D-8ACB-0D507BEEA0BF}"/>
    <cellStyle name="Normal 2 4 5 2 2 2 5 2 3" xfId="29616" xr:uid="{064DFD56-F0D1-46D8-A726-5BAE048B7039}"/>
    <cellStyle name="Normal 2 4 5 2 2 2 5 2 4" xfId="21175" xr:uid="{72D40DB7-0E34-410C-B1F7-DB01CA822FC6}"/>
    <cellStyle name="Normal 2 4 5 2 2 2 5 2 5" xfId="12727" xr:uid="{DB06D373-BF17-41EC-9ADF-09F1980C347B}"/>
    <cellStyle name="Normal 2 4 5 2 2 2 5 3" xfId="6350" xr:uid="{00000000-0005-0000-0000-000048100000}"/>
    <cellStyle name="Normal 2 4 5 2 2 2 5 3 2" xfId="31689" xr:uid="{F567BF71-6BE9-45BC-85BF-3A7F5A39F5A9}"/>
    <cellStyle name="Normal 2 4 5 2 2 2 5 3 3" xfId="23248" xr:uid="{3B8D5F4F-7AF3-435E-9ABA-4DB40F36F653}"/>
    <cellStyle name="Normal 2 4 5 2 2 2 5 3 4" xfId="14800" xr:uid="{7A9246D5-E8A5-4AA6-9118-DFEE7D37F1A4}"/>
    <cellStyle name="Normal 2 4 5 2 2 2 5 4" xfId="27471" xr:uid="{0A6D35B2-A89E-4270-9006-47376E299913}"/>
    <cellStyle name="Normal 2 4 5 2 2 2 5 5" xfId="19030" xr:uid="{5506F10E-29E4-4C2C-92AD-75561D001064}"/>
    <cellStyle name="Normal 2 4 5 2 2 2 5 6" xfId="10582" xr:uid="{EC80C17E-1AD8-461A-A1DB-ED6707FF88A1}"/>
    <cellStyle name="Normal 2 4 5 2 2 2 6" xfId="2480" xr:uid="{00000000-0005-0000-0000-000049100000}"/>
    <cellStyle name="Normal 2 4 5 2 2 2 6 2" xfId="6763" xr:uid="{00000000-0005-0000-0000-00004A100000}"/>
    <cellStyle name="Normal 2 4 5 2 2 2 6 2 2" xfId="32102" xr:uid="{6FA9D3B5-D378-4AAF-9C9C-D8688F2F3F38}"/>
    <cellStyle name="Normal 2 4 5 2 2 2 6 2 3" xfId="23661" xr:uid="{5F19A7A8-13F8-46D1-B554-8B97CDBDAE79}"/>
    <cellStyle name="Normal 2 4 5 2 2 2 6 2 4" xfId="15213" xr:uid="{9F799ADF-2CC1-419A-B15B-344C0429F47E}"/>
    <cellStyle name="Normal 2 4 5 2 2 2 6 3" xfId="27884" xr:uid="{2178C20D-8205-4D79-8D9B-F562F122CF34}"/>
    <cellStyle name="Normal 2 4 5 2 2 2 6 4" xfId="19443" xr:uid="{174A1648-19C9-410E-8AE1-EBC1EB55E9D4}"/>
    <cellStyle name="Normal 2 4 5 2 2 2 6 5" xfId="10995" xr:uid="{3145100E-8498-48A3-ABDA-D5DF82FAEC4B}"/>
    <cellStyle name="Normal 2 4 5 2 2 2 7" xfId="4697" xr:uid="{00000000-0005-0000-0000-00004B100000}"/>
    <cellStyle name="Normal 2 4 5 2 2 2 7 2" xfId="30036" xr:uid="{371F80BF-3C72-41CB-9498-DF57F4E2BAE4}"/>
    <cellStyle name="Normal 2 4 5 2 2 2 7 3" xfId="21595" xr:uid="{F935E96D-9452-4FED-BB6C-439E420446B0}"/>
    <cellStyle name="Normal 2 4 5 2 2 2 7 4" xfId="13147" xr:uid="{B7EA0B52-7976-4D74-9B60-7F3159F4EFA7}"/>
    <cellStyle name="Normal 2 4 5 2 2 2 8" xfId="25818" xr:uid="{AADCDA10-25D6-4F41-B652-E641FE04E338}"/>
    <cellStyle name="Normal 2 4 5 2 2 2 9" xfId="17377" xr:uid="{039F6035-07F1-480F-BC2F-AD469BBA7398}"/>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32594" xr:uid="{6C47C675-C7B6-4FC8-ADA3-663E41AE42D4}"/>
    <cellStyle name="Normal 2 4 5 2 2 3 2 2 3" xfId="24153" xr:uid="{E3AB3974-9289-450C-B7E0-0A905AE145FE}"/>
    <cellStyle name="Normal 2 4 5 2 2 3 2 2 4" xfId="15705" xr:uid="{B5E7BE7C-36D9-413D-9798-BD9681AB7335}"/>
    <cellStyle name="Normal 2 4 5 2 2 3 2 3" xfId="28376" xr:uid="{0ABEDD6C-AF5C-4B06-AEAD-78F65297EA17}"/>
    <cellStyle name="Normal 2 4 5 2 2 3 2 4" xfId="19935" xr:uid="{6BE24E6C-9EA7-4D9B-91E4-E30C81FE63AD}"/>
    <cellStyle name="Normal 2 4 5 2 2 3 2 5" xfId="11487" xr:uid="{C3540E4C-BFED-4F8C-969F-4C3F6EE1C0EE}"/>
    <cellStyle name="Normal 2 4 5 2 2 3 3" xfId="5110" xr:uid="{00000000-0005-0000-0000-00004F100000}"/>
    <cellStyle name="Normal 2 4 5 2 2 3 3 2" xfId="30449" xr:uid="{BD06EEA2-C741-4F61-A3B0-E3CA84A6991D}"/>
    <cellStyle name="Normal 2 4 5 2 2 3 3 3" xfId="22008" xr:uid="{3088E5C6-44CE-4DA6-ACD1-3A9E7B98646B}"/>
    <cellStyle name="Normal 2 4 5 2 2 3 3 4" xfId="13560" xr:uid="{EC2A635A-EE8F-400D-8067-A260CDDDED18}"/>
    <cellStyle name="Normal 2 4 5 2 2 3 4" xfId="26231" xr:uid="{33AC588E-FE20-406C-955E-983CA50CDD72}"/>
    <cellStyle name="Normal 2 4 5 2 2 3 5" xfId="17790" xr:uid="{7992428C-C38E-45E3-B4F6-2BB2C21EBC79}"/>
    <cellStyle name="Normal 2 4 5 2 2 3 6" xfId="9342" xr:uid="{F360321F-C0DC-4FCF-9D4D-F1A7494ABE58}"/>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33007" xr:uid="{0C432D29-D2CE-4B7D-9FC6-ADF5AA6F44F7}"/>
    <cellStyle name="Normal 2 4 5 2 2 4 2 2 3" xfId="24566" xr:uid="{787A7FF2-C211-4EBA-9EAA-6385339FA578}"/>
    <cellStyle name="Normal 2 4 5 2 2 4 2 2 4" xfId="16118" xr:uid="{E19BA7D9-AC9C-432B-95C8-6F6CCC6C9185}"/>
    <cellStyle name="Normal 2 4 5 2 2 4 2 3" xfId="28789" xr:uid="{5E6D94EB-34FA-4E82-AE97-1D36F066E6D2}"/>
    <cellStyle name="Normal 2 4 5 2 2 4 2 4" xfId="20348" xr:uid="{EE3A7467-BF52-4F7A-ADC0-2107812C8C9A}"/>
    <cellStyle name="Normal 2 4 5 2 2 4 2 5" xfId="11900" xr:uid="{1317198A-83AE-471E-8D5A-A1AACD98F533}"/>
    <cellStyle name="Normal 2 4 5 2 2 4 3" xfId="5523" xr:uid="{00000000-0005-0000-0000-000053100000}"/>
    <cellStyle name="Normal 2 4 5 2 2 4 3 2" xfId="30862" xr:uid="{ED385BAF-1EFF-499E-89F9-0023F297C8C1}"/>
    <cellStyle name="Normal 2 4 5 2 2 4 3 3" xfId="22421" xr:uid="{8361790E-5424-4EB5-B424-59D175FBA561}"/>
    <cellStyle name="Normal 2 4 5 2 2 4 3 4" xfId="13973" xr:uid="{1AE8CED0-0A17-43D9-B55B-3C93428A727B}"/>
    <cellStyle name="Normal 2 4 5 2 2 4 4" xfId="26644" xr:uid="{09019DC6-1EB0-447F-93DE-17117B181A2D}"/>
    <cellStyle name="Normal 2 4 5 2 2 4 5" xfId="18203" xr:uid="{B4E3823D-E4E7-420B-B540-ED968870F274}"/>
    <cellStyle name="Normal 2 4 5 2 2 4 6" xfId="9755" xr:uid="{FF36A640-36EF-4558-B9CC-578110FDAB71}"/>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33420" xr:uid="{75BC395B-F804-48F3-83C3-9799BE18C6CF}"/>
    <cellStyle name="Normal 2 4 5 2 2 5 2 2 3" xfId="24979" xr:uid="{CB615D10-026C-4AFA-8262-9DC14F40DB52}"/>
    <cellStyle name="Normal 2 4 5 2 2 5 2 2 4" xfId="16531" xr:uid="{FBB2DF2E-EAF9-485E-B4E1-54D22BEB404B}"/>
    <cellStyle name="Normal 2 4 5 2 2 5 2 3" xfId="29202" xr:uid="{0E5613AB-F13B-49EA-A8A3-F6056DF9D111}"/>
    <cellStyle name="Normal 2 4 5 2 2 5 2 4" xfId="20761" xr:uid="{609F0DCE-D6D6-4A6C-9362-B8F2B7E1B08E}"/>
    <cellStyle name="Normal 2 4 5 2 2 5 2 5" xfId="12313" xr:uid="{577FF3A9-59C8-470E-A5D5-2E429CF2C291}"/>
    <cellStyle name="Normal 2 4 5 2 2 5 3" xfId="5936" xr:uid="{00000000-0005-0000-0000-000057100000}"/>
    <cellStyle name="Normal 2 4 5 2 2 5 3 2" xfId="31275" xr:uid="{2F8827AC-6DC0-4D73-AA4F-8C41D4E4E4F7}"/>
    <cellStyle name="Normal 2 4 5 2 2 5 3 3" xfId="22834" xr:uid="{B04A096D-0BC1-43D8-AB20-9E6BF417AE4F}"/>
    <cellStyle name="Normal 2 4 5 2 2 5 3 4" xfId="14386" xr:uid="{4243306D-3CF3-491A-90C5-A9778C934BE5}"/>
    <cellStyle name="Normal 2 4 5 2 2 5 4" xfId="27057" xr:uid="{FBF8E89E-4244-4D75-82F7-8360FA9AA11B}"/>
    <cellStyle name="Normal 2 4 5 2 2 5 5" xfId="18616" xr:uid="{2243771F-F95C-44A7-9150-F21E2996ADF8}"/>
    <cellStyle name="Normal 2 4 5 2 2 5 6" xfId="10168" xr:uid="{189A0078-9CA8-46EE-A053-7BD3C3211244}"/>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33833" xr:uid="{28E197F9-CEE0-43B7-B063-2BE774FB05FD}"/>
    <cellStyle name="Normal 2 4 5 2 2 6 2 2 3" xfId="25392" xr:uid="{FC12DC97-F484-44F8-BC42-AFC7A06643DB}"/>
    <cellStyle name="Normal 2 4 5 2 2 6 2 2 4" xfId="16944" xr:uid="{A6411468-F5DD-477A-8E03-FA372B7A793B}"/>
    <cellStyle name="Normal 2 4 5 2 2 6 2 3" xfId="29615" xr:uid="{6B827991-863B-4E38-9558-030ED293061A}"/>
    <cellStyle name="Normal 2 4 5 2 2 6 2 4" xfId="21174" xr:uid="{46D5BD3C-2C71-45DE-A436-D3594CAC13D5}"/>
    <cellStyle name="Normal 2 4 5 2 2 6 2 5" xfId="12726" xr:uid="{0D00DB6F-E5C3-404E-9755-4CE42DA0EC54}"/>
    <cellStyle name="Normal 2 4 5 2 2 6 3" xfId="6349" xr:uid="{00000000-0005-0000-0000-00005B100000}"/>
    <cellStyle name="Normal 2 4 5 2 2 6 3 2" xfId="31688" xr:uid="{013A082D-6E9D-4017-ABF6-0809C1BC8DE4}"/>
    <cellStyle name="Normal 2 4 5 2 2 6 3 3" xfId="23247" xr:uid="{1A820BFE-DDA9-4201-9A8C-13EE49E1F21C}"/>
    <cellStyle name="Normal 2 4 5 2 2 6 3 4" xfId="14799" xr:uid="{8EE45FBC-1E03-4595-B486-84620B08126A}"/>
    <cellStyle name="Normal 2 4 5 2 2 6 4" xfId="27470" xr:uid="{13924C01-E060-474B-BFFC-9D69FF332F94}"/>
    <cellStyle name="Normal 2 4 5 2 2 6 5" xfId="19029" xr:uid="{83DC26FC-3EB4-4DB9-B711-8CBF4318879E}"/>
    <cellStyle name="Normal 2 4 5 2 2 6 6" xfId="10581" xr:uid="{FEB0773E-9844-4AE6-B9D7-883BC9FC26E1}"/>
    <cellStyle name="Normal 2 4 5 2 2 7" xfId="2479" xr:uid="{00000000-0005-0000-0000-00005C100000}"/>
    <cellStyle name="Normal 2 4 5 2 2 7 2" xfId="6762" xr:uid="{00000000-0005-0000-0000-00005D100000}"/>
    <cellStyle name="Normal 2 4 5 2 2 7 2 2" xfId="32101" xr:uid="{201B54F9-ECA2-4462-A27D-1840EB4BC493}"/>
    <cellStyle name="Normal 2 4 5 2 2 7 2 3" xfId="23660" xr:uid="{D9A5A937-516C-4422-AA49-FF9C5D22FBFD}"/>
    <cellStyle name="Normal 2 4 5 2 2 7 2 4" xfId="15212" xr:uid="{3D260D02-3832-4069-9A4D-EB5D95038935}"/>
    <cellStyle name="Normal 2 4 5 2 2 7 3" xfId="27883" xr:uid="{76EEF6C6-86CD-40D1-8730-27146D4A6B5B}"/>
    <cellStyle name="Normal 2 4 5 2 2 7 4" xfId="19442" xr:uid="{1357BF1C-05FF-4EEC-8D0F-4EAA951BAE87}"/>
    <cellStyle name="Normal 2 4 5 2 2 7 5" xfId="10994" xr:uid="{D91FFFE1-9EE3-4ADF-BC36-A8A9720146AD}"/>
    <cellStyle name="Normal 2 4 5 2 2 8" xfId="4696" xr:uid="{00000000-0005-0000-0000-00005E100000}"/>
    <cellStyle name="Normal 2 4 5 2 2 8 2" xfId="30035" xr:uid="{D93E51C5-1691-4733-83A3-CB4C5C28FDA1}"/>
    <cellStyle name="Normal 2 4 5 2 2 8 3" xfId="21594" xr:uid="{6E9103A2-3E1E-4C8E-8F22-0D57D1ACAFF1}"/>
    <cellStyle name="Normal 2 4 5 2 2 8 4" xfId="13146" xr:uid="{233237A4-E01F-4959-85B7-9A444D2480C7}"/>
    <cellStyle name="Normal 2 4 5 2 2 9" xfId="25817" xr:uid="{811DCA5E-3637-4917-9317-F2E2E6323B58}"/>
    <cellStyle name="Normal 2 4 5 2 3" xfId="307" xr:uid="{00000000-0005-0000-0000-00005F100000}"/>
    <cellStyle name="Normal 2 4 5 2 3 10" xfId="8930" xr:uid="{C9152A9C-3FAC-435F-B2E7-CB183824EECB}"/>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32596" xr:uid="{9EE2C3F2-5700-44E6-8E65-A1FBC7C9F0B3}"/>
    <cellStyle name="Normal 2 4 5 2 3 2 2 2 3" xfId="24155" xr:uid="{300F57DC-9645-453F-868C-3F10841BF3F9}"/>
    <cellStyle name="Normal 2 4 5 2 3 2 2 2 4" xfId="15707" xr:uid="{156D5B96-7B59-499A-B2A8-D0D9D1F7476D}"/>
    <cellStyle name="Normal 2 4 5 2 3 2 2 3" xfId="28378" xr:uid="{DCCBF178-3DA7-461C-BCDC-ABE8A5E7702B}"/>
    <cellStyle name="Normal 2 4 5 2 3 2 2 4" xfId="19937" xr:uid="{5F165C03-DB44-4DA7-AE00-88829C8C414A}"/>
    <cellStyle name="Normal 2 4 5 2 3 2 2 5" xfId="11489" xr:uid="{7FE7AFE2-B7D8-4970-8692-24C134832E46}"/>
    <cellStyle name="Normal 2 4 5 2 3 2 3" xfId="5112" xr:uid="{00000000-0005-0000-0000-000063100000}"/>
    <cellStyle name="Normal 2 4 5 2 3 2 3 2" xfId="30451" xr:uid="{DDE0390F-F842-45BF-A195-C6B2B2624069}"/>
    <cellStyle name="Normal 2 4 5 2 3 2 3 3" xfId="22010" xr:uid="{199EA21F-93C4-45A8-9439-3D007859928A}"/>
    <cellStyle name="Normal 2 4 5 2 3 2 3 4" xfId="13562" xr:uid="{A0366FE7-B76C-477D-9640-CD425B203879}"/>
    <cellStyle name="Normal 2 4 5 2 3 2 4" xfId="26233" xr:uid="{16696699-E178-4650-A268-F3CB1D94102F}"/>
    <cellStyle name="Normal 2 4 5 2 3 2 5" xfId="17792" xr:uid="{F2CC5C49-731A-498B-B9B3-AFBF678544A6}"/>
    <cellStyle name="Normal 2 4 5 2 3 2 6" xfId="9344" xr:uid="{E50781B0-3241-4FD1-BB12-2CB75A77E1D5}"/>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33009" xr:uid="{58A68AB3-DDC6-48E1-854A-C0435B315C13}"/>
    <cellStyle name="Normal 2 4 5 2 3 3 2 2 3" xfId="24568" xr:uid="{0EDDC6FE-E115-4FCA-8C1A-4AE882AA0D24}"/>
    <cellStyle name="Normal 2 4 5 2 3 3 2 2 4" xfId="16120" xr:uid="{21564781-B486-4A82-8827-E7440307CD71}"/>
    <cellStyle name="Normal 2 4 5 2 3 3 2 3" xfId="28791" xr:uid="{17226DEA-E470-4901-8CB7-34E745B656A7}"/>
    <cellStyle name="Normal 2 4 5 2 3 3 2 4" xfId="20350" xr:uid="{46CD306F-C2CF-4D33-BE15-68F2E07CC90F}"/>
    <cellStyle name="Normal 2 4 5 2 3 3 2 5" xfId="11902" xr:uid="{FB5A2C66-EA5C-4CBC-BF50-7939434F59D0}"/>
    <cellStyle name="Normal 2 4 5 2 3 3 3" xfId="5525" xr:uid="{00000000-0005-0000-0000-000067100000}"/>
    <cellStyle name="Normal 2 4 5 2 3 3 3 2" xfId="30864" xr:uid="{377FBD0C-BC44-4976-BA22-7A32893083CC}"/>
    <cellStyle name="Normal 2 4 5 2 3 3 3 3" xfId="22423" xr:uid="{B2E9D8CA-67BF-4459-A149-13140373FDCB}"/>
    <cellStyle name="Normal 2 4 5 2 3 3 3 4" xfId="13975" xr:uid="{8A5F4C01-82B6-403A-BF0D-0A72A6D63045}"/>
    <cellStyle name="Normal 2 4 5 2 3 3 4" xfId="26646" xr:uid="{053BB2BA-45D4-457C-AFE5-DDB44D9F94D6}"/>
    <cellStyle name="Normal 2 4 5 2 3 3 5" xfId="18205" xr:uid="{75395E8A-C1B6-4E6D-8814-9CB01FB18836}"/>
    <cellStyle name="Normal 2 4 5 2 3 3 6" xfId="9757" xr:uid="{F30E9B83-2B21-4DE2-8900-674138B71F71}"/>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33422" xr:uid="{E5469048-6E69-4E55-A320-06954011087F}"/>
    <cellStyle name="Normal 2 4 5 2 3 4 2 2 3" xfId="24981" xr:uid="{1CF56F90-A4B1-4463-9443-AF1502C1B88E}"/>
    <cellStyle name="Normal 2 4 5 2 3 4 2 2 4" xfId="16533" xr:uid="{D6377D65-01D2-4173-80B6-D1378FC88BE7}"/>
    <cellStyle name="Normal 2 4 5 2 3 4 2 3" xfId="29204" xr:uid="{D00BC5EF-BC06-4830-8064-DA049358E5AA}"/>
    <cellStyle name="Normal 2 4 5 2 3 4 2 4" xfId="20763" xr:uid="{B9EBE1B7-B3EC-46E8-8321-03212A0CA637}"/>
    <cellStyle name="Normal 2 4 5 2 3 4 2 5" xfId="12315" xr:uid="{750AA565-0428-4A54-B261-58DE065B1BC9}"/>
    <cellStyle name="Normal 2 4 5 2 3 4 3" xfId="5938" xr:uid="{00000000-0005-0000-0000-00006B100000}"/>
    <cellStyle name="Normal 2 4 5 2 3 4 3 2" xfId="31277" xr:uid="{9823401D-5FC4-4C49-AB1A-69D5F1C05CFC}"/>
    <cellStyle name="Normal 2 4 5 2 3 4 3 3" xfId="22836" xr:uid="{F299F634-F786-4657-AB1D-D092877D3E36}"/>
    <cellStyle name="Normal 2 4 5 2 3 4 3 4" xfId="14388" xr:uid="{5670904D-E685-43F9-8B9B-11A98F9AA0F7}"/>
    <cellStyle name="Normal 2 4 5 2 3 4 4" xfId="27059" xr:uid="{2BE05A77-31C6-4FDA-B2C0-60DAA945BD73}"/>
    <cellStyle name="Normal 2 4 5 2 3 4 5" xfId="18618" xr:uid="{569B74E4-EB51-4EBB-A8A9-40EC6A236AB7}"/>
    <cellStyle name="Normal 2 4 5 2 3 4 6" xfId="10170" xr:uid="{4B330212-8EF1-4F55-9C65-4BB0A3894858}"/>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33835" xr:uid="{2C59DCC2-53C4-46C9-9B67-F1E18CD28B0D}"/>
    <cellStyle name="Normal 2 4 5 2 3 5 2 2 3" xfId="25394" xr:uid="{21FB2D5D-A9A2-4812-A8EB-4FDBF23EE3CF}"/>
    <cellStyle name="Normal 2 4 5 2 3 5 2 2 4" xfId="16946" xr:uid="{7B081CBC-2851-4E00-98E3-E20C97811BE9}"/>
    <cellStyle name="Normal 2 4 5 2 3 5 2 3" xfId="29617" xr:uid="{1BC6B38B-3DA3-479E-9E3F-FADFA7A910C2}"/>
    <cellStyle name="Normal 2 4 5 2 3 5 2 4" xfId="21176" xr:uid="{639577A3-EAB4-4EEE-BEDA-19B9D6481B74}"/>
    <cellStyle name="Normal 2 4 5 2 3 5 2 5" xfId="12728" xr:uid="{339A4AC3-9859-46D0-B4B7-FA8BAD2ACD4F}"/>
    <cellStyle name="Normal 2 4 5 2 3 5 3" xfId="6351" xr:uid="{00000000-0005-0000-0000-00006F100000}"/>
    <cellStyle name="Normal 2 4 5 2 3 5 3 2" xfId="31690" xr:uid="{8B02B26E-F1DB-4CDC-9D03-61BD945CE53E}"/>
    <cellStyle name="Normal 2 4 5 2 3 5 3 3" xfId="23249" xr:uid="{5C5151D2-5FA9-44DF-B748-287578685327}"/>
    <cellStyle name="Normal 2 4 5 2 3 5 3 4" xfId="14801" xr:uid="{AFFAA86A-1B84-41AE-B78C-7C7B89868B5B}"/>
    <cellStyle name="Normal 2 4 5 2 3 5 4" xfId="27472" xr:uid="{06CE6A5D-8456-4A58-B5F6-21A3F37CAE4C}"/>
    <cellStyle name="Normal 2 4 5 2 3 5 5" xfId="19031" xr:uid="{9E91D774-AC2D-4D6B-BAEF-F47B95CE1723}"/>
    <cellStyle name="Normal 2 4 5 2 3 5 6" xfId="10583" xr:uid="{E2B8B91A-DDC8-40F5-8DD7-39515146E3C5}"/>
    <cellStyle name="Normal 2 4 5 2 3 6" xfId="2481" xr:uid="{00000000-0005-0000-0000-000070100000}"/>
    <cellStyle name="Normal 2 4 5 2 3 6 2" xfId="6764" xr:uid="{00000000-0005-0000-0000-000071100000}"/>
    <cellStyle name="Normal 2 4 5 2 3 6 2 2" xfId="32103" xr:uid="{96395E1E-7F04-4116-8374-D76B9095661D}"/>
    <cellStyle name="Normal 2 4 5 2 3 6 2 3" xfId="23662" xr:uid="{C2CA1A12-D767-4C61-8AE0-14D655F5F974}"/>
    <cellStyle name="Normal 2 4 5 2 3 6 2 4" xfId="15214" xr:uid="{CF42A32C-1E2F-4A6E-8E97-4FE871864240}"/>
    <cellStyle name="Normal 2 4 5 2 3 6 3" xfId="27885" xr:uid="{B72201E1-7EB8-4E67-9751-598603249754}"/>
    <cellStyle name="Normal 2 4 5 2 3 6 4" xfId="19444" xr:uid="{EC0554A4-5C60-42B7-A45E-BE445F33D969}"/>
    <cellStyle name="Normal 2 4 5 2 3 6 5" xfId="10996" xr:uid="{DB0BC034-F269-477A-91FD-3C19437E15FB}"/>
    <cellStyle name="Normal 2 4 5 2 3 7" xfId="4698" xr:uid="{00000000-0005-0000-0000-000072100000}"/>
    <cellStyle name="Normal 2 4 5 2 3 7 2" xfId="30037" xr:uid="{5DE5C82A-3DCF-43FD-B075-B06D5CC26598}"/>
    <cellStyle name="Normal 2 4 5 2 3 7 3" xfId="21596" xr:uid="{D12E70BE-AE6E-4C9A-9678-E6EE59ED6D3C}"/>
    <cellStyle name="Normal 2 4 5 2 3 7 4" xfId="13148" xr:uid="{B4CC5524-32BE-47B2-BC42-BD2E550BD9D5}"/>
    <cellStyle name="Normal 2 4 5 2 3 8" xfId="25819" xr:uid="{21DA25EF-A5D4-4C6E-B69A-896E2247C7AD}"/>
    <cellStyle name="Normal 2 4 5 2 3 9" xfId="17378" xr:uid="{5ADF634D-2783-4055-AD75-FD7DB8FF13E4}"/>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32593" xr:uid="{149D86E9-2C42-4973-AD54-C39C9CAF43FD}"/>
    <cellStyle name="Normal 2 4 5 2 4 2 2 3" xfId="24152" xr:uid="{7A777560-C58E-4DA8-A143-2DE6E1BC9921}"/>
    <cellStyle name="Normal 2 4 5 2 4 2 2 4" xfId="15704" xr:uid="{63B413B3-6F38-491F-95C9-1756C9F6C5E3}"/>
    <cellStyle name="Normal 2 4 5 2 4 2 3" xfId="28375" xr:uid="{DBC37D0A-4E41-4838-9F61-51BC2628F929}"/>
    <cellStyle name="Normal 2 4 5 2 4 2 4" xfId="19934" xr:uid="{40C3EE0A-270F-4650-B703-14AB06AF8379}"/>
    <cellStyle name="Normal 2 4 5 2 4 2 5" xfId="11486" xr:uid="{AF21B7BF-604D-4F86-9C95-EA38B6D72DD9}"/>
    <cellStyle name="Normal 2 4 5 2 4 3" xfId="5109" xr:uid="{00000000-0005-0000-0000-000076100000}"/>
    <cellStyle name="Normal 2 4 5 2 4 3 2" xfId="30448" xr:uid="{9F388723-07BE-4EC5-B114-701D5FA1C6CB}"/>
    <cellStyle name="Normal 2 4 5 2 4 3 3" xfId="22007" xr:uid="{F3B19443-BC94-4B32-B71F-AF902AFB0EE9}"/>
    <cellStyle name="Normal 2 4 5 2 4 3 4" xfId="13559" xr:uid="{C862D4D6-5432-4423-BF01-4F47F6DC5EE4}"/>
    <cellStyle name="Normal 2 4 5 2 4 4" xfId="26230" xr:uid="{321AD61A-8C8C-4D8B-AE26-3975081144E9}"/>
    <cellStyle name="Normal 2 4 5 2 4 5" xfId="17789" xr:uid="{4647F55A-4AE7-47AC-BF75-444FFCBC4D11}"/>
    <cellStyle name="Normal 2 4 5 2 4 6" xfId="9341" xr:uid="{58719E81-CB53-46B8-8C5D-8724154D6C6E}"/>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33006" xr:uid="{EA7F41AD-5AD3-40FF-A3B0-D6FAD5B2D780}"/>
    <cellStyle name="Normal 2 4 5 2 5 2 2 3" xfId="24565" xr:uid="{C80106A2-0FA8-4F70-ADFC-3EFF7F9D4FA5}"/>
    <cellStyle name="Normal 2 4 5 2 5 2 2 4" xfId="16117" xr:uid="{A574195A-71AC-4220-8EEA-6219F505F55F}"/>
    <cellStyle name="Normal 2 4 5 2 5 2 3" xfId="28788" xr:uid="{5531A407-2C94-46E6-B309-D3EB569080A6}"/>
    <cellStyle name="Normal 2 4 5 2 5 2 4" xfId="20347" xr:uid="{D6D1B9F7-9752-4CD2-A525-6C5577101D2C}"/>
    <cellStyle name="Normal 2 4 5 2 5 2 5" xfId="11899" xr:uid="{61BCFC19-38A0-420F-8B1D-44A41991E62C}"/>
    <cellStyle name="Normal 2 4 5 2 5 3" xfId="5522" xr:uid="{00000000-0005-0000-0000-00007A100000}"/>
    <cellStyle name="Normal 2 4 5 2 5 3 2" xfId="30861" xr:uid="{CB746C0E-64EB-4833-AF3F-9D7E563C5D63}"/>
    <cellStyle name="Normal 2 4 5 2 5 3 3" xfId="22420" xr:uid="{7A969E65-378A-41DD-93B7-AA2701C63126}"/>
    <cellStyle name="Normal 2 4 5 2 5 3 4" xfId="13972" xr:uid="{787051D1-1F8D-4A25-906D-B3A42ADD6C45}"/>
    <cellStyle name="Normal 2 4 5 2 5 4" xfId="26643" xr:uid="{DAEF22C8-6262-4BAE-8037-FDC135360A59}"/>
    <cellStyle name="Normal 2 4 5 2 5 5" xfId="18202" xr:uid="{16CA99E4-93A7-450F-A421-5854C8D8DD35}"/>
    <cellStyle name="Normal 2 4 5 2 5 6" xfId="9754" xr:uid="{E1BA40F0-DB7B-4A78-A763-96ADB087E505}"/>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33419" xr:uid="{324E4CF1-DDCF-4C28-875C-6C9B49121BF0}"/>
    <cellStyle name="Normal 2 4 5 2 6 2 2 3" xfId="24978" xr:uid="{7A096AAD-AA4D-4828-8C1A-C541743B90D7}"/>
    <cellStyle name="Normal 2 4 5 2 6 2 2 4" xfId="16530" xr:uid="{87BE14A1-81C6-49C0-B167-8521D7BAD8D7}"/>
    <cellStyle name="Normal 2 4 5 2 6 2 3" xfId="29201" xr:uid="{AEB0449D-444E-464B-9D6E-3F7D574795A0}"/>
    <cellStyle name="Normal 2 4 5 2 6 2 4" xfId="20760" xr:uid="{ED856B6A-6261-41D2-BE5E-40893F56837D}"/>
    <cellStyle name="Normal 2 4 5 2 6 2 5" xfId="12312" xr:uid="{819DD482-F3EC-479F-82C3-1D0CA431241C}"/>
    <cellStyle name="Normal 2 4 5 2 6 3" xfId="5935" xr:uid="{00000000-0005-0000-0000-00007E100000}"/>
    <cellStyle name="Normal 2 4 5 2 6 3 2" xfId="31274" xr:uid="{698FC142-259E-4B66-A274-260B0768E767}"/>
    <cellStyle name="Normal 2 4 5 2 6 3 3" xfId="22833" xr:uid="{155A76E5-E4BC-4079-A1F0-33794A96DE38}"/>
    <cellStyle name="Normal 2 4 5 2 6 3 4" xfId="14385" xr:uid="{197192E0-D56F-4BAC-80D6-6428DB778106}"/>
    <cellStyle name="Normal 2 4 5 2 6 4" xfId="27056" xr:uid="{4FB90A7F-C37E-46C5-85CC-D7BD0C758E1E}"/>
    <cellStyle name="Normal 2 4 5 2 6 5" xfId="18615" xr:uid="{CD6A6A29-932E-46AD-9087-9B49C14729E7}"/>
    <cellStyle name="Normal 2 4 5 2 6 6" xfId="10167" xr:uid="{CAECC041-7E8A-484A-AAA6-C2027AD4349E}"/>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33832" xr:uid="{D3EEC3C8-D2D8-4A27-88C6-ABD6C8875EB3}"/>
    <cellStyle name="Normal 2 4 5 2 7 2 2 3" xfId="25391" xr:uid="{F6A0B41D-ACAA-4116-BA44-4867D26E83BB}"/>
    <cellStyle name="Normal 2 4 5 2 7 2 2 4" xfId="16943" xr:uid="{A5F22893-6477-48D5-A159-DA74B4E00C15}"/>
    <cellStyle name="Normal 2 4 5 2 7 2 3" xfId="29614" xr:uid="{70E016E6-682F-4BFA-A1BB-901C74AB682C}"/>
    <cellStyle name="Normal 2 4 5 2 7 2 4" xfId="21173" xr:uid="{B5A09D3D-23A5-4E04-A1E8-1530E4DE6181}"/>
    <cellStyle name="Normal 2 4 5 2 7 2 5" xfId="12725" xr:uid="{AC71922A-C509-43A3-84A6-DEF501D35503}"/>
    <cellStyle name="Normal 2 4 5 2 7 3" xfId="6348" xr:uid="{00000000-0005-0000-0000-000082100000}"/>
    <cellStyle name="Normal 2 4 5 2 7 3 2" xfId="31687" xr:uid="{622ED3A6-F680-48B3-B9E3-227661C9FCDA}"/>
    <cellStyle name="Normal 2 4 5 2 7 3 3" xfId="23246" xr:uid="{E3D871D0-4C98-40F7-951B-DD28E84CD1A7}"/>
    <cellStyle name="Normal 2 4 5 2 7 3 4" xfId="14798" xr:uid="{749E6E2D-4394-4E74-A0E1-DDDD4099379D}"/>
    <cellStyle name="Normal 2 4 5 2 7 4" xfId="27469" xr:uid="{71CE4565-A6A2-4F84-81D0-3C6558584338}"/>
    <cellStyle name="Normal 2 4 5 2 7 5" xfId="19028" xr:uid="{87AA306C-7801-4F1A-B8FD-D574409AE765}"/>
    <cellStyle name="Normal 2 4 5 2 7 6" xfId="10580" xr:uid="{7B227F6E-4EA1-4D88-B1A7-8D50B0766873}"/>
    <cellStyle name="Normal 2 4 5 2 8" xfId="2478" xr:uid="{00000000-0005-0000-0000-000083100000}"/>
    <cellStyle name="Normal 2 4 5 2 8 2" xfId="6761" xr:uid="{00000000-0005-0000-0000-000084100000}"/>
    <cellStyle name="Normal 2 4 5 2 8 2 2" xfId="32100" xr:uid="{46FC77B3-C8AB-47C4-8173-5A014D88E3FE}"/>
    <cellStyle name="Normal 2 4 5 2 8 2 3" xfId="23659" xr:uid="{9030BEB7-EC9A-4506-9F1A-0176373D3568}"/>
    <cellStyle name="Normal 2 4 5 2 8 2 4" xfId="15211" xr:uid="{97BE0FD7-AB3F-423D-AF86-659DBF175F7B}"/>
    <cellStyle name="Normal 2 4 5 2 8 3" xfId="27882" xr:uid="{FEF6A36C-CC47-498C-9274-968D95624200}"/>
    <cellStyle name="Normal 2 4 5 2 8 4" xfId="19441" xr:uid="{29FE9A7C-FB9C-4EEF-B60C-1E8E636E2C58}"/>
    <cellStyle name="Normal 2 4 5 2 8 5" xfId="10993" xr:uid="{23CF9CAF-BE79-4F2D-A685-64384D203A94}"/>
    <cellStyle name="Normal 2 4 5 2 9" xfId="4695" xr:uid="{00000000-0005-0000-0000-000085100000}"/>
    <cellStyle name="Normal 2 4 5 2 9 2" xfId="30034" xr:uid="{5BBAD7C1-CF97-4427-87CB-F9618EB37396}"/>
    <cellStyle name="Normal 2 4 5 2 9 3" xfId="21593" xr:uid="{9B6840BD-0B3E-479C-8316-193FBFBA0C73}"/>
    <cellStyle name="Normal 2 4 5 2 9 4" xfId="13145" xr:uid="{238BC72B-16EC-4BC6-8E15-DC4D472CECFC}"/>
    <cellStyle name="Normal 2 4 5 3" xfId="308" xr:uid="{00000000-0005-0000-0000-000086100000}"/>
    <cellStyle name="Normal 2 4 5 3 10" xfId="17379" xr:uid="{17F4DC0A-485F-4B72-AFD6-4624718F0C75}"/>
    <cellStyle name="Normal 2 4 5 3 11" xfId="8931" xr:uid="{ADF006CF-EE00-4065-B7B3-D4F06FB48E16}"/>
    <cellStyle name="Normal 2 4 5 3 2" xfId="309" xr:uid="{00000000-0005-0000-0000-000087100000}"/>
    <cellStyle name="Normal 2 4 5 3 2 10" xfId="8932" xr:uid="{A869FE86-DA98-4201-9AE2-C5041DA77E87}"/>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32598" xr:uid="{178D22D2-024D-45DF-B0F1-5F32363E0F55}"/>
    <cellStyle name="Normal 2 4 5 3 2 2 2 2 3" xfId="24157" xr:uid="{B698AA5E-B3CC-4610-910B-D66A1737A837}"/>
    <cellStyle name="Normal 2 4 5 3 2 2 2 2 4" xfId="15709" xr:uid="{6B585B16-4194-46DC-B33A-1E5C846CFBDB}"/>
    <cellStyle name="Normal 2 4 5 3 2 2 2 3" xfId="28380" xr:uid="{17D3C13F-639F-4146-8C1E-9D7438AA4064}"/>
    <cellStyle name="Normal 2 4 5 3 2 2 2 4" xfId="19939" xr:uid="{2F81CF55-611A-4E62-A042-946F766060E2}"/>
    <cellStyle name="Normal 2 4 5 3 2 2 2 5" xfId="11491" xr:uid="{C7AD2871-7688-4DBD-9D5B-EEE0AE57DF86}"/>
    <cellStyle name="Normal 2 4 5 3 2 2 3" xfId="5114" xr:uid="{00000000-0005-0000-0000-00008B100000}"/>
    <cellStyle name="Normal 2 4 5 3 2 2 3 2" xfId="30453" xr:uid="{E10A725C-4F4C-4B2E-AA86-E130402F761C}"/>
    <cellStyle name="Normal 2 4 5 3 2 2 3 3" xfId="22012" xr:uid="{7B9CB35A-DF5A-403A-BFF5-007C2F51F501}"/>
    <cellStyle name="Normal 2 4 5 3 2 2 3 4" xfId="13564" xr:uid="{31C92A1A-6225-436D-83EA-373EDB9B28EE}"/>
    <cellStyle name="Normal 2 4 5 3 2 2 4" xfId="26235" xr:uid="{CD552CBA-0A27-44FA-BB25-4AA1F07B08FD}"/>
    <cellStyle name="Normal 2 4 5 3 2 2 5" xfId="17794" xr:uid="{6DB99D78-5CFE-4999-829A-8487A35DE86F}"/>
    <cellStyle name="Normal 2 4 5 3 2 2 6" xfId="9346" xr:uid="{894E47F3-350E-4F4E-96CA-761CB2D8AFD6}"/>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33011" xr:uid="{09E2B595-A163-40BB-873C-461661B4B87F}"/>
    <cellStyle name="Normal 2 4 5 3 2 3 2 2 3" xfId="24570" xr:uid="{F5E3C021-882C-447E-BD8F-54D35FAFC198}"/>
    <cellStyle name="Normal 2 4 5 3 2 3 2 2 4" xfId="16122" xr:uid="{948D97C9-47B1-4D82-AA3F-F72D9C7C03AD}"/>
    <cellStyle name="Normal 2 4 5 3 2 3 2 3" xfId="28793" xr:uid="{B0825F7C-8F88-4196-BB81-55FAA7EFE979}"/>
    <cellStyle name="Normal 2 4 5 3 2 3 2 4" xfId="20352" xr:uid="{F1EB8932-E65F-4D5C-AC4F-71558D203226}"/>
    <cellStyle name="Normal 2 4 5 3 2 3 2 5" xfId="11904" xr:uid="{C942A314-23AA-458F-8220-750EAC23FBCF}"/>
    <cellStyle name="Normal 2 4 5 3 2 3 3" xfId="5527" xr:uid="{00000000-0005-0000-0000-00008F100000}"/>
    <cellStyle name="Normal 2 4 5 3 2 3 3 2" xfId="30866" xr:uid="{F8B329C0-71FF-493D-B050-A03136A707E0}"/>
    <cellStyle name="Normal 2 4 5 3 2 3 3 3" xfId="22425" xr:uid="{32437B38-3183-4B90-8D5A-61874AB04BD6}"/>
    <cellStyle name="Normal 2 4 5 3 2 3 3 4" xfId="13977" xr:uid="{19CF7699-9386-4911-9788-75EDD72229F7}"/>
    <cellStyle name="Normal 2 4 5 3 2 3 4" xfId="26648" xr:uid="{A1463CC7-7B1E-4561-8CE1-9221E9BAAF4C}"/>
    <cellStyle name="Normal 2 4 5 3 2 3 5" xfId="18207" xr:uid="{7346CAE7-C6A2-4A09-98C7-285A8680014B}"/>
    <cellStyle name="Normal 2 4 5 3 2 3 6" xfId="9759" xr:uid="{7A7987ED-A1CB-4085-AB9D-803DED75A956}"/>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33424" xr:uid="{A30507F0-7905-401E-BAEA-7BD1893DC40D}"/>
    <cellStyle name="Normal 2 4 5 3 2 4 2 2 3" xfId="24983" xr:uid="{D2C8AC5C-AD49-4169-A58E-C9BA23E16BA4}"/>
    <cellStyle name="Normal 2 4 5 3 2 4 2 2 4" xfId="16535" xr:uid="{7EC06CE4-7373-4F05-8A3C-64218578F877}"/>
    <cellStyle name="Normal 2 4 5 3 2 4 2 3" xfId="29206" xr:uid="{00B53605-9D4C-4B6F-915A-0142CC01097A}"/>
    <cellStyle name="Normal 2 4 5 3 2 4 2 4" xfId="20765" xr:uid="{B3DAEEB1-B065-4D97-8878-FF6D06E1CB96}"/>
    <cellStyle name="Normal 2 4 5 3 2 4 2 5" xfId="12317" xr:uid="{26BAF3DA-6393-4611-BF2E-2B85D196E926}"/>
    <cellStyle name="Normal 2 4 5 3 2 4 3" xfId="5940" xr:uid="{00000000-0005-0000-0000-000093100000}"/>
    <cellStyle name="Normal 2 4 5 3 2 4 3 2" xfId="31279" xr:uid="{6DE94F73-2A30-41EB-8AE8-60A562E1F598}"/>
    <cellStyle name="Normal 2 4 5 3 2 4 3 3" xfId="22838" xr:uid="{2A024042-5C23-4992-B903-1754390356CF}"/>
    <cellStyle name="Normal 2 4 5 3 2 4 3 4" xfId="14390" xr:uid="{7D8F43F7-BFA6-4523-A322-E6221D5101CE}"/>
    <cellStyle name="Normal 2 4 5 3 2 4 4" xfId="27061" xr:uid="{AD41F66D-312E-4274-B671-3DF2A99293E7}"/>
    <cellStyle name="Normal 2 4 5 3 2 4 5" xfId="18620" xr:uid="{D88850C4-922A-4C0D-95B5-CA1007B4EEDA}"/>
    <cellStyle name="Normal 2 4 5 3 2 4 6" xfId="10172" xr:uid="{7E3BB444-65A9-4914-9743-679BF6C6AFA6}"/>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33837" xr:uid="{E10AFAAF-4161-4A0E-888A-75080166EE58}"/>
    <cellStyle name="Normal 2 4 5 3 2 5 2 2 3" xfId="25396" xr:uid="{FB5B8F37-B1C3-4CEF-BF4D-F0746806524B}"/>
    <cellStyle name="Normal 2 4 5 3 2 5 2 2 4" xfId="16948" xr:uid="{06C5E4EB-2AC9-4647-9F3B-263C8BDE831B}"/>
    <cellStyle name="Normal 2 4 5 3 2 5 2 3" xfId="29619" xr:uid="{4A8D8C21-0424-46E4-AA08-0E872B59BB6B}"/>
    <cellStyle name="Normal 2 4 5 3 2 5 2 4" xfId="21178" xr:uid="{2A96A5DF-342F-4FE6-8A6A-086D6FAC128D}"/>
    <cellStyle name="Normal 2 4 5 3 2 5 2 5" xfId="12730" xr:uid="{58075C58-6350-4576-A103-04DC1A9079C3}"/>
    <cellStyle name="Normal 2 4 5 3 2 5 3" xfId="6353" xr:uid="{00000000-0005-0000-0000-000097100000}"/>
    <cellStyle name="Normal 2 4 5 3 2 5 3 2" xfId="31692" xr:uid="{9F603E8C-DAD3-4FAD-9B52-9FEA0BD23B86}"/>
    <cellStyle name="Normal 2 4 5 3 2 5 3 3" xfId="23251" xr:uid="{6A13EE38-B198-4740-90A3-6B6534724174}"/>
    <cellStyle name="Normal 2 4 5 3 2 5 3 4" xfId="14803" xr:uid="{AD32E5DC-0E40-42D5-84B5-2D43394AA0E4}"/>
    <cellStyle name="Normal 2 4 5 3 2 5 4" xfId="27474" xr:uid="{07E359B4-30ED-43FF-A4D4-B06407CC8AF6}"/>
    <cellStyle name="Normal 2 4 5 3 2 5 5" xfId="19033" xr:uid="{B68D5708-D661-4A80-BA67-208015D8986E}"/>
    <cellStyle name="Normal 2 4 5 3 2 5 6" xfId="10585" xr:uid="{A4E4AD08-4B80-4E5B-A253-8916E6AD8A5C}"/>
    <cellStyle name="Normal 2 4 5 3 2 6" xfId="2483" xr:uid="{00000000-0005-0000-0000-000098100000}"/>
    <cellStyle name="Normal 2 4 5 3 2 6 2" xfId="6766" xr:uid="{00000000-0005-0000-0000-000099100000}"/>
    <cellStyle name="Normal 2 4 5 3 2 6 2 2" xfId="32105" xr:uid="{B951139F-BED3-4915-9599-5376368CB275}"/>
    <cellStyle name="Normal 2 4 5 3 2 6 2 3" xfId="23664" xr:uid="{FBC2E924-3B6E-4A8B-8479-BEFC64072DB7}"/>
    <cellStyle name="Normal 2 4 5 3 2 6 2 4" xfId="15216" xr:uid="{17DF980C-768E-4619-82EF-F1E26D5EDBAA}"/>
    <cellStyle name="Normal 2 4 5 3 2 6 3" xfId="27887" xr:uid="{033D18F9-1E7C-451E-8E8A-A2B2E90860C8}"/>
    <cellStyle name="Normal 2 4 5 3 2 6 4" xfId="19446" xr:uid="{9D9A9900-5492-4318-8A65-4D860ABE3939}"/>
    <cellStyle name="Normal 2 4 5 3 2 6 5" xfId="10998" xr:uid="{1BF49407-8C5C-4656-90A6-C02471AD036A}"/>
    <cellStyle name="Normal 2 4 5 3 2 7" xfId="4700" xr:uid="{00000000-0005-0000-0000-00009A100000}"/>
    <cellStyle name="Normal 2 4 5 3 2 7 2" xfId="30039" xr:uid="{B3079867-2AAE-4A5F-9545-C1DB4E2B015B}"/>
    <cellStyle name="Normal 2 4 5 3 2 7 3" xfId="21598" xr:uid="{A89CCF7C-15EF-4EF5-9975-7EC7DF83F7C1}"/>
    <cellStyle name="Normal 2 4 5 3 2 7 4" xfId="13150" xr:uid="{09095BAE-7B7D-4820-A44E-966C4DBF483F}"/>
    <cellStyle name="Normal 2 4 5 3 2 8" xfId="25821" xr:uid="{F88CFBC8-982A-4C67-8F8F-30C799B4C2A2}"/>
    <cellStyle name="Normal 2 4 5 3 2 9" xfId="17380" xr:uid="{C736C687-4CB1-46F6-8192-F7B282130C92}"/>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32597" xr:uid="{E244BE12-FEEE-4E9A-B43E-027E9354C739}"/>
    <cellStyle name="Normal 2 4 5 3 3 2 2 3" xfId="24156" xr:uid="{07C59F7B-ACF4-4C65-92D7-6D4E4B5EF781}"/>
    <cellStyle name="Normal 2 4 5 3 3 2 2 4" xfId="15708" xr:uid="{B3952BC2-698B-4B65-B766-1CE44297097F}"/>
    <cellStyle name="Normal 2 4 5 3 3 2 3" xfId="28379" xr:uid="{4DCA866D-746A-4814-A712-8EE72B80C29C}"/>
    <cellStyle name="Normal 2 4 5 3 3 2 4" xfId="19938" xr:uid="{DAC79AF1-B1C9-4B38-A4A7-D9DE6A93FF69}"/>
    <cellStyle name="Normal 2 4 5 3 3 2 5" xfId="11490" xr:uid="{5EB6CBEA-E7D7-44CD-9CE6-3FDFCDC3986A}"/>
    <cellStyle name="Normal 2 4 5 3 3 3" xfId="5113" xr:uid="{00000000-0005-0000-0000-00009E100000}"/>
    <cellStyle name="Normal 2 4 5 3 3 3 2" xfId="30452" xr:uid="{DDCFFE05-01D5-4AFA-ABE7-1CFA1564AAF4}"/>
    <cellStyle name="Normal 2 4 5 3 3 3 3" xfId="22011" xr:uid="{49F58432-304B-477C-AE47-3870E4C32A55}"/>
    <cellStyle name="Normal 2 4 5 3 3 3 4" xfId="13563" xr:uid="{3E7979A2-F3A5-4438-85A8-14D1C8E7F7A7}"/>
    <cellStyle name="Normal 2 4 5 3 3 4" xfId="26234" xr:uid="{1D516289-C7F1-4366-8EDC-81A2D7ACE9FA}"/>
    <cellStyle name="Normal 2 4 5 3 3 5" xfId="17793" xr:uid="{14EDFC60-2AE8-48E6-99DB-E5083E22EFB7}"/>
    <cellStyle name="Normal 2 4 5 3 3 6" xfId="9345" xr:uid="{4E1224DF-517F-470A-8BC7-4C05357FA7F2}"/>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33010" xr:uid="{D4BA7E2F-9400-4793-8875-DDB2F06970D1}"/>
    <cellStyle name="Normal 2 4 5 3 4 2 2 3" xfId="24569" xr:uid="{60AC322F-6811-40E3-9CAC-B6D82D7BDAAA}"/>
    <cellStyle name="Normal 2 4 5 3 4 2 2 4" xfId="16121" xr:uid="{9A58D770-2A70-4286-90E1-0EC63A02B968}"/>
    <cellStyle name="Normal 2 4 5 3 4 2 3" xfId="28792" xr:uid="{F5D206B2-19AC-48B1-851C-2241459F70C1}"/>
    <cellStyle name="Normal 2 4 5 3 4 2 4" xfId="20351" xr:uid="{5558E8F3-E32D-4D3F-AD08-77E4F34714E2}"/>
    <cellStyle name="Normal 2 4 5 3 4 2 5" xfId="11903" xr:uid="{0AA5881D-9F8C-463C-924C-13453521FB17}"/>
    <cellStyle name="Normal 2 4 5 3 4 3" xfId="5526" xr:uid="{00000000-0005-0000-0000-0000A2100000}"/>
    <cellStyle name="Normal 2 4 5 3 4 3 2" xfId="30865" xr:uid="{D89C2AAB-538E-4F26-9035-5417581BE18A}"/>
    <cellStyle name="Normal 2 4 5 3 4 3 3" xfId="22424" xr:uid="{8193440D-6093-4905-AC9D-D03851732651}"/>
    <cellStyle name="Normal 2 4 5 3 4 3 4" xfId="13976" xr:uid="{7E822FBA-1ED2-4134-B1D1-7AFE1366C669}"/>
    <cellStyle name="Normal 2 4 5 3 4 4" xfId="26647" xr:uid="{926CC244-F74B-494E-9926-22F021517E63}"/>
    <cellStyle name="Normal 2 4 5 3 4 5" xfId="18206" xr:uid="{99E78B86-9759-4583-A227-C471F9AB0BB6}"/>
    <cellStyle name="Normal 2 4 5 3 4 6" xfId="9758" xr:uid="{B50BE356-875A-4F06-95A2-B30DE6041818}"/>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33423" xr:uid="{479575BC-CB61-41E0-B0A3-F4ADAD11365F}"/>
    <cellStyle name="Normal 2 4 5 3 5 2 2 3" xfId="24982" xr:uid="{807ED982-7372-4F38-839F-C4D78059B4D8}"/>
    <cellStyle name="Normal 2 4 5 3 5 2 2 4" xfId="16534" xr:uid="{B59CAE23-3A2F-40EF-A2EE-51851B42434F}"/>
    <cellStyle name="Normal 2 4 5 3 5 2 3" xfId="29205" xr:uid="{B3C637BF-22FD-4C48-A05C-963DC93A9719}"/>
    <cellStyle name="Normal 2 4 5 3 5 2 4" xfId="20764" xr:uid="{60937161-0273-41C5-B6AC-7ECBA582ED0C}"/>
    <cellStyle name="Normal 2 4 5 3 5 2 5" xfId="12316" xr:uid="{04E72011-EFEE-4267-9E2E-39EB9A61AC59}"/>
    <cellStyle name="Normal 2 4 5 3 5 3" xfId="5939" xr:uid="{00000000-0005-0000-0000-0000A6100000}"/>
    <cellStyle name="Normal 2 4 5 3 5 3 2" xfId="31278" xr:uid="{1ACF132B-5C52-49D1-9BA1-436F176E8D93}"/>
    <cellStyle name="Normal 2 4 5 3 5 3 3" xfId="22837" xr:uid="{440F267C-EAEA-4DF8-9FBC-CF9B7B840712}"/>
    <cellStyle name="Normal 2 4 5 3 5 3 4" xfId="14389" xr:uid="{7D8832D8-18E3-40B8-B5C2-E5F7DD35D863}"/>
    <cellStyle name="Normal 2 4 5 3 5 4" xfId="27060" xr:uid="{CCF28655-E8DE-440F-B0B5-5BEB0A46CBC1}"/>
    <cellStyle name="Normal 2 4 5 3 5 5" xfId="18619" xr:uid="{EFBECF4A-ECC7-41EB-A82A-8AF64E73F076}"/>
    <cellStyle name="Normal 2 4 5 3 5 6" xfId="10171" xr:uid="{414C57DF-B7A7-467F-BCB3-3F72C0963EB2}"/>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33836" xr:uid="{69D5A2DB-C740-4033-AD64-B629E3ED4C90}"/>
    <cellStyle name="Normal 2 4 5 3 6 2 2 3" xfId="25395" xr:uid="{CCD5535A-CC67-4287-A8F2-0E4D023C6FD7}"/>
    <cellStyle name="Normal 2 4 5 3 6 2 2 4" xfId="16947" xr:uid="{FDFEA7AD-E891-4EFC-A24D-A65229D0BCB8}"/>
    <cellStyle name="Normal 2 4 5 3 6 2 3" xfId="29618" xr:uid="{C922AD3E-6B35-4E9D-AE28-B6EC5135DA7C}"/>
    <cellStyle name="Normal 2 4 5 3 6 2 4" xfId="21177" xr:uid="{E468651C-8DCB-4CD4-BEC2-766FF97876FE}"/>
    <cellStyle name="Normal 2 4 5 3 6 2 5" xfId="12729" xr:uid="{62376B63-457D-48F7-8F05-E8443D5B3E27}"/>
    <cellStyle name="Normal 2 4 5 3 6 3" xfId="6352" xr:uid="{00000000-0005-0000-0000-0000AA100000}"/>
    <cellStyle name="Normal 2 4 5 3 6 3 2" xfId="31691" xr:uid="{F04DEDF5-5B20-4D1C-9661-5A22C7A399E5}"/>
    <cellStyle name="Normal 2 4 5 3 6 3 3" xfId="23250" xr:uid="{5721964E-D08C-4A57-BF27-1A11D82BA194}"/>
    <cellStyle name="Normal 2 4 5 3 6 3 4" xfId="14802" xr:uid="{50C0CB61-DB42-4DCC-9235-834B0F5801B4}"/>
    <cellStyle name="Normal 2 4 5 3 6 4" xfId="27473" xr:uid="{9A445EE3-AFD7-4B56-96E1-D6FD909E7B5F}"/>
    <cellStyle name="Normal 2 4 5 3 6 5" xfId="19032" xr:uid="{8969583B-7E3A-4C28-91DA-C59E25559E20}"/>
    <cellStyle name="Normal 2 4 5 3 6 6" xfId="10584" xr:uid="{696B003A-C65D-41DB-AED3-A3193450725A}"/>
    <cellStyle name="Normal 2 4 5 3 7" xfId="2482" xr:uid="{00000000-0005-0000-0000-0000AB100000}"/>
    <cellStyle name="Normal 2 4 5 3 7 2" xfId="6765" xr:uid="{00000000-0005-0000-0000-0000AC100000}"/>
    <cellStyle name="Normal 2 4 5 3 7 2 2" xfId="32104" xr:uid="{A741C43F-90E1-47BE-92B4-B10051F23DD6}"/>
    <cellStyle name="Normal 2 4 5 3 7 2 3" xfId="23663" xr:uid="{99A0AD6A-4251-46D9-AD97-E13F164536ED}"/>
    <cellStyle name="Normal 2 4 5 3 7 2 4" xfId="15215" xr:uid="{B14E91B3-2D1A-4963-BAF2-55B9415EF19A}"/>
    <cellStyle name="Normal 2 4 5 3 7 3" xfId="27886" xr:uid="{85E11C1E-8429-4388-9D81-2768ED5E7C6E}"/>
    <cellStyle name="Normal 2 4 5 3 7 4" xfId="19445" xr:uid="{50E38EDD-8E09-4186-AD4F-EDBE9AD18B6F}"/>
    <cellStyle name="Normal 2 4 5 3 7 5" xfId="10997" xr:uid="{04676B38-7497-48E3-B5CF-153463F204D7}"/>
    <cellStyle name="Normal 2 4 5 3 8" xfId="4699" xr:uid="{00000000-0005-0000-0000-0000AD100000}"/>
    <cellStyle name="Normal 2 4 5 3 8 2" xfId="30038" xr:uid="{A78B0A9D-BAFD-431D-906E-419824CBF2E0}"/>
    <cellStyle name="Normal 2 4 5 3 8 3" xfId="21597" xr:uid="{C77E4E18-4E03-4C46-96E6-1BF6A2EDBC6A}"/>
    <cellStyle name="Normal 2 4 5 3 8 4" xfId="13149" xr:uid="{0E278C05-C335-44D4-8227-272B6831F8B3}"/>
    <cellStyle name="Normal 2 4 5 3 9" xfId="25820" xr:uid="{24784323-5BB8-4EB8-9A21-3212F3833A2E}"/>
    <cellStyle name="Normal 2 4 5 4" xfId="310" xr:uid="{00000000-0005-0000-0000-0000AE100000}"/>
    <cellStyle name="Normal 2 4 5 4 10" xfId="8933" xr:uid="{B9D0ADCD-3DE7-462E-938C-1CF715013BBB}"/>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32599" xr:uid="{9A0879A7-AB96-44A0-B361-AD20A20227B5}"/>
    <cellStyle name="Normal 2 4 5 4 2 2 2 3" xfId="24158" xr:uid="{A19B32D8-5F96-449B-959D-FA7D78C6F9EB}"/>
    <cellStyle name="Normal 2 4 5 4 2 2 2 4" xfId="15710" xr:uid="{3CC2456B-0E4F-4A1A-B282-EA380452C717}"/>
    <cellStyle name="Normal 2 4 5 4 2 2 3" xfId="28381" xr:uid="{0B80E575-0EB9-4925-950B-5A03603A0D15}"/>
    <cellStyle name="Normal 2 4 5 4 2 2 4" xfId="19940" xr:uid="{9BAB25E3-7C14-472E-A2C6-57BDDA7FB2DD}"/>
    <cellStyle name="Normal 2 4 5 4 2 2 5" xfId="11492" xr:uid="{661D5B33-7571-47A3-A380-2076E09E9054}"/>
    <cellStyle name="Normal 2 4 5 4 2 3" xfId="5115" xr:uid="{00000000-0005-0000-0000-0000B2100000}"/>
    <cellStyle name="Normal 2 4 5 4 2 3 2" xfId="30454" xr:uid="{2DB668B3-B5E8-4BE1-8FEF-3A1837358546}"/>
    <cellStyle name="Normal 2 4 5 4 2 3 3" xfId="22013" xr:uid="{7DD380DC-5E5F-4EB5-AA1E-B818F6F6433B}"/>
    <cellStyle name="Normal 2 4 5 4 2 3 4" xfId="13565" xr:uid="{F9013448-51E2-4F14-B355-F3EEB30EC364}"/>
    <cellStyle name="Normal 2 4 5 4 2 4" xfId="26236" xr:uid="{D3B549DD-EB0F-4541-ABDA-3A58626572BB}"/>
    <cellStyle name="Normal 2 4 5 4 2 5" xfId="17795" xr:uid="{2C6AFCE0-57D6-441B-A46F-A4415EDC3900}"/>
    <cellStyle name="Normal 2 4 5 4 2 6" xfId="9347" xr:uid="{F5D2E874-AA2D-49F4-AF66-C4BD41EFD737}"/>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33012" xr:uid="{B66B6A09-1ECD-441D-B17F-D02507C9CCBF}"/>
    <cellStyle name="Normal 2 4 5 4 3 2 2 3" xfId="24571" xr:uid="{1DC1FC77-549D-4FA8-9D70-131B1A3E35AA}"/>
    <cellStyle name="Normal 2 4 5 4 3 2 2 4" xfId="16123" xr:uid="{710BD20B-EA76-4AA2-9C90-848B2BEC4175}"/>
    <cellStyle name="Normal 2 4 5 4 3 2 3" xfId="28794" xr:uid="{236279DD-4BD8-4D60-BAAD-9AC007846C51}"/>
    <cellStyle name="Normal 2 4 5 4 3 2 4" xfId="20353" xr:uid="{A5F69254-E86E-478F-A8DF-794782F27DA4}"/>
    <cellStyle name="Normal 2 4 5 4 3 2 5" xfId="11905" xr:uid="{B4C597FA-C5B2-44B1-8C81-B602521CE5FC}"/>
    <cellStyle name="Normal 2 4 5 4 3 3" xfId="5528" xr:uid="{00000000-0005-0000-0000-0000B6100000}"/>
    <cellStyle name="Normal 2 4 5 4 3 3 2" xfId="30867" xr:uid="{B50E03C7-5AAA-42AC-90D3-41EADD44F6F1}"/>
    <cellStyle name="Normal 2 4 5 4 3 3 3" xfId="22426" xr:uid="{EACB23A4-69CE-48D6-B6BD-88CA4CE2A26C}"/>
    <cellStyle name="Normal 2 4 5 4 3 3 4" xfId="13978" xr:uid="{69005365-E3AB-456F-B497-12A8262EBEC2}"/>
    <cellStyle name="Normal 2 4 5 4 3 4" xfId="26649" xr:uid="{627FF06C-043B-49FD-8B59-B383DC365589}"/>
    <cellStyle name="Normal 2 4 5 4 3 5" xfId="18208" xr:uid="{E550F756-12EB-4C5A-8EB7-ECAD532619D6}"/>
    <cellStyle name="Normal 2 4 5 4 3 6" xfId="9760" xr:uid="{49DB222F-2614-41E9-BB49-2793D4D349C2}"/>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33425" xr:uid="{0015619C-7F3C-4E68-96AB-7B69C1E7D5F7}"/>
    <cellStyle name="Normal 2 4 5 4 4 2 2 3" xfId="24984" xr:uid="{AA48E75E-D623-4AFB-BDAF-47995B7FD1FD}"/>
    <cellStyle name="Normal 2 4 5 4 4 2 2 4" xfId="16536" xr:uid="{367FDB92-077D-41DD-8C52-222449960449}"/>
    <cellStyle name="Normal 2 4 5 4 4 2 3" xfId="29207" xr:uid="{20C83DFC-27A4-4833-AFE7-576DB0DA4615}"/>
    <cellStyle name="Normal 2 4 5 4 4 2 4" xfId="20766" xr:uid="{9EDE0946-E03F-4FA2-BC99-A6D00172515F}"/>
    <cellStyle name="Normal 2 4 5 4 4 2 5" xfId="12318" xr:uid="{F09C0E39-AE0B-4602-98AD-3F8EF8E62D22}"/>
    <cellStyle name="Normal 2 4 5 4 4 3" xfId="5941" xr:uid="{00000000-0005-0000-0000-0000BA100000}"/>
    <cellStyle name="Normal 2 4 5 4 4 3 2" xfId="31280" xr:uid="{0027704B-0B87-41E3-8BA0-DBB088E234D0}"/>
    <cellStyle name="Normal 2 4 5 4 4 3 3" xfId="22839" xr:uid="{AC397E3B-D4EE-44EB-B02C-5B4016E572C1}"/>
    <cellStyle name="Normal 2 4 5 4 4 3 4" xfId="14391" xr:uid="{BB5576B7-6E65-45D5-A353-622D3206BB98}"/>
    <cellStyle name="Normal 2 4 5 4 4 4" xfId="27062" xr:uid="{59054318-E3F9-45D8-BC61-472D4FD805FF}"/>
    <cellStyle name="Normal 2 4 5 4 4 5" xfId="18621" xr:uid="{2AD6A4AE-E505-43DC-AC71-1CB663A623F6}"/>
    <cellStyle name="Normal 2 4 5 4 4 6" xfId="10173" xr:uid="{A9343F72-DB2F-45B2-9D8C-8FE87497AD2F}"/>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33838" xr:uid="{89B253E4-FB37-4B12-9A9E-A4D716B78DFF}"/>
    <cellStyle name="Normal 2 4 5 4 5 2 2 3" xfId="25397" xr:uid="{D4D28C3A-64CB-4736-8364-DA8A23EDD7EB}"/>
    <cellStyle name="Normal 2 4 5 4 5 2 2 4" xfId="16949" xr:uid="{817DDB28-CDDB-46BF-A19F-F075AD17D908}"/>
    <cellStyle name="Normal 2 4 5 4 5 2 3" xfId="29620" xr:uid="{998CA727-4067-47D8-A508-F2A179F591BE}"/>
    <cellStyle name="Normal 2 4 5 4 5 2 4" xfId="21179" xr:uid="{8E3CB04F-1D5E-4DD1-B467-4093018B1976}"/>
    <cellStyle name="Normal 2 4 5 4 5 2 5" xfId="12731" xr:uid="{73E35CA7-8BAA-48C1-99C6-57D52F12BB01}"/>
    <cellStyle name="Normal 2 4 5 4 5 3" xfId="6354" xr:uid="{00000000-0005-0000-0000-0000BE100000}"/>
    <cellStyle name="Normal 2 4 5 4 5 3 2" xfId="31693" xr:uid="{C5FD6E77-AA8D-4518-B5F4-67BE2CADEF73}"/>
    <cellStyle name="Normal 2 4 5 4 5 3 3" xfId="23252" xr:uid="{06B8C4EB-0210-432A-B8A7-954170DF03EB}"/>
    <cellStyle name="Normal 2 4 5 4 5 3 4" xfId="14804" xr:uid="{01D2F1EE-7A99-4E77-95DE-2BC419F8B0F9}"/>
    <cellStyle name="Normal 2 4 5 4 5 4" xfId="27475" xr:uid="{2B2F87BB-6836-4C54-B602-4FC392256A32}"/>
    <cellStyle name="Normal 2 4 5 4 5 5" xfId="19034" xr:uid="{7CAB1111-1DE3-4E90-B25A-A3A5731B9E01}"/>
    <cellStyle name="Normal 2 4 5 4 5 6" xfId="10586" xr:uid="{C5B71059-02A4-4606-8E1A-7F8DFC37BB5E}"/>
    <cellStyle name="Normal 2 4 5 4 6" xfId="2484" xr:uid="{00000000-0005-0000-0000-0000BF100000}"/>
    <cellStyle name="Normal 2 4 5 4 6 2" xfId="6767" xr:uid="{00000000-0005-0000-0000-0000C0100000}"/>
    <cellStyle name="Normal 2 4 5 4 6 2 2" xfId="32106" xr:uid="{E6BEEC95-BA8B-47E6-8DAF-665871133AA6}"/>
    <cellStyle name="Normal 2 4 5 4 6 2 3" xfId="23665" xr:uid="{603DF154-96DC-44BD-8DF2-D3EC6727CDD4}"/>
    <cellStyle name="Normal 2 4 5 4 6 2 4" xfId="15217" xr:uid="{7426FB30-D4B3-4AE3-9139-E0149644877E}"/>
    <cellStyle name="Normal 2 4 5 4 6 3" xfId="27888" xr:uid="{644CA468-9693-404D-B13B-5DA84990A635}"/>
    <cellStyle name="Normal 2 4 5 4 6 4" xfId="19447" xr:uid="{C5865ACF-FE6E-4EE5-96E2-FC60CD79F3A1}"/>
    <cellStyle name="Normal 2 4 5 4 6 5" xfId="10999" xr:uid="{CCF7470A-C2B9-46CF-81D9-8417D40B3E7D}"/>
    <cellStyle name="Normal 2 4 5 4 7" xfId="4701" xr:uid="{00000000-0005-0000-0000-0000C1100000}"/>
    <cellStyle name="Normal 2 4 5 4 7 2" xfId="30040" xr:uid="{758BBE36-1955-439A-8B10-2A9BD5AD4DF0}"/>
    <cellStyle name="Normal 2 4 5 4 7 3" xfId="21599" xr:uid="{92302ED0-0968-490E-87B3-7088480FC004}"/>
    <cellStyle name="Normal 2 4 5 4 7 4" xfId="13151" xr:uid="{F8F55552-B0E8-4A99-9743-B1779F7A05FE}"/>
    <cellStyle name="Normal 2 4 5 4 8" xfId="25822" xr:uid="{EF239F15-5FD1-45D3-A2F2-0A4B6223C3F8}"/>
    <cellStyle name="Normal 2 4 5 4 9" xfId="17381" xr:uid="{8230DDF8-0299-4372-8841-13490F202760}"/>
    <cellStyle name="Normal 2 4 5 5" xfId="792" xr:uid="{00000000-0005-0000-0000-0000C2100000}"/>
    <cellStyle name="Normal 2 4 5 5 2" xfId="3031" xr:uid="{00000000-0005-0000-0000-0000C3100000}"/>
    <cellStyle name="Normal 2 4 5 5 2 2" xfId="7253" xr:uid="{00000000-0005-0000-0000-0000C4100000}"/>
    <cellStyle name="Normal 2 4 5 5 2 2 2" xfId="32592" xr:uid="{A0D26A21-6E5D-4A24-992A-BED7A06AB086}"/>
    <cellStyle name="Normal 2 4 5 5 2 2 3" xfId="24151" xr:uid="{C7A108EC-1CA7-407F-A59D-6B4E5E096DCA}"/>
    <cellStyle name="Normal 2 4 5 5 2 2 4" xfId="15703" xr:uid="{7F635497-C155-427B-B1E2-85E37E4D6F46}"/>
    <cellStyle name="Normal 2 4 5 5 2 3" xfId="28374" xr:uid="{55FDA3D5-BC78-4741-9FD5-FC733E94F3A9}"/>
    <cellStyle name="Normal 2 4 5 5 2 4" xfId="19933" xr:uid="{0AFB57AB-3ACF-40CD-AB08-4BCA8C7FB6EF}"/>
    <cellStyle name="Normal 2 4 5 5 2 5" xfId="11485" xr:uid="{D642D8E5-4452-4FD0-AC20-71781673968B}"/>
    <cellStyle name="Normal 2 4 5 5 3" xfId="5108" xr:uid="{00000000-0005-0000-0000-0000C5100000}"/>
    <cellStyle name="Normal 2 4 5 5 3 2" xfId="30447" xr:uid="{301AA72B-42AB-4FA0-82A5-4D1E6DB1708F}"/>
    <cellStyle name="Normal 2 4 5 5 3 3" xfId="22006" xr:uid="{A4B926D2-7781-4FD7-9DE3-6CD14D0A192D}"/>
    <cellStyle name="Normal 2 4 5 5 3 4" xfId="13558" xr:uid="{43BF845D-9386-45AC-92CA-8CEB49888E27}"/>
    <cellStyle name="Normal 2 4 5 5 4" xfId="26229" xr:uid="{29FFC283-CB8F-4B72-BF59-9DA728B5485F}"/>
    <cellStyle name="Normal 2 4 5 5 5" xfId="17788" xr:uid="{8AF734E4-9DEE-4C3B-8AD0-D1FC575E3ADE}"/>
    <cellStyle name="Normal 2 4 5 5 6" xfId="9340" xr:uid="{C0A3334A-3ADF-4D49-9634-B7B8D0E78AB5}"/>
    <cellStyle name="Normal 2 4 5 6" xfId="1214" xr:uid="{00000000-0005-0000-0000-0000C6100000}"/>
    <cellStyle name="Normal 2 4 5 6 2" xfId="3444" xr:uid="{00000000-0005-0000-0000-0000C7100000}"/>
    <cellStyle name="Normal 2 4 5 6 2 2" xfId="7666" xr:uid="{00000000-0005-0000-0000-0000C8100000}"/>
    <cellStyle name="Normal 2 4 5 6 2 2 2" xfId="33005" xr:uid="{796B12F2-56FD-4AC2-8D37-4E687AAB4E05}"/>
    <cellStyle name="Normal 2 4 5 6 2 2 3" xfId="24564" xr:uid="{29EA8452-402B-4A8E-832E-4F3224138CE1}"/>
    <cellStyle name="Normal 2 4 5 6 2 2 4" xfId="16116" xr:uid="{A28357C0-64ED-4470-84E3-19282B0E1234}"/>
    <cellStyle name="Normal 2 4 5 6 2 3" xfId="28787" xr:uid="{378FE72D-E3E2-48E9-9F5D-8392B4952043}"/>
    <cellStyle name="Normal 2 4 5 6 2 4" xfId="20346" xr:uid="{86377827-0F40-499A-9B48-F39C62043287}"/>
    <cellStyle name="Normal 2 4 5 6 2 5" xfId="11898" xr:uid="{D38C9123-A4D5-4D0F-8997-9F6680822165}"/>
    <cellStyle name="Normal 2 4 5 6 3" xfId="5521" xr:uid="{00000000-0005-0000-0000-0000C9100000}"/>
    <cellStyle name="Normal 2 4 5 6 3 2" xfId="30860" xr:uid="{A36E22A4-6F21-4701-8A99-776D589DF981}"/>
    <cellStyle name="Normal 2 4 5 6 3 3" xfId="22419" xr:uid="{1B2437BE-1DB8-4C4D-AD70-07EE86DA6252}"/>
    <cellStyle name="Normal 2 4 5 6 3 4" xfId="13971" xr:uid="{3DE454F8-3F13-44F8-A0B1-142CB03BD59C}"/>
    <cellStyle name="Normal 2 4 5 6 4" xfId="26642" xr:uid="{46027890-42E2-4D36-87DE-7BF8C2E94EA7}"/>
    <cellStyle name="Normal 2 4 5 6 5" xfId="18201" xr:uid="{B82C6FE7-D7B9-4B1F-97FD-4512C3835543}"/>
    <cellStyle name="Normal 2 4 5 6 6" xfId="9753" xr:uid="{2C2814B3-5AD3-4642-BDC2-C955691D3FA1}"/>
    <cellStyle name="Normal 2 4 5 7" xfId="1627" xr:uid="{00000000-0005-0000-0000-0000CA100000}"/>
    <cellStyle name="Normal 2 4 5 7 2" xfId="3857" xr:uid="{00000000-0005-0000-0000-0000CB100000}"/>
    <cellStyle name="Normal 2 4 5 7 2 2" xfId="8079" xr:uid="{00000000-0005-0000-0000-0000CC100000}"/>
    <cellStyle name="Normal 2 4 5 7 2 2 2" xfId="33418" xr:uid="{26D802F7-6617-4CD2-A7DE-3DAF6AF14E1C}"/>
    <cellStyle name="Normal 2 4 5 7 2 2 3" xfId="24977" xr:uid="{5162E925-8058-46A3-AEA5-BE8C123CCCA2}"/>
    <cellStyle name="Normal 2 4 5 7 2 2 4" xfId="16529" xr:uid="{BBD862D3-E514-41BB-9FD2-9F0133AA9DF2}"/>
    <cellStyle name="Normal 2 4 5 7 2 3" xfId="29200" xr:uid="{2DBA471C-1FF4-4BE3-BB4C-9BF42858D5FD}"/>
    <cellStyle name="Normal 2 4 5 7 2 4" xfId="20759" xr:uid="{39E3CE7B-7BA7-4EED-B19E-36D6591754EC}"/>
    <cellStyle name="Normal 2 4 5 7 2 5" xfId="12311" xr:uid="{2159A1DD-E1E4-45B3-85CB-2B012026C61F}"/>
    <cellStyle name="Normal 2 4 5 7 3" xfId="5934" xr:uid="{00000000-0005-0000-0000-0000CD100000}"/>
    <cellStyle name="Normal 2 4 5 7 3 2" xfId="31273" xr:uid="{5CC5C237-F8C8-44A5-86C0-C59B86A99D2E}"/>
    <cellStyle name="Normal 2 4 5 7 3 3" xfId="22832" xr:uid="{3ADECB0F-60F5-4C94-ACF0-20187218452F}"/>
    <cellStyle name="Normal 2 4 5 7 3 4" xfId="14384" xr:uid="{1E529459-1AD9-471B-892D-DF8D0ECFC5D4}"/>
    <cellStyle name="Normal 2 4 5 7 4" xfId="27055" xr:uid="{F15368AC-4A94-4821-9913-33E2A59C3727}"/>
    <cellStyle name="Normal 2 4 5 7 5" xfId="18614" xr:uid="{777EF5F5-5036-47AD-AFDE-AB1C5C454A1D}"/>
    <cellStyle name="Normal 2 4 5 7 6" xfId="10166" xr:uid="{24759B77-72D2-445E-BAB4-BF382ED30807}"/>
    <cellStyle name="Normal 2 4 5 8" xfId="2041" xr:uid="{00000000-0005-0000-0000-0000CE100000}"/>
    <cellStyle name="Normal 2 4 5 8 2" xfId="4270" xr:uid="{00000000-0005-0000-0000-0000CF100000}"/>
    <cellStyle name="Normal 2 4 5 8 2 2" xfId="8492" xr:uid="{00000000-0005-0000-0000-0000D0100000}"/>
    <cellStyle name="Normal 2 4 5 8 2 2 2" xfId="33831" xr:uid="{2666D87A-2696-4D10-8583-E5DC76F5346E}"/>
    <cellStyle name="Normal 2 4 5 8 2 2 3" xfId="25390" xr:uid="{6AE939A5-04EA-4441-ADC2-B31E34A86F5E}"/>
    <cellStyle name="Normal 2 4 5 8 2 2 4" xfId="16942" xr:uid="{CFE144F8-255A-4AEC-90EF-D77557B09188}"/>
    <cellStyle name="Normal 2 4 5 8 2 3" xfId="29613" xr:uid="{24201ABB-2D12-40CB-8BC1-ACF6798F6C57}"/>
    <cellStyle name="Normal 2 4 5 8 2 4" xfId="21172" xr:uid="{8C10C90A-9808-4663-B769-DCF59158874F}"/>
    <cellStyle name="Normal 2 4 5 8 2 5" xfId="12724" xr:uid="{8A712F89-ACB5-46B6-876D-712DC964BEC4}"/>
    <cellStyle name="Normal 2 4 5 8 3" xfId="6347" xr:uid="{00000000-0005-0000-0000-0000D1100000}"/>
    <cellStyle name="Normal 2 4 5 8 3 2" xfId="31686" xr:uid="{E6C9E79B-FC7F-4358-A87A-B912104D20A2}"/>
    <cellStyle name="Normal 2 4 5 8 3 3" xfId="23245" xr:uid="{6D4CF8D4-09C7-42B2-86BA-118B684281F9}"/>
    <cellStyle name="Normal 2 4 5 8 3 4" xfId="14797" xr:uid="{90207B30-57DF-42A9-B4A8-E56BC5161950}"/>
    <cellStyle name="Normal 2 4 5 8 4" xfId="27468" xr:uid="{F23A8C97-36F3-4B15-8AAD-3245815666C4}"/>
    <cellStyle name="Normal 2 4 5 8 5" xfId="19027" xr:uid="{F0A0CBD4-6A35-49D0-A9B5-4836CAD2AD89}"/>
    <cellStyle name="Normal 2 4 5 8 6" xfId="10579" xr:uid="{E1CF6B07-F9E2-4C08-909F-041BA02CBEE2}"/>
    <cellStyle name="Normal 2 4 5 9" xfId="2477" xr:uid="{00000000-0005-0000-0000-0000D2100000}"/>
    <cellStyle name="Normal 2 4 5 9 2" xfId="6760" xr:uid="{00000000-0005-0000-0000-0000D3100000}"/>
    <cellStyle name="Normal 2 4 5 9 2 2" xfId="32099" xr:uid="{D32CE5F7-6A4D-4EDD-A49E-37AFE2F1A18E}"/>
    <cellStyle name="Normal 2 4 5 9 2 3" xfId="23658" xr:uid="{50272793-1301-4207-B8A5-767B22ED2EC1}"/>
    <cellStyle name="Normal 2 4 5 9 2 4" xfId="15210" xr:uid="{0A3DC802-282D-485E-83C8-B678BD983C30}"/>
    <cellStyle name="Normal 2 4 5 9 3" xfId="27881" xr:uid="{F55AE168-2174-475B-880A-883E404EED4A}"/>
    <cellStyle name="Normal 2 4 5 9 4" xfId="19440" xr:uid="{33758895-3E9C-47EE-9ABC-42FCBB6BAF28}"/>
    <cellStyle name="Normal 2 4 5 9 5" xfId="10992" xr:uid="{B04853C7-9ABD-4D9E-9CCB-57EF6638F231}"/>
    <cellStyle name="Normal 2 4 6" xfId="311" xr:uid="{00000000-0005-0000-0000-0000D4100000}"/>
    <cellStyle name="Normal 2 4 7" xfId="312" xr:uid="{00000000-0005-0000-0000-0000D5100000}"/>
    <cellStyle name="Normal 2 4 7 10" xfId="17382" xr:uid="{29F66FFF-447A-4A48-8CEC-3DAECDA1D31F}"/>
    <cellStyle name="Normal 2 4 7 11" xfId="8934" xr:uid="{E1F614A2-7AEA-4E70-8048-7336BD4A7689}"/>
    <cellStyle name="Normal 2 4 7 2" xfId="313" xr:uid="{00000000-0005-0000-0000-0000D6100000}"/>
    <cellStyle name="Normal 2 4 7 2 10" xfId="8935" xr:uid="{9459499D-17E1-47FB-A9BA-31CCB9E518CC}"/>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32601" xr:uid="{8C90653A-D323-40F9-9892-F524905D6CE9}"/>
    <cellStyle name="Normal 2 4 7 2 2 2 2 3" xfId="24160" xr:uid="{30613E6F-DAE4-49DE-8E35-91A0EE109738}"/>
    <cellStyle name="Normal 2 4 7 2 2 2 2 4" xfId="15712" xr:uid="{FDFB0FA4-C929-41B8-A360-CB5B4027EF61}"/>
    <cellStyle name="Normal 2 4 7 2 2 2 3" xfId="28383" xr:uid="{B8DB440F-EE07-4717-85AD-741FA30E5984}"/>
    <cellStyle name="Normal 2 4 7 2 2 2 4" xfId="19942" xr:uid="{590A3F52-A376-4A98-86D0-1B6AF9F19BA0}"/>
    <cellStyle name="Normal 2 4 7 2 2 2 5" xfId="11494" xr:uid="{46732366-CF9C-4F8D-81D8-85DA3F66D85F}"/>
    <cellStyle name="Normal 2 4 7 2 2 3" xfId="5117" xr:uid="{00000000-0005-0000-0000-0000DA100000}"/>
    <cellStyle name="Normal 2 4 7 2 2 3 2" xfId="30456" xr:uid="{D789556D-5AB3-4091-B186-8EFD35F52430}"/>
    <cellStyle name="Normal 2 4 7 2 2 3 3" xfId="22015" xr:uid="{E14DB9BC-D230-4E28-A1AA-1E4AE7F81117}"/>
    <cellStyle name="Normal 2 4 7 2 2 3 4" xfId="13567" xr:uid="{B5336223-B099-446F-A3A3-24E3401AA837}"/>
    <cellStyle name="Normal 2 4 7 2 2 4" xfId="26238" xr:uid="{536B70A1-AB95-4F0B-9FF9-23798E3E3128}"/>
    <cellStyle name="Normal 2 4 7 2 2 5" xfId="17797" xr:uid="{9117CD2A-270B-4D22-940A-A350D82AA91B}"/>
    <cellStyle name="Normal 2 4 7 2 2 6" xfId="9349" xr:uid="{C30F82EA-EEC7-4A1E-BF33-6B1780B30253}"/>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33014" xr:uid="{59B32AA6-3F05-4D21-AC6D-D9A6706DA56C}"/>
    <cellStyle name="Normal 2 4 7 2 3 2 2 3" xfId="24573" xr:uid="{7DA8BFA2-0DCC-4445-A462-4F0BA2426495}"/>
    <cellStyle name="Normal 2 4 7 2 3 2 2 4" xfId="16125" xr:uid="{EB9DB772-9937-4C92-8497-951113A262FB}"/>
    <cellStyle name="Normal 2 4 7 2 3 2 3" xfId="28796" xr:uid="{1A03B95B-CB9E-4E4B-B9DA-24D16B12B12F}"/>
    <cellStyle name="Normal 2 4 7 2 3 2 4" xfId="20355" xr:uid="{AD6E375D-CF5C-431E-A617-41868CF7FE47}"/>
    <cellStyle name="Normal 2 4 7 2 3 2 5" xfId="11907" xr:uid="{A4CE8A22-8A96-4A37-884A-A6225577C47D}"/>
    <cellStyle name="Normal 2 4 7 2 3 3" xfId="5530" xr:uid="{00000000-0005-0000-0000-0000DE100000}"/>
    <cellStyle name="Normal 2 4 7 2 3 3 2" xfId="30869" xr:uid="{2C67D5D8-2882-4C4B-8976-62FD6F5C7A8C}"/>
    <cellStyle name="Normal 2 4 7 2 3 3 3" xfId="22428" xr:uid="{98956304-4B04-4DD5-B907-B92A595954FE}"/>
    <cellStyle name="Normal 2 4 7 2 3 3 4" xfId="13980" xr:uid="{E3D8D612-A511-4BA0-8102-D97122EDBB97}"/>
    <cellStyle name="Normal 2 4 7 2 3 4" xfId="26651" xr:uid="{F2C3AA27-8D9D-4F3E-B1CC-A35AB15D1D50}"/>
    <cellStyle name="Normal 2 4 7 2 3 5" xfId="18210" xr:uid="{3F92BFB4-81ED-4004-B113-5F69B0FCFACC}"/>
    <cellStyle name="Normal 2 4 7 2 3 6" xfId="9762" xr:uid="{F847DAAD-0707-4E93-BC19-06B1F1B66FA2}"/>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33427" xr:uid="{800E759E-559B-4A81-BBCA-D614EE97D20E}"/>
    <cellStyle name="Normal 2 4 7 2 4 2 2 3" xfId="24986" xr:uid="{1E112C88-E58B-46C2-90D1-3C9CE3702898}"/>
    <cellStyle name="Normal 2 4 7 2 4 2 2 4" xfId="16538" xr:uid="{36BD050C-95D3-4A02-8B13-CC9401C36F2E}"/>
    <cellStyle name="Normal 2 4 7 2 4 2 3" xfId="29209" xr:uid="{3DE24F73-7EED-4475-9F89-01F149A20B04}"/>
    <cellStyle name="Normal 2 4 7 2 4 2 4" xfId="20768" xr:uid="{176E82A1-451A-4301-9EEB-13E10C55F22B}"/>
    <cellStyle name="Normal 2 4 7 2 4 2 5" xfId="12320" xr:uid="{9D8321F0-C940-48BE-ABDF-8155F5F74484}"/>
    <cellStyle name="Normal 2 4 7 2 4 3" xfId="5943" xr:uid="{00000000-0005-0000-0000-0000E2100000}"/>
    <cellStyle name="Normal 2 4 7 2 4 3 2" xfId="31282" xr:uid="{B67A604B-349C-4DBC-A64F-91B529CC6F3A}"/>
    <cellStyle name="Normal 2 4 7 2 4 3 3" xfId="22841" xr:uid="{99B2C22E-9427-4CE3-A59A-360C7D536C4E}"/>
    <cellStyle name="Normal 2 4 7 2 4 3 4" xfId="14393" xr:uid="{DFFBEEB7-3BD0-49D4-9F73-F4D965FCE67A}"/>
    <cellStyle name="Normal 2 4 7 2 4 4" xfId="27064" xr:uid="{4C5EE2E0-DDD2-4E08-BC82-75890603BEF6}"/>
    <cellStyle name="Normal 2 4 7 2 4 5" xfId="18623" xr:uid="{38DB7E71-8298-44A1-B204-5C99D64B4080}"/>
    <cellStyle name="Normal 2 4 7 2 4 6" xfId="10175" xr:uid="{97C83CB3-9129-4645-8517-9FFA267D6BF4}"/>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33840" xr:uid="{3BD0EC9F-34C3-4948-B897-411A0EC42B67}"/>
    <cellStyle name="Normal 2 4 7 2 5 2 2 3" xfId="25399" xr:uid="{35B6646F-FB01-43BB-8A3D-2F5FC8AEDC71}"/>
    <cellStyle name="Normal 2 4 7 2 5 2 2 4" xfId="16951" xr:uid="{F0365A3A-CFE8-4E66-8FC1-B6139C5E76E8}"/>
    <cellStyle name="Normal 2 4 7 2 5 2 3" xfId="29622" xr:uid="{6360A8CB-041A-4CBB-A377-4CCF134CA97A}"/>
    <cellStyle name="Normal 2 4 7 2 5 2 4" xfId="21181" xr:uid="{52CC6726-ECD7-4202-A51F-422763BE194A}"/>
    <cellStyle name="Normal 2 4 7 2 5 2 5" xfId="12733" xr:uid="{A47FCB33-4D6A-4CD1-801B-93E2583E6812}"/>
    <cellStyle name="Normal 2 4 7 2 5 3" xfId="6356" xr:uid="{00000000-0005-0000-0000-0000E6100000}"/>
    <cellStyle name="Normal 2 4 7 2 5 3 2" xfId="31695" xr:uid="{C111838A-C522-4BCD-8438-5B6DFE098CFA}"/>
    <cellStyle name="Normal 2 4 7 2 5 3 3" xfId="23254" xr:uid="{1876F7DD-DCAA-4D4C-8386-DE4B082F4CC0}"/>
    <cellStyle name="Normal 2 4 7 2 5 3 4" xfId="14806" xr:uid="{7F172607-B744-4378-992E-6BFDEF4F35F9}"/>
    <cellStyle name="Normal 2 4 7 2 5 4" xfId="27477" xr:uid="{F9229601-28F8-4A9A-9149-C9FBC12E9B1F}"/>
    <cellStyle name="Normal 2 4 7 2 5 5" xfId="19036" xr:uid="{F2726E8E-AA8D-42BC-A3F2-7493AF63D30B}"/>
    <cellStyle name="Normal 2 4 7 2 5 6" xfId="10588" xr:uid="{531AC58D-A2B2-49AE-B501-4C341537C376}"/>
    <cellStyle name="Normal 2 4 7 2 6" xfId="2486" xr:uid="{00000000-0005-0000-0000-0000E7100000}"/>
    <cellStyle name="Normal 2 4 7 2 6 2" xfId="6769" xr:uid="{00000000-0005-0000-0000-0000E8100000}"/>
    <cellStyle name="Normal 2 4 7 2 6 2 2" xfId="32108" xr:uid="{62C47A8F-871F-4E0F-AC4E-E5A4C58D800D}"/>
    <cellStyle name="Normal 2 4 7 2 6 2 3" xfId="23667" xr:uid="{699E74E3-5616-4282-89B4-10F2F9C3D313}"/>
    <cellStyle name="Normal 2 4 7 2 6 2 4" xfId="15219" xr:uid="{A3B6749A-1FB7-431F-A5E1-8D54ED3F252E}"/>
    <cellStyle name="Normal 2 4 7 2 6 3" xfId="27890" xr:uid="{833FF682-6AC1-441A-9BFE-6981967CC0C1}"/>
    <cellStyle name="Normal 2 4 7 2 6 4" xfId="19449" xr:uid="{D33E8D46-C806-4058-9FC1-BFED46904514}"/>
    <cellStyle name="Normal 2 4 7 2 6 5" xfId="11001" xr:uid="{06FF49A3-1D14-4B61-93B0-D5CF89C88D90}"/>
    <cellStyle name="Normal 2 4 7 2 7" xfId="4703" xr:uid="{00000000-0005-0000-0000-0000E9100000}"/>
    <cellStyle name="Normal 2 4 7 2 7 2" xfId="30042" xr:uid="{EBE587A6-25ED-4022-8B13-2677B13C0CC9}"/>
    <cellStyle name="Normal 2 4 7 2 7 3" xfId="21601" xr:uid="{86DCA81E-05CE-48AE-890C-90D2679C1FE4}"/>
    <cellStyle name="Normal 2 4 7 2 7 4" xfId="13153" xr:uid="{C7F60959-884A-4AAA-B32D-A7F6A4288C83}"/>
    <cellStyle name="Normal 2 4 7 2 8" xfId="25824" xr:uid="{5ECCDA6C-CAEA-4E6E-AA4C-BFCF8FA38AE6}"/>
    <cellStyle name="Normal 2 4 7 2 9" xfId="17383" xr:uid="{831C0405-D904-4205-9587-0C410549951B}"/>
    <cellStyle name="Normal 2 4 7 3" xfId="800" xr:uid="{00000000-0005-0000-0000-0000EA100000}"/>
    <cellStyle name="Normal 2 4 7 3 2" xfId="3039" xr:uid="{00000000-0005-0000-0000-0000EB100000}"/>
    <cellStyle name="Normal 2 4 7 3 2 2" xfId="7261" xr:uid="{00000000-0005-0000-0000-0000EC100000}"/>
    <cellStyle name="Normal 2 4 7 3 2 2 2" xfId="32600" xr:uid="{B927C3D4-41A4-4CE6-A2EB-0CDDCB4245D4}"/>
    <cellStyle name="Normal 2 4 7 3 2 2 3" xfId="24159" xr:uid="{9A46F6C7-23A8-402B-A615-C50D9018F133}"/>
    <cellStyle name="Normal 2 4 7 3 2 2 4" xfId="15711" xr:uid="{193DEBF2-551A-4C93-BF88-DBB33C229E99}"/>
    <cellStyle name="Normal 2 4 7 3 2 3" xfId="28382" xr:uid="{BD8F9E15-DFF1-44C1-B66C-AA80B4B8585D}"/>
    <cellStyle name="Normal 2 4 7 3 2 4" xfId="19941" xr:uid="{6C4917DA-ABB5-4CE3-BF45-5D5EF5939D86}"/>
    <cellStyle name="Normal 2 4 7 3 2 5" xfId="11493" xr:uid="{902611E5-DF3C-4689-B4FF-5FC3BF8C4C7A}"/>
    <cellStyle name="Normal 2 4 7 3 3" xfId="5116" xr:uid="{00000000-0005-0000-0000-0000ED100000}"/>
    <cellStyle name="Normal 2 4 7 3 3 2" xfId="30455" xr:uid="{D5E43F65-8EC5-4B68-A63D-1F97577D60CC}"/>
    <cellStyle name="Normal 2 4 7 3 3 3" xfId="22014" xr:uid="{9F88531A-27F0-4FCA-B02B-D82F6213D697}"/>
    <cellStyle name="Normal 2 4 7 3 3 4" xfId="13566" xr:uid="{A02BDFB7-8FCA-4335-959B-E974C47152FF}"/>
    <cellStyle name="Normal 2 4 7 3 4" xfId="26237" xr:uid="{1E593151-13B1-4D58-9D63-A944ADA56B15}"/>
    <cellStyle name="Normal 2 4 7 3 5" xfId="17796" xr:uid="{83CED80F-59BB-46AC-9045-E37AE5B7487D}"/>
    <cellStyle name="Normal 2 4 7 3 6" xfId="9348" xr:uid="{19D3FCE2-4A0B-4EFF-A6E6-55DA01609484}"/>
    <cellStyle name="Normal 2 4 7 4" xfId="1222" xr:uid="{00000000-0005-0000-0000-0000EE100000}"/>
    <cellStyle name="Normal 2 4 7 4 2" xfId="3452" xr:uid="{00000000-0005-0000-0000-0000EF100000}"/>
    <cellStyle name="Normal 2 4 7 4 2 2" xfId="7674" xr:uid="{00000000-0005-0000-0000-0000F0100000}"/>
    <cellStyle name="Normal 2 4 7 4 2 2 2" xfId="33013" xr:uid="{026185A1-3721-4F32-9062-75A912B2AD58}"/>
    <cellStyle name="Normal 2 4 7 4 2 2 3" xfId="24572" xr:uid="{BFBDFE4A-9599-4277-836B-44A6BA24A8C9}"/>
    <cellStyle name="Normal 2 4 7 4 2 2 4" xfId="16124" xr:uid="{71FE4941-EE6F-4DE6-A844-A078BF1D90BD}"/>
    <cellStyle name="Normal 2 4 7 4 2 3" xfId="28795" xr:uid="{852B5881-8BD3-4AE3-868F-41726830F910}"/>
    <cellStyle name="Normal 2 4 7 4 2 4" xfId="20354" xr:uid="{2F4BACA8-A9B7-4AB9-A0E6-BE191D02D957}"/>
    <cellStyle name="Normal 2 4 7 4 2 5" xfId="11906" xr:uid="{803F149A-4DE6-45D3-B843-B815FE2060C2}"/>
    <cellStyle name="Normal 2 4 7 4 3" xfId="5529" xr:uid="{00000000-0005-0000-0000-0000F1100000}"/>
    <cellStyle name="Normal 2 4 7 4 3 2" xfId="30868" xr:uid="{681AB4C2-9B45-46DF-9EFF-A79539DE6B97}"/>
    <cellStyle name="Normal 2 4 7 4 3 3" xfId="22427" xr:uid="{87B500D6-DC58-4557-807D-A8C1BF2631C9}"/>
    <cellStyle name="Normal 2 4 7 4 3 4" xfId="13979" xr:uid="{BCAA88CE-11D4-42B8-B5EA-B4AE6F184F9E}"/>
    <cellStyle name="Normal 2 4 7 4 4" xfId="26650" xr:uid="{277916B9-8EE9-4568-A504-DEF87EAE7458}"/>
    <cellStyle name="Normal 2 4 7 4 5" xfId="18209" xr:uid="{3444DD69-70F6-4016-9E38-F819A3ED193C}"/>
    <cellStyle name="Normal 2 4 7 4 6" xfId="9761" xr:uid="{E4454829-9786-437B-AA04-024EDD6314EB}"/>
    <cellStyle name="Normal 2 4 7 5" xfId="1635" xr:uid="{00000000-0005-0000-0000-0000F2100000}"/>
    <cellStyle name="Normal 2 4 7 5 2" xfId="3865" xr:uid="{00000000-0005-0000-0000-0000F3100000}"/>
    <cellStyle name="Normal 2 4 7 5 2 2" xfId="8087" xr:uid="{00000000-0005-0000-0000-0000F4100000}"/>
    <cellStyle name="Normal 2 4 7 5 2 2 2" xfId="33426" xr:uid="{175AC84E-8010-4387-92F0-F418210AD4EA}"/>
    <cellStyle name="Normal 2 4 7 5 2 2 3" xfId="24985" xr:uid="{E330EADA-36C4-4BBA-BC6A-A37392F428FB}"/>
    <cellStyle name="Normal 2 4 7 5 2 2 4" xfId="16537" xr:uid="{559D0411-B765-4E1B-9FA1-290BB6199623}"/>
    <cellStyle name="Normal 2 4 7 5 2 3" xfId="29208" xr:uid="{8DD4BA74-EDB3-4AFD-BFE2-1E484A3C6AA2}"/>
    <cellStyle name="Normal 2 4 7 5 2 4" xfId="20767" xr:uid="{EED52671-7640-463B-92AC-090867A5D724}"/>
    <cellStyle name="Normal 2 4 7 5 2 5" xfId="12319" xr:uid="{C9DE7209-4170-4591-9A4C-0E0A58D4C191}"/>
    <cellStyle name="Normal 2 4 7 5 3" xfId="5942" xr:uid="{00000000-0005-0000-0000-0000F5100000}"/>
    <cellStyle name="Normal 2 4 7 5 3 2" xfId="31281" xr:uid="{4B24087B-CB71-4180-A0B7-28C7210912A5}"/>
    <cellStyle name="Normal 2 4 7 5 3 3" xfId="22840" xr:uid="{2CBC77FF-E755-4333-BF0D-7D1733401713}"/>
    <cellStyle name="Normal 2 4 7 5 3 4" xfId="14392" xr:uid="{DA96DF38-98A1-46F2-B5B3-CC54393CBD33}"/>
    <cellStyle name="Normal 2 4 7 5 4" xfId="27063" xr:uid="{5306A739-64FB-4C39-8EF3-809DCD40BA6F}"/>
    <cellStyle name="Normal 2 4 7 5 5" xfId="18622" xr:uid="{513723C7-2862-4FA0-9868-F8FF1C224FD9}"/>
    <cellStyle name="Normal 2 4 7 5 6" xfId="10174" xr:uid="{FB136A85-B77B-4897-8962-E6535A2DDED1}"/>
    <cellStyle name="Normal 2 4 7 6" xfId="2049" xr:uid="{00000000-0005-0000-0000-0000F6100000}"/>
    <cellStyle name="Normal 2 4 7 6 2" xfId="4278" xr:uid="{00000000-0005-0000-0000-0000F7100000}"/>
    <cellStyle name="Normal 2 4 7 6 2 2" xfId="8500" xr:uid="{00000000-0005-0000-0000-0000F8100000}"/>
    <cellStyle name="Normal 2 4 7 6 2 2 2" xfId="33839" xr:uid="{3F8A10F8-1B8C-4137-AC30-C14791F23E4E}"/>
    <cellStyle name="Normal 2 4 7 6 2 2 3" xfId="25398" xr:uid="{B3F27455-E44A-4937-BAE6-BCF30D69F286}"/>
    <cellStyle name="Normal 2 4 7 6 2 2 4" xfId="16950" xr:uid="{01E56AB3-F6DD-4393-B98E-416D3ACFE8A5}"/>
    <cellStyle name="Normal 2 4 7 6 2 3" xfId="29621" xr:uid="{55261F19-E0F5-47FD-8A16-4296AC29B7DC}"/>
    <cellStyle name="Normal 2 4 7 6 2 4" xfId="21180" xr:uid="{2AF76E96-1D7C-4730-BCA7-F42FC2EA51B2}"/>
    <cellStyle name="Normal 2 4 7 6 2 5" xfId="12732" xr:uid="{7753C673-2F7B-440E-A052-971C8C7B2308}"/>
    <cellStyle name="Normal 2 4 7 6 3" xfId="6355" xr:uid="{00000000-0005-0000-0000-0000F9100000}"/>
    <cellStyle name="Normal 2 4 7 6 3 2" xfId="31694" xr:uid="{9748F439-1DAD-4434-9354-CD07D3C7277F}"/>
    <cellStyle name="Normal 2 4 7 6 3 3" xfId="23253" xr:uid="{7041FE83-55EB-445A-A063-82D32C8682F3}"/>
    <cellStyle name="Normal 2 4 7 6 3 4" xfId="14805" xr:uid="{987C026C-5F88-4933-A189-F2B4539F3169}"/>
    <cellStyle name="Normal 2 4 7 6 4" xfId="27476" xr:uid="{228E4BA8-5627-4166-BD58-76145B91F649}"/>
    <cellStyle name="Normal 2 4 7 6 5" xfId="19035" xr:uid="{527ACD26-5848-4112-976C-C6444A3B3268}"/>
    <cellStyle name="Normal 2 4 7 6 6" xfId="10587" xr:uid="{2467720C-D4BC-4F82-BA2F-EE15EE96C001}"/>
    <cellStyle name="Normal 2 4 7 7" xfId="2485" xr:uid="{00000000-0005-0000-0000-0000FA100000}"/>
    <cellStyle name="Normal 2 4 7 7 2" xfId="6768" xr:uid="{00000000-0005-0000-0000-0000FB100000}"/>
    <cellStyle name="Normal 2 4 7 7 2 2" xfId="32107" xr:uid="{92480CC4-E889-4889-A539-D128110E2E49}"/>
    <cellStyle name="Normal 2 4 7 7 2 3" xfId="23666" xr:uid="{70C5D55F-20FF-4639-93BA-433C9A857A0A}"/>
    <cellStyle name="Normal 2 4 7 7 2 4" xfId="15218" xr:uid="{1E59FE3E-BA00-4029-9172-21CD3B4FA35E}"/>
    <cellStyle name="Normal 2 4 7 7 3" xfId="27889" xr:uid="{619EA31E-A5D4-4F35-8388-CCC792B4B365}"/>
    <cellStyle name="Normal 2 4 7 7 4" xfId="19448" xr:uid="{E836D69F-F6E8-410A-BCFD-79AE8A450088}"/>
    <cellStyle name="Normal 2 4 7 7 5" xfId="11000" xr:uid="{E135BEE9-1146-4B17-9ED1-2EA2DAF1160C}"/>
    <cellStyle name="Normal 2 4 7 8" xfId="4702" xr:uid="{00000000-0005-0000-0000-0000FC100000}"/>
    <cellStyle name="Normal 2 4 7 8 2" xfId="30041" xr:uid="{052A9BCD-065E-4B93-B1F3-F34A3E0E7AA8}"/>
    <cellStyle name="Normal 2 4 7 8 3" xfId="21600" xr:uid="{16CE2BC6-BF96-4E67-B674-2B8E7A246138}"/>
    <cellStyle name="Normal 2 4 7 8 4" xfId="13152" xr:uid="{54B756FE-65DB-4DBC-8783-B09D96A07644}"/>
    <cellStyle name="Normal 2 4 7 9" xfId="25823" xr:uid="{51548395-BC4C-4B0A-BD8D-BFEF21C1F419}"/>
    <cellStyle name="Normal 2 4 8" xfId="314" xr:uid="{00000000-0005-0000-0000-0000FD100000}"/>
    <cellStyle name="Normal 2 4 8 10" xfId="8936" xr:uid="{97477B86-E405-4986-8CDF-6223A0DC595F}"/>
    <cellStyle name="Normal 2 4 8 2" xfId="802" xr:uid="{00000000-0005-0000-0000-0000FE100000}"/>
    <cellStyle name="Normal 2 4 8 2 2" xfId="3041" xr:uid="{00000000-0005-0000-0000-0000FF100000}"/>
    <cellStyle name="Normal 2 4 8 2 2 2" xfId="7263" xr:uid="{00000000-0005-0000-0000-000000110000}"/>
    <cellStyle name="Normal 2 4 8 2 2 2 2" xfId="32602" xr:uid="{B59BD60B-FAF3-4FA4-8E34-D7E1661C9881}"/>
    <cellStyle name="Normal 2 4 8 2 2 2 3" xfId="24161" xr:uid="{6CFFE0CF-A931-4A60-9C24-BBC8B278FEFD}"/>
    <cellStyle name="Normal 2 4 8 2 2 2 4" xfId="15713" xr:uid="{C733B6A7-064B-4C51-BF64-7693C239BE00}"/>
    <cellStyle name="Normal 2 4 8 2 2 3" xfId="28384" xr:uid="{1A8F4C7D-DCDA-4AFE-9859-720AB897442E}"/>
    <cellStyle name="Normal 2 4 8 2 2 4" xfId="19943" xr:uid="{DA28BB0E-6F2F-48A2-A405-46D4253716B6}"/>
    <cellStyle name="Normal 2 4 8 2 2 5" xfId="11495" xr:uid="{CECD22C7-D58A-46C6-B01D-40E73F24BDF3}"/>
    <cellStyle name="Normal 2 4 8 2 3" xfId="5118" xr:uid="{00000000-0005-0000-0000-000001110000}"/>
    <cellStyle name="Normal 2 4 8 2 3 2" xfId="30457" xr:uid="{C56BAF66-110F-4AF8-8872-47ADF7888B19}"/>
    <cellStyle name="Normal 2 4 8 2 3 3" xfId="22016" xr:uid="{E5269B03-A03C-446C-B919-FD3128B4D63B}"/>
    <cellStyle name="Normal 2 4 8 2 3 4" xfId="13568" xr:uid="{5B26A129-C110-493F-8F16-5E6277E53A59}"/>
    <cellStyle name="Normal 2 4 8 2 4" xfId="26239" xr:uid="{90CEBD0C-AA41-4B8F-BD28-97FC26071F9F}"/>
    <cellStyle name="Normal 2 4 8 2 5" xfId="17798" xr:uid="{09DE9F21-DFB3-4C5A-B3F6-7CE9255EC1F9}"/>
    <cellStyle name="Normal 2 4 8 2 6" xfId="9350" xr:uid="{5219F0B3-4E1C-4665-929A-1884622BBFDD}"/>
    <cellStyle name="Normal 2 4 8 3" xfId="1224" xr:uid="{00000000-0005-0000-0000-000002110000}"/>
    <cellStyle name="Normal 2 4 8 3 2" xfId="3454" xr:uid="{00000000-0005-0000-0000-000003110000}"/>
    <cellStyle name="Normal 2 4 8 3 2 2" xfId="7676" xr:uid="{00000000-0005-0000-0000-000004110000}"/>
    <cellStyle name="Normal 2 4 8 3 2 2 2" xfId="33015" xr:uid="{EF3F2AE3-74B8-471A-B3D2-F6B68A021E78}"/>
    <cellStyle name="Normal 2 4 8 3 2 2 3" xfId="24574" xr:uid="{C5816126-9FEF-42BD-8EF3-DDDE5EB5BF9A}"/>
    <cellStyle name="Normal 2 4 8 3 2 2 4" xfId="16126" xr:uid="{7792910D-3E42-4E70-B323-D21A56A5F2E2}"/>
    <cellStyle name="Normal 2 4 8 3 2 3" xfId="28797" xr:uid="{75362FD4-1E89-4C59-AD83-674985FA2CB2}"/>
    <cellStyle name="Normal 2 4 8 3 2 4" xfId="20356" xr:uid="{F4A84638-102B-49AC-ADC6-238632023F30}"/>
    <cellStyle name="Normal 2 4 8 3 2 5" xfId="11908" xr:uid="{867942FA-CC68-41E6-97F7-F1A93CECA637}"/>
    <cellStyle name="Normal 2 4 8 3 3" xfId="5531" xr:uid="{00000000-0005-0000-0000-000005110000}"/>
    <cellStyle name="Normal 2 4 8 3 3 2" xfId="30870" xr:uid="{FA69188E-45CC-4B13-BBAD-82DD1184B1C3}"/>
    <cellStyle name="Normal 2 4 8 3 3 3" xfId="22429" xr:uid="{730CEA38-94A5-4DF6-BD49-5E90A245CDAA}"/>
    <cellStyle name="Normal 2 4 8 3 3 4" xfId="13981" xr:uid="{2A53F3A7-7CE9-47AC-B445-28C22A19E87C}"/>
    <cellStyle name="Normal 2 4 8 3 4" xfId="26652" xr:uid="{AF029B81-BD92-4A54-99DC-5C01D53AE4A0}"/>
    <cellStyle name="Normal 2 4 8 3 5" xfId="18211" xr:uid="{B9304487-9CCA-4D40-A7A1-2DFD228F8677}"/>
    <cellStyle name="Normal 2 4 8 3 6" xfId="9763" xr:uid="{09E0B021-BAF8-470F-BA25-677DB58C7032}"/>
    <cellStyle name="Normal 2 4 8 4" xfId="1637" xr:uid="{00000000-0005-0000-0000-000006110000}"/>
    <cellStyle name="Normal 2 4 8 4 2" xfId="3867" xr:uid="{00000000-0005-0000-0000-000007110000}"/>
    <cellStyle name="Normal 2 4 8 4 2 2" xfId="8089" xr:uid="{00000000-0005-0000-0000-000008110000}"/>
    <cellStyle name="Normal 2 4 8 4 2 2 2" xfId="33428" xr:uid="{D87D64B7-74D3-4478-9506-B55E76C1CAD3}"/>
    <cellStyle name="Normal 2 4 8 4 2 2 3" xfId="24987" xr:uid="{2ED7557C-C1E9-4B05-A79E-7B9832BC1A21}"/>
    <cellStyle name="Normal 2 4 8 4 2 2 4" xfId="16539" xr:uid="{3C87D893-8541-4C89-8C9C-C0BCC1A01D57}"/>
    <cellStyle name="Normal 2 4 8 4 2 3" xfId="29210" xr:uid="{4EA49D4F-174E-4F8A-AE97-179844F3403D}"/>
    <cellStyle name="Normal 2 4 8 4 2 4" xfId="20769" xr:uid="{F30A978E-AFF7-453E-A1C7-C599DEBB3B4A}"/>
    <cellStyle name="Normal 2 4 8 4 2 5" xfId="12321" xr:uid="{2AEE573C-86A8-4C4C-97F3-5A6A3CE61041}"/>
    <cellStyle name="Normal 2 4 8 4 3" xfId="5944" xr:uid="{00000000-0005-0000-0000-000009110000}"/>
    <cellStyle name="Normal 2 4 8 4 3 2" xfId="31283" xr:uid="{68E51FF0-E895-4D25-A3DD-1AABDA84B064}"/>
    <cellStyle name="Normal 2 4 8 4 3 3" xfId="22842" xr:uid="{62A90835-6972-416E-B536-616633900161}"/>
    <cellStyle name="Normal 2 4 8 4 3 4" xfId="14394" xr:uid="{F65A536A-598A-4948-86AD-87CDDFD38093}"/>
    <cellStyle name="Normal 2 4 8 4 4" xfId="27065" xr:uid="{4E871F2C-03FC-40C5-B1CB-233D4155555F}"/>
    <cellStyle name="Normal 2 4 8 4 5" xfId="18624" xr:uid="{BB714827-E441-4B8A-A4AA-1410426D7F76}"/>
    <cellStyle name="Normal 2 4 8 4 6" xfId="10176" xr:uid="{E54DAD85-4D12-45D8-99A9-2E9A57B0F20A}"/>
    <cellStyle name="Normal 2 4 8 5" xfId="2051" xr:uid="{00000000-0005-0000-0000-00000A110000}"/>
    <cellStyle name="Normal 2 4 8 5 2" xfId="4280" xr:uid="{00000000-0005-0000-0000-00000B110000}"/>
    <cellStyle name="Normal 2 4 8 5 2 2" xfId="8502" xr:uid="{00000000-0005-0000-0000-00000C110000}"/>
    <cellStyle name="Normal 2 4 8 5 2 2 2" xfId="33841" xr:uid="{6461D5B0-4CB9-4E2C-B91B-DBA7C3F495EE}"/>
    <cellStyle name="Normal 2 4 8 5 2 2 3" xfId="25400" xr:uid="{14C00BF3-A931-4C46-A245-21037E94B5A0}"/>
    <cellStyle name="Normal 2 4 8 5 2 2 4" xfId="16952" xr:uid="{AF13A99F-9808-4C88-A160-0D115732D17E}"/>
    <cellStyle name="Normal 2 4 8 5 2 3" xfId="29623" xr:uid="{C7F8DD80-9AAC-48F4-A617-528D7049A5EB}"/>
    <cellStyle name="Normal 2 4 8 5 2 4" xfId="21182" xr:uid="{B72CC94C-09DF-441F-91C6-777C4BF8C284}"/>
    <cellStyle name="Normal 2 4 8 5 2 5" xfId="12734" xr:uid="{BE57A38D-2B99-46BB-848D-1585771CE20B}"/>
    <cellStyle name="Normal 2 4 8 5 3" xfId="6357" xr:uid="{00000000-0005-0000-0000-00000D110000}"/>
    <cellStyle name="Normal 2 4 8 5 3 2" xfId="31696" xr:uid="{5591BB51-06D0-4C55-9AF3-A71EEE4E88A0}"/>
    <cellStyle name="Normal 2 4 8 5 3 3" xfId="23255" xr:uid="{0693E90C-DB57-48C2-B30E-3F3AAB09D3FB}"/>
    <cellStyle name="Normal 2 4 8 5 3 4" xfId="14807" xr:uid="{4BF0B94B-9532-4ED3-BCC5-8B93BD6D2B7E}"/>
    <cellStyle name="Normal 2 4 8 5 4" xfId="27478" xr:uid="{09D0CBA4-98A1-4E85-9425-8597A59E0FEB}"/>
    <cellStyle name="Normal 2 4 8 5 5" xfId="19037" xr:uid="{EF0E8725-41DB-44A4-82E4-AC9FD9507242}"/>
    <cellStyle name="Normal 2 4 8 5 6" xfId="10589" xr:uid="{6271FDBD-69B1-457C-A5CB-B185088D0A90}"/>
    <cellStyle name="Normal 2 4 8 6" xfId="2487" xr:uid="{00000000-0005-0000-0000-00000E110000}"/>
    <cellStyle name="Normal 2 4 8 6 2" xfId="6770" xr:uid="{00000000-0005-0000-0000-00000F110000}"/>
    <cellStyle name="Normal 2 4 8 6 2 2" xfId="32109" xr:uid="{E9E62BE6-4754-4E31-B2CE-48D5F3EE5C4D}"/>
    <cellStyle name="Normal 2 4 8 6 2 3" xfId="23668" xr:uid="{B9BBA715-C6F6-463B-944C-13C198840E1C}"/>
    <cellStyle name="Normal 2 4 8 6 2 4" xfId="15220" xr:uid="{FC20B820-523F-418E-8F15-E3F56BA4D653}"/>
    <cellStyle name="Normal 2 4 8 6 3" xfId="27891" xr:uid="{11F5044D-A819-4472-A27B-FD32A846F098}"/>
    <cellStyle name="Normal 2 4 8 6 4" xfId="19450" xr:uid="{80FA7621-A010-4A5C-8748-F7BB9B2C4B57}"/>
    <cellStyle name="Normal 2 4 8 6 5" xfId="11002" xr:uid="{7C48AE77-F786-40F7-B338-8C2E3CD78CCB}"/>
    <cellStyle name="Normal 2 4 8 7" xfId="4704" xr:uid="{00000000-0005-0000-0000-000010110000}"/>
    <cellStyle name="Normal 2 4 8 7 2" xfId="30043" xr:uid="{C2ECD7BD-FB4C-46A0-9D78-AD8669B89C90}"/>
    <cellStyle name="Normal 2 4 8 7 3" xfId="21602" xr:uid="{F7C39BC2-5375-43AF-95CF-F03BF98D0422}"/>
    <cellStyle name="Normal 2 4 8 7 4" xfId="13154" xr:uid="{9445E527-2F2D-456C-950B-B261EEDF1FA9}"/>
    <cellStyle name="Normal 2 4 8 8" xfId="25825" xr:uid="{EE73198C-1B4A-47DD-952F-D11FA5D342E0}"/>
    <cellStyle name="Normal 2 4 8 9" xfId="17384" xr:uid="{8B30B4DC-C9CF-4CDA-BE7E-2AE0BC4979DA}"/>
    <cellStyle name="Normal 2 5" xfId="315" xr:uid="{00000000-0005-0000-0000-000011110000}"/>
    <cellStyle name="Normal 2 5 10" xfId="4705" xr:uid="{00000000-0005-0000-0000-000012110000}"/>
    <cellStyle name="Normal 2 5 10 2" xfId="30044" xr:uid="{CB5C9C0E-D3F0-4B2A-8778-86D581EC4A09}"/>
    <cellStyle name="Normal 2 5 10 3" xfId="21603" xr:uid="{8C7FC770-6BDE-440C-8BE5-1BA80CDFE15C}"/>
    <cellStyle name="Normal 2 5 10 4" xfId="13155" xr:uid="{21793604-5929-4437-A16A-B6838D1E8F40}"/>
    <cellStyle name="Normal 2 5 11" xfId="25826" xr:uid="{FCA49BD9-2724-41DA-BB28-0C5807C4E621}"/>
    <cellStyle name="Normal 2 5 12" xfId="17385" xr:uid="{19D9962F-C407-4D2E-A813-D9FC2EC36272}"/>
    <cellStyle name="Normal 2 5 13" xfId="8937" xr:uid="{044440DD-3B75-4563-9ABA-4880989A42DA}"/>
    <cellStyle name="Normal 2 5 2" xfId="316" xr:uid="{00000000-0005-0000-0000-000013110000}"/>
    <cellStyle name="Normal 2 5 3" xfId="317" xr:uid="{00000000-0005-0000-0000-000014110000}"/>
    <cellStyle name="Normal 2 5 4" xfId="318" xr:uid="{00000000-0005-0000-0000-000015110000}"/>
    <cellStyle name="Normal 2 5 4 10" xfId="25827" xr:uid="{26E45ED1-3AE3-4B97-92F2-6F84E506A53E}"/>
    <cellStyle name="Normal 2 5 4 11" xfId="17386" xr:uid="{6B463D15-6B31-4AFC-A0B9-5B6BFA366A4E}"/>
    <cellStyle name="Normal 2 5 4 12" xfId="8938" xr:uid="{5955F422-8271-4113-BA8C-6E00E804E96B}"/>
    <cellStyle name="Normal 2 5 4 2" xfId="319" xr:uid="{00000000-0005-0000-0000-000016110000}"/>
    <cellStyle name="Normal 2 5 4 2 10" xfId="17387" xr:uid="{98F5890A-07B4-48A1-BC02-18B8C2F03C35}"/>
    <cellStyle name="Normal 2 5 4 2 11" xfId="8939" xr:uid="{91412AFE-286E-4102-9096-15407CB2F610}"/>
    <cellStyle name="Normal 2 5 4 2 2" xfId="320" xr:uid="{00000000-0005-0000-0000-000017110000}"/>
    <cellStyle name="Normal 2 5 4 2 2 10" xfId="8940" xr:uid="{470901F6-8651-4FC3-A732-8F841CD613D8}"/>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32606" xr:uid="{A325DA46-CD76-4200-ABCE-D5D98FC78786}"/>
    <cellStyle name="Normal 2 5 4 2 2 2 2 2 3" xfId="24165" xr:uid="{A9FED371-F911-48D0-B742-60F2F97FB26D}"/>
    <cellStyle name="Normal 2 5 4 2 2 2 2 2 4" xfId="15717" xr:uid="{2C33B665-D468-47D3-8F58-1143DBAE63BB}"/>
    <cellStyle name="Normal 2 5 4 2 2 2 2 3" xfId="28388" xr:uid="{295749BB-2A77-445E-8A0D-799483A021DA}"/>
    <cellStyle name="Normal 2 5 4 2 2 2 2 4" xfId="19947" xr:uid="{AAE7CF98-78BB-4C85-95EA-EAB679E45F87}"/>
    <cellStyle name="Normal 2 5 4 2 2 2 2 5" xfId="11499" xr:uid="{C7BCAC28-9770-44E0-BFBF-D86F672EC77A}"/>
    <cellStyle name="Normal 2 5 4 2 2 2 3" xfId="5122" xr:uid="{00000000-0005-0000-0000-00001B110000}"/>
    <cellStyle name="Normal 2 5 4 2 2 2 3 2" xfId="30461" xr:uid="{693E9036-575A-4B0C-B519-363E1E0F7558}"/>
    <cellStyle name="Normal 2 5 4 2 2 2 3 3" xfId="22020" xr:uid="{728D1681-DD03-490C-A3F0-E82322C5E2AE}"/>
    <cellStyle name="Normal 2 5 4 2 2 2 3 4" xfId="13572" xr:uid="{3A93D2CE-49BC-430D-B1CC-41BC27209D21}"/>
    <cellStyle name="Normal 2 5 4 2 2 2 4" xfId="26243" xr:uid="{AF991213-8CBC-4508-BC95-B393F47F2036}"/>
    <cellStyle name="Normal 2 5 4 2 2 2 5" xfId="17802" xr:uid="{AB1AE47E-09EB-4352-A83A-11C2F4E2FD4A}"/>
    <cellStyle name="Normal 2 5 4 2 2 2 6" xfId="9354" xr:uid="{CFCE04AF-2376-4332-B95B-05B34BFDA592}"/>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33019" xr:uid="{4D36AA04-5185-454C-B772-E0CAF828C976}"/>
    <cellStyle name="Normal 2 5 4 2 2 3 2 2 3" xfId="24578" xr:uid="{39E83E05-20BE-4096-8215-6B0FE12B84B9}"/>
    <cellStyle name="Normal 2 5 4 2 2 3 2 2 4" xfId="16130" xr:uid="{2FF83927-9F57-4505-93EC-73D9613AC6BE}"/>
    <cellStyle name="Normal 2 5 4 2 2 3 2 3" xfId="28801" xr:uid="{4D55A3E8-C2D0-4ED4-AEE5-BC9E262B7204}"/>
    <cellStyle name="Normal 2 5 4 2 2 3 2 4" xfId="20360" xr:uid="{EE5294DE-77E5-41B1-ABE8-2664773C217E}"/>
    <cellStyle name="Normal 2 5 4 2 2 3 2 5" xfId="11912" xr:uid="{6CE9A1FA-5FE4-4B2F-B0AC-639171EF5BEB}"/>
    <cellStyle name="Normal 2 5 4 2 2 3 3" xfId="5535" xr:uid="{00000000-0005-0000-0000-00001F110000}"/>
    <cellStyle name="Normal 2 5 4 2 2 3 3 2" xfId="30874" xr:uid="{F26560A4-865D-4078-A074-D17EF6C84D7E}"/>
    <cellStyle name="Normal 2 5 4 2 2 3 3 3" xfId="22433" xr:uid="{EAC6885E-BE5B-495D-914D-CD43254C8F8B}"/>
    <cellStyle name="Normal 2 5 4 2 2 3 3 4" xfId="13985" xr:uid="{8991D9F0-9770-4FD3-BA5A-FBF4635F2B1E}"/>
    <cellStyle name="Normal 2 5 4 2 2 3 4" xfId="26656" xr:uid="{857A108E-7A36-472A-A574-81F3794A56EB}"/>
    <cellStyle name="Normal 2 5 4 2 2 3 5" xfId="18215" xr:uid="{A20C7EB3-77A8-47A8-9207-CE42E83E107C}"/>
    <cellStyle name="Normal 2 5 4 2 2 3 6" xfId="9767" xr:uid="{7AE33598-1A2B-447B-94C4-D8C68561F283}"/>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33432" xr:uid="{1576C709-67D8-4A14-A1B4-D1F52FE14BD0}"/>
    <cellStyle name="Normal 2 5 4 2 2 4 2 2 3" xfId="24991" xr:uid="{38426611-0A6D-4C2B-B364-C881DDEDF205}"/>
    <cellStyle name="Normal 2 5 4 2 2 4 2 2 4" xfId="16543" xr:uid="{045655B7-CDB8-487A-A284-886533A3ACBB}"/>
    <cellStyle name="Normal 2 5 4 2 2 4 2 3" xfId="29214" xr:uid="{0D029F30-4E93-4519-8475-F57B39692FA0}"/>
    <cellStyle name="Normal 2 5 4 2 2 4 2 4" xfId="20773" xr:uid="{A95B1CAF-6856-491C-9E4D-617241834FBE}"/>
    <cellStyle name="Normal 2 5 4 2 2 4 2 5" xfId="12325" xr:uid="{A3149F44-2ABF-4E3B-8195-B9032AD67A92}"/>
    <cellStyle name="Normal 2 5 4 2 2 4 3" xfId="5948" xr:uid="{00000000-0005-0000-0000-000023110000}"/>
    <cellStyle name="Normal 2 5 4 2 2 4 3 2" xfId="31287" xr:uid="{2A2551DA-ED64-4808-A9A9-EE2E59CD077D}"/>
    <cellStyle name="Normal 2 5 4 2 2 4 3 3" xfId="22846" xr:uid="{85EDEE4D-5EF4-472F-9481-84B4830DA7C9}"/>
    <cellStyle name="Normal 2 5 4 2 2 4 3 4" xfId="14398" xr:uid="{91911020-83AC-4C08-AF97-5349BE59B0B6}"/>
    <cellStyle name="Normal 2 5 4 2 2 4 4" xfId="27069" xr:uid="{797C95F4-5C98-48A4-8004-0935FC740C5B}"/>
    <cellStyle name="Normal 2 5 4 2 2 4 5" xfId="18628" xr:uid="{D4841818-0AF5-49D3-8F49-AA9C09141A47}"/>
    <cellStyle name="Normal 2 5 4 2 2 4 6" xfId="10180" xr:uid="{992370E6-D457-47A7-94E7-94A3B5A637D5}"/>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33845" xr:uid="{D08E0DE3-5F3F-4221-B656-1ED97319F9C8}"/>
    <cellStyle name="Normal 2 5 4 2 2 5 2 2 3" xfId="25404" xr:uid="{833A0E48-CD99-4D70-A5B0-534D56B56486}"/>
    <cellStyle name="Normal 2 5 4 2 2 5 2 2 4" xfId="16956" xr:uid="{CB7FB386-E989-48EC-A059-24DD9A4C9C4C}"/>
    <cellStyle name="Normal 2 5 4 2 2 5 2 3" xfId="29627" xr:uid="{4FDDD74A-13AB-447E-8A0F-ED73208B6FB4}"/>
    <cellStyle name="Normal 2 5 4 2 2 5 2 4" xfId="21186" xr:uid="{931A2598-75A4-44D2-9FAD-65DD83C4B2E2}"/>
    <cellStyle name="Normal 2 5 4 2 2 5 2 5" xfId="12738" xr:uid="{BCFA57DE-19BE-4A53-80AF-E9684717DE99}"/>
    <cellStyle name="Normal 2 5 4 2 2 5 3" xfId="6361" xr:uid="{00000000-0005-0000-0000-000027110000}"/>
    <cellStyle name="Normal 2 5 4 2 2 5 3 2" xfId="31700" xr:uid="{965315C1-3467-4FE3-B536-BFE2BB78D514}"/>
    <cellStyle name="Normal 2 5 4 2 2 5 3 3" xfId="23259" xr:uid="{6237FD95-EA3A-489E-878F-1FAC372D2AFA}"/>
    <cellStyle name="Normal 2 5 4 2 2 5 3 4" xfId="14811" xr:uid="{10C5EBD2-9E81-4A24-B353-BEECA3031AC8}"/>
    <cellStyle name="Normal 2 5 4 2 2 5 4" xfId="27482" xr:uid="{B64C5E18-7BDA-45A4-94C5-BC97E9FFBEE1}"/>
    <cellStyle name="Normal 2 5 4 2 2 5 5" xfId="19041" xr:uid="{4E8DC323-FA93-43DB-B57F-2454836C2B6D}"/>
    <cellStyle name="Normal 2 5 4 2 2 5 6" xfId="10593" xr:uid="{3A9E2939-82ED-4CB0-A691-1FEE6563FC2C}"/>
    <cellStyle name="Normal 2 5 4 2 2 6" xfId="2491" xr:uid="{00000000-0005-0000-0000-000028110000}"/>
    <cellStyle name="Normal 2 5 4 2 2 6 2" xfId="6774" xr:uid="{00000000-0005-0000-0000-000029110000}"/>
    <cellStyle name="Normal 2 5 4 2 2 6 2 2" xfId="32113" xr:uid="{DED3E5CA-AAB3-4B40-840C-D4A4530AB7E6}"/>
    <cellStyle name="Normal 2 5 4 2 2 6 2 3" xfId="23672" xr:uid="{39667571-2865-4B4F-99CC-F8828F52AD2E}"/>
    <cellStyle name="Normal 2 5 4 2 2 6 2 4" xfId="15224" xr:uid="{DA691083-B8D1-4112-89EE-27DB134CB8CE}"/>
    <cellStyle name="Normal 2 5 4 2 2 6 3" xfId="27895" xr:uid="{FB9EBCE1-FAD8-4CD0-A02F-A2C94E650CAC}"/>
    <cellStyle name="Normal 2 5 4 2 2 6 4" xfId="19454" xr:uid="{B061A9AC-E91A-4E5C-BD9E-D35EA97C6809}"/>
    <cellStyle name="Normal 2 5 4 2 2 6 5" xfId="11006" xr:uid="{12C6CF08-8896-463E-9A9F-74046DE09076}"/>
    <cellStyle name="Normal 2 5 4 2 2 7" xfId="4708" xr:uid="{00000000-0005-0000-0000-00002A110000}"/>
    <cellStyle name="Normal 2 5 4 2 2 7 2" xfId="30047" xr:uid="{570D4881-6097-4A36-A126-E28646C595A6}"/>
    <cellStyle name="Normal 2 5 4 2 2 7 3" xfId="21606" xr:uid="{3248605A-AE7D-441D-9CA4-0C6EF3E6AE01}"/>
    <cellStyle name="Normal 2 5 4 2 2 7 4" xfId="13158" xr:uid="{DADC84E1-A92C-44A6-A8C0-E4BB4206BD32}"/>
    <cellStyle name="Normal 2 5 4 2 2 8" xfId="25829" xr:uid="{F39D5C38-93E9-47D9-B326-E756730D564B}"/>
    <cellStyle name="Normal 2 5 4 2 2 9" xfId="17388" xr:uid="{5B6CF6B4-AED1-4B9B-AD22-2F8AC954D4C1}"/>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32605" xr:uid="{3D4AA789-6854-4FB2-AD4E-83DC9E0AE97C}"/>
    <cellStyle name="Normal 2 5 4 2 3 2 2 3" xfId="24164" xr:uid="{6326A0DA-CAF0-465D-9C95-B860EEBAADEE}"/>
    <cellStyle name="Normal 2 5 4 2 3 2 2 4" xfId="15716" xr:uid="{9260F05F-04FB-447B-B3AD-385EB17C0FDB}"/>
    <cellStyle name="Normal 2 5 4 2 3 2 3" xfId="28387" xr:uid="{BA3ACCEA-CAF2-4F80-8C37-A965B831BE27}"/>
    <cellStyle name="Normal 2 5 4 2 3 2 4" xfId="19946" xr:uid="{04B236AA-062A-47FE-AB59-CDFE8846B0DB}"/>
    <cellStyle name="Normal 2 5 4 2 3 2 5" xfId="11498" xr:uid="{A2AF506E-18AC-44FB-B4DC-B70E46E49FB5}"/>
    <cellStyle name="Normal 2 5 4 2 3 3" xfId="5121" xr:uid="{00000000-0005-0000-0000-00002E110000}"/>
    <cellStyle name="Normal 2 5 4 2 3 3 2" xfId="30460" xr:uid="{1497FF8E-E821-484F-B7B9-6A3C0F71430D}"/>
    <cellStyle name="Normal 2 5 4 2 3 3 3" xfId="22019" xr:uid="{B24F400F-6602-4F0F-AABC-B5772ABC04DE}"/>
    <cellStyle name="Normal 2 5 4 2 3 3 4" xfId="13571" xr:uid="{C579BBFE-FFFC-4C2E-8F03-8C65FA425F05}"/>
    <cellStyle name="Normal 2 5 4 2 3 4" xfId="26242" xr:uid="{57BA731C-8865-4971-A16D-CE90E6130C11}"/>
    <cellStyle name="Normal 2 5 4 2 3 5" xfId="17801" xr:uid="{66655FED-3C05-4079-80D1-C27614C53D83}"/>
    <cellStyle name="Normal 2 5 4 2 3 6" xfId="9353" xr:uid="{8B4C3BBC-2BFE-44D6-BDC4-7AC80E87B6F7}"/>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33018" xr:uid="{F25EC07C-99F6-4790-A01F-0A831F92AE3A}"/>
    <cellStyle name="Normal 2 5 4 2 4 2 2 3" xfId="24577" xr:uid="{87816935-23AD-4E7E-A750-6F6185F552B2}"/>
    <cellStyle name="Normal 2 5 4 2 4 2 2 4" xfId="16129" xr:uid="{1547D002-DD8A-484D-8F27-68F724D1885B}"/>
    <cellStyle name="Normal 2 5 4 2 4 2 3" xfId="28800" xr:uid="{BE5C2369-8552-481D-86C5-48F5CD4D4BD8}"/>
    <cellStyle name="Normal 2 5 4 2 4 2 4" xfId="20359" xr:uid="{998CB2E4-46D3-4FB3-8DAB-641EB9D95657}"/>
    <cellStyle name="Normal 2 5 4 2 4 2 5" xfId="11911" xr:uid="{0ADA3B42-7ADF-4898-8067-3CC0A730D591}"/>
    <cellStyle name="Normal 2 5 4 2 4 3" xfId="5534" xr:uid="{00000000-0005-0000-0000-000032110000}"/>
    <cellStyle name="Normal 2 5 4 2 4 3 2" xfId="30873" xr:uid="{D74ABA3B-DDD5-44CF-A40A-AB405CA15E2B}"/>
    <cellStyle name="Normal 2 5 4 2 4 3 3" xfId="22432" xr:uid="{2A85FBA1-EC2E-489C-9302-564AE38016F9}"/>
    <cellStyle name="Normal 2 5 4 2 4 3 4" xfId="13984" xr:uid="{444340B6-B466-42AC-BDFD-33FFCDE87AD3}"/>
    <cellStyle name="Normal 2 5 4 2 4 4" xfId="26655" xr:uid="{8A545849-4788-4342-BF9A-2D0DD97A79A9}"/>
    <cellStyle name="Normal 2 5 4 2 4 5" xfId="18214" xr:uid="{9746412A-01CE-4872-8D0A-589276487734}"/>
    <cellStyle name="Normal 2 5 4 2 4 6" xfId="9766" xr:uid="{5B2B93C8-430F-4F7F-9385-2CBEC2021C63}"/>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33431" xr:uid="{6BDDFE5E-6AE2-4EE1-9285-6C3BD4FE3F48}"/>
    <cellStyle name="Normal 2 5 4 2 5 2 2 3" xfId="24990" xr:uid="{E1106CA8-12B1-4055-A74B-A1B9AF00C7FE}"/>
    <cellStyle name="Normal 2 5 4 2 5 2 2 4" xfId="16542" xr:uid="{8B0DB817-0ABD-4692-A089-F5321419880E}"/>
    <cellStyle name="Normal 2 5 4 2 5 2 3" xfId="29213" xr:uid="{B698B298-5829-4864-942B-5A225924970C}"/>
    <cellStyle name="Normal 2 5 4 2 5 2 4" xfId="20772" xr:uid="{C5DA7D8B-41A6-4DF4-A79D-82089203EF0D}"/>
    <cellStyle name="Normal 2 5 4 2 5 2 5" xfId="12324" xr:uid="{CED26AC0-E9F8-4EA1-A852-D7CC089D2AAE}"/>
    <cellStyle name="Normal 2 5 4 2 5 3" xfId="5947" xr:uid="{00000000-0005-0000-0000-000036110000}"/>
    <cellStyle name="Normal 2 5 4 2 5 3 2" xfId="31286" xr:uid="{D88B2A61-54BF-47FB-A675-1F51054FFFD8}"/>
    <cellStyle name="Normal 2 5 4 2 5 3 3" xfId="22845" xr:uid="{5CEC80B1-2557-4FDF-BBF5-E25F304165E6}"/>
    <cellStyle name="Normal 2 5 4 2 5 3 4" xfId="14397" xr:uid="{64E78009-7529-4CEC-A9F1-D8FE3FC8AC61}"/>
    <cellStyle name="Normal 2 5 4 2 5 4" xfId="27068" xr:uid="{28F7DFFB-4B61-4349-B805-6B3BAF074D62}"/>
    <cellStyle name="Normal 2 5 4 2 5 5" xfId="18627" xr:uid="{F380918B-FD71-450C-B7CE-3A0938DE5C8C}"/>
    <cellStyle name="Normal 2 5 4 2 5 6" xfId="10179" xr:uid="{1A686A33-F653-48C4-ABC5-EACF0120512F}"/>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33844" xr:uid="{FE14FDE4-C2D7-4515-9AAF-400FC539F277}"/>
    <cellStyle name="Normal 2 5 4 2 6 2 2 3" xfId="25403" xr:uid="{41BC7016-9CAE-4764-A926-9CB76AF0AC77}"/>
    <cellStyle name="Normal 2 5 4 2 6 2 2 4" xfId="16955" xr:uid="{819C1A1E-48D4-487A-9CF3-F8B6E61DBEDB}"/>
    <cellStyle name="Normal 2 5 4 2 6 2 3" xfId="29626" xr:uid="{223BF467-CA44-4D7F-879F-6D3642AD3898}"/>
    <cellStyle name="Normal 2 5 4 2 6 2 4" xfId="21185" xr:uid="{DBECBB34-4C0A-4734-A095-2D4A00A41D03}"/>
    <cellStyle name="Normal 2 5 4 2 6 2 5" xfId="12737" xr:uid="{AD7F0ECC-B568-44A7-962A-AB3230E70CCA}"/>
    <cellStyle name="Normal 2 5 4 2 6 3" xfId="6360" xr:uid="{00000000-0005-0000-0000-00003A110000}"/>
    <cellStyle name="Normal 2 5 4 2 6 3 2" xfId="31699" xr:uid="{72C6FBB0-973E-4FA1-B4B1-39C3CD6B4730}"/>
    <cellStyle name="Normal 2 5 4 2 6 3 3" xfId="23258" xr:uid="{F2783BE1-396E-4890-8CE0-0A6184B9624B}"/>
    <cellStyle name="Normal 2 5 4 2 6 3 4" xfId="14810" xr:uid="{E5692869-7C1D-4EBB-BB93-A1FA5789C595}"/>
    <cellStyle name="Normal 2 5 4 2 6 4" xfId="27481" xr:uid="{DF7AA81A-3EF4-4247-A04F-F2C8FFFC863B}"/>
    <cellStyle name="Normal 2 5 4 2 6 5" xfId="19040" xr:uid="{40EA209F-EFF7-4B66-9A4B-E09E48A31FB1}"/>
    <cellStyle name="Normal 2 5 4 2 6 6" xfId="10592" xr:uid="{4015591D-CF5C-45E2-A756-CAF0D79DAA5B}"/>
    <cellStyle name="Normal 2 5 4 2 7" xfId="2490" xr:uid="{00000000-0005-0000-0000-00003B110000}"/>
    <cellStyle name="Normal 2 5 4 2 7 2" xfId="6773" xr:uid="{00000000-0005-0000-0000-00003C110000}"/>
    <cellStyle name="Normal 2 5 4 2 7 2 2" xfId="32112" xr:uid="{5AEE2857-95EA-4545-9BD4-1B77CB42CF43}"/>
    <cellStyle name="Normal 2 5 4 2 7 2 3" xfId="23671" xr:uid="{98804C7D-1069-4429-B795-4D5E91DCBC50}"/>
    <cellStyle name="Normal 2 5 4 2 7 2 4" xfId="15223" xr:uid="{DFF17244-D7C4-45F1-A913-DDF9B4353EF4}"/>
    <cellStyle name="Normal 2 5 4 2 7 3" xfId="27894" xr:uid="{5688FB5B-397B-4C33-83F9-A109229A73EF}"/>
    <cellStyle name="Normal 2 5 4 2 7 4" xfId="19453" xr:uid="{7977B7CE-131A-4FC8-981B-5AB9CF690DB9}"/>
    <cellStyle name="Normal 2 5 4 2 7 5" xfId="11005" xr:uid="{B318C5ED-B8C1-40ED-952A-2C1FC30D8C5A}"/>
    <cellStyle name="Normal 2 5 4 2 8" xfId="4707" xr:uid="{00000000-0005-0000-0000-00003D110000}"/>
    <cellStyle name="Normal 2 5 4 2 8 2" xfId="30046" xr:uid="{26F7996F-4E9F-4E8D-B20B-ECCD70AF8C4B}"/>
    <cellStyle name="Normal 2 5 4 2 8 3" xfId="21605" xr:uid="{04A642DA-3A70-48D1-B370-C3E93736D191}"/>
    <cellStyle name="Normal 2 5 4 2 8 4" xfId="13157" xr:uid="{268FEC51-3C4F-4A26-9701-66CDE85E3EF6}"/>
    <cellStyle name="Normal 2 5 4 2 9" xfId="25828" xr:uid="{8E67DF4E-F238-4BA2-9B62-C95B792CEE87}"/>
    <cellStyle name="Normal 2 5 4 3" xfId="321" xr:uid="{00000000-0005-0000-0000-00003E110000}"/>
    <cellStyle name="Normal 2 5 4 3 10" xfId="8941" xr:uid="{93504C9B-C348-4A8D-B550-BE662EFE669D}"/>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32607" xr:uid="{CE4C87EF-BDFD-4306-8D64-D39DC628A1AD}"/>
    <cellStyle name="Normal 2 5 4 3 2 2 2 3" xfId="24166" xr:uid="{C7A2F131-4A96-4D53-97B7-B8339856A996}"/>
    <cellStyle name="Normal 2 5 4 3 2 2 2 4" xfId="15718" xr:uid="{F0BA1809-F35F-4A76-BF56-D90F8D35459C}"/>
    <cellStyle name="Normal 2 5 4 3 2 2 3" xfId="28389" xr:uid="{B4B4691E-27D1-409E-970D-C04E3D8FC581}"/>
    <cellStyle name="Normal 2 5 4 3 2 2 4" xfId="19948" xr:uid="{ED79300E-E527-44BB-9AD0-503E944B7FA3}"/>
    <cellStyle name="Normal 2 5 4 3 2 2 5" xfId="11500" xr:uid="{C110B513-2E10-4850-83D2-59C895B636C9}"/>
    <cellStyle name="Normal 2 5 4 3 2 3" xfId="5123" xr:uid="{00000000-0005-0000-0000-000042110000}"/>
    <cellStyle name="Normal 2 5 4 3 2 3 2" xfId="30462" xr:uid="{9468CEAF-2445-468A-BA18-B3DD50DFB600}"/>
    <cellStyle name="Normal 2 5 4 3 2 3 3" xfId="22021" xr:uid="{FC623DB3-A28A-46D0-9A63-57C271F9265C}"/>
    <cellStyle name="Normal 2 5 4 3 2 3 4" xfId="13573" xr:uid="{43EC4510-470D-4414-9535-C8F17CD28789}"/>
    <cellStyle name="Normal 2 5 4 3 2 4" xfId="26244" xr:uid="{ED391107-0243-4826-B0FC-8CC112A71CE5}"/>
    <cellStyle name="Normal 2 5 4 3 2 5" xfId="17803" xr:uid="{C69FE4D2-AE78-4E54-9504-917AA31CCA92}"/>
    <cellStyle name="Normal 2 5 4 3 2 6" xfId="9355" xr:uid="{6549F5FF-F38F-4F9C-9130-00A5A88F7B01}"/>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33020" xr:uid="{80CE1024-C36B-4782-98FD-3CF8DCD00D76}"/>
    <cellStyle name="Normal 2 5 4 3 3 2 2 3" xfId="24579" xr:uid="{95EB71E9-5189-4556-877C-78FF225F6193}"/>
    <cellStyle name="Normal 2 5 4 3 3 2 2 4" xfId="16131" xr:uid="{4B092826-0816-4727-89E0-1C498CF182DA}"/>
    <cellStyle name="Normal 2 5 4 3 3 2 3" xfId="28802" xr:uid="{E0C56C06-374B-4853-BD47-066D0E2AF9A8}"/>
    <cellStyle name="Normal 2 5 4 3 3 2 4" xfId="20361" xr:uid="{7A445815-27C5-4364-A467-667A2E46EF03}"/>
    <cellStyle name="Normal 2 5 4 3 3 2 5" xfId="11913" xr:uid="{597AECAA-329D-44BC-8D9B-BDB04663AE88}"/>
    <cellStyle name="Normal 2 5 4 3 3 3" xfId="5536" xr:uid="{00000000-0005-0000-0000-000046110000}"/>
    <cellStyle name="Normal 2 5 4 3 3 3 2" xfId="30875" xr:uid="{02482A1A-D269-4ACA-8F58-3A0B46F8BCB4}"/>
    <cellStyle name="Normal 2 5 4 3 3 3 3" xfId="22434" xr:uid="{A63B3AEF-1EC9-465C-9A8F-88097D400FBD}"/>
    <cellStyle name="Normal 2 5 4 3 3 3 4" xfId="13986" xr:uid="{B2F7065C-6B78-4E45-8C10-54D97292B407}"/>
    <cellStyle name="Normal 2 5 4 3 3 4" xfId="26657" xr:uid="{392524AB-A8AD-4508-8AC4-2E3862AA0122}"/>
    <cellStyle name="Normal 2 5 4 3 3 5" xfId="18216" xr:uid="{2262AB00-0D1B-4736-9941-675AF84E80EF}"/>
    <cellStyle name="Normal 2 5 4 3 3 6" xfId="9768" xr:uid="{19161276-48DB-43D1-8C11-FC87632F317B}"/>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33433" xr:uid="{F06B6F42-CA3E-468D-A886-877CC4AC3AAE}"/>
    <cellStyle name="Normal 2 5 4 3 4 2 2 3" xfId="24992" xr:uid="{36BB3E7E-73D6-4C6D-92DE-9B5EB39BB69F}"/>
    <cellStyle name="Normal 2 5 4 3 4 2 2 4" xfId="16544" xr:uid="{257337A2-999D-4C99-AB6A-9ED5B04002DF}"/>
    <cellStyle name="Normal 2 5 4 3 4 2 3" xfId="29215" xr:uid="{48CAD107-31E1-44BB-80FE-192B69742184}"/>
    <cellStyle name="Normal 2 5 4 3 4 2 4" xfId="20774" xr:uid="{D57623F2-CC7D-49AD-B1DA-8F6B4E629C5C}"/>
    <cellStyle name="Normal 2 5 4 3 4 2 5" xfId="12326" xr:uid="{A210BFB1-FA8E-483A-B52F-DA5A78DC66AA}"/>
    <cellStyle name="Normal 2 5 4 3 4 3" xfId="5949" xr:uid="{00000000-0005-0000-0000-00004A110000}"/>
    <cellStyle name="Normal 2 5 4 3 4 3 2" xfId="31288" xr:uid="{95546A2B-35FC-4E12-A1FC-24FA89C4FC96}"/>
    <cellStyle name="Normal 2 5 4 3 4 3 3" xfId="22847" xr:uid="{2BA06FE9-4E21-459F-BA7A-C3579EC292AC}"/>
    <cellStyle name="Normal 2 5 4 3 4 3 4" xfId="14399" xr:uid="{B4995A3F-081F-4A4F-AFAC-B386FCA82D0D}"/>
    <cellStyle name="Normal 2 5 4 3 4 4" xfId="27070" xr:uid="{1279DE49-64D7-459B-BFAC-641C6262B621}"/>
    <cellStyle name="Normal 2 5 4 3 4 5" xfId="18629" xr:uid="{722766B7-07E7-4824-AAE5-9650E04A9B96}"/>
    <cellStyle name="Normal 2 5 4 3 4 6" xfId="10181" xr:uid="{3640C057-729B-4ECF-8A1B-DE5A89B52ACC}"/>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33846" xr:uid="{2CF2A5BA-903D-46B5-904B-9C6C14FD535E}"/>
    <cellStyle name="Normal 2 5 4 3 5 2 2 3" xfId="25405" xr:uid="{52FC1B28-D112-46AE-BF7D-AA25A7744A07}"/>
    <cellStyle name="Normal 2 5 4 3 5 2 2 4" xfId="16957" xr:uid="{BB0DD33A-FC25-4F7F-909A-89E72E2B2D31}"/>
    <cellStyle name="Normal 2 5 4 3 5 2 3" xfId="29628" xr:uid="{7A1D6FB0-8072-4E87-B435-C596E2EEABF4}"/>
    <cellStyle name="Normal 2 5 4 3 5 2 4" xfId="21187" xr:uid="{9B1A6602-C28A-453B-A7B0-A11E97AE2327}"/>
    <cellStyle name="Normal 2 5 4 3 5 2 5" xfId="12739" xr:uid="{BC4C4ECC-2F48-492A-AF40-D8A777D4A141}"/>
    <cellStyle name="Normal 2 5 4 3 5 3" xfId="6362" xr:uid="{00000000-0005-0000-0000-00004E110000}"/>
    <cellStyle name="Normal 2 5 4 3 5 3 2" xfId="31701" xr:uid="{D9397ECA-7CD5-4FAF-B1CA-C6464BB0B63E}"/>
    <cellStyle name="Normal 2 5 4 3 5 3 3" xfId="23260" xr:uid="{7DAEE35C-9457-424E-A970-7137E78F04A4}"/>
    <cellStyle name="Normal 2 5 4 3 5 3 4" xfId="14812" xr:uid="{F4317C3E-6A7D-417D-9593-6633F0BB6DC3}"/>
    <cellStyle name="Normal 2 5 4 3 5 4" xfId="27483" xr:uid="{6F6498A3-D9A0-4268-8DF0-BA79AB75C3A8}"/>
    <cellStyle name="Normal 2 5 4 3 5 5" xfId="19042" xr:uid="{7FACE3B2-469C-477C-BD5C-555606D9C8A6}"/>
    <cellStyle name="Normal 2 5 4 3 5 6" xfId="10594" xr:uid="{CE4391D3-9167-4D08-A93B-01A334753E1F}"/>
    <cellStyle name="Normal 2 5 4 3 6" xfId="2492" xr:uid="{00000000-0005-0000-0000-00004F110000}"/>
    <cellStyle name="Normal 2 5 4 3 6 2" xfId="6775" xr:uid="{00000000-0005-0000-0000-000050110000}"/>
    <cellStyle name="Normal 2 5 4 3 6 2 2" xfId="32114" xr:uid="{E23E5B15-D53A-4407-80B5-DBEAE97FD7AF}"/>
    <cellStyle name="Normal 2 5 4 3 6 2 3" xfId="23673" xr:uid="{9358EFF0-1694-4D11-94BF-3558E75326A5}"/>
    <cellStyle name="Normal 2 5 4 3 6 2 4" xfId="15225" xr:uid="{A6F2F837-1649-44BF-8066-FA0F4D1A95CF}"/>
    <cellStyle name="Normal 2 5 4 3 6 3" xfId="27896" xr:uid="{64FCB9DB-09AB-4A8A-B4AF-D22597954417}"/>
    <cellStyle name="Normal 2 5 4 3 6 4" xfId="19455" xr:uid="{C0B9AFF1-125E-410B-ADFA-1CB674C64575}"/>
    <cellStyle name="Normal 2 5 4 3 6 5" xfId="11007" xr:uid="{4BA45250-956A-4E71-9048-4A1B1D32ECAE}"/>
    <cellStyle name="Normal 2 5 4 3 7" xfId="4709" xr:uid="{00000000-0005-0000-0000-000051110000}"/>
    <cellStyle name="Normal 2 5 4 3 7 2" xfId="30048" xr:uid="{36D657AC-4D85-4B37-AB48-F0BE1728BC8B}"/>
    <cellStyle name="Normal 2 5 4 3 7 3" xfId="21607" xr:uid="{84F40821-6D09-420F-B6FB-8F1BD6CBE33B}"/>
    <cellStyle name="Normal 2 5 4 3 7 4" xfId="13159" xr:uid="{7B85AF9C-877B-4576-826D-BD133F846BD5}"/>
    <cellStyle name="Normal 2 5 4 3 8" xfId="25830" xr:uid="{A3DEEE63-249C-457A-B9B5-2113110D3AC8}"/>
    <cellStyle name="Normal 2 5 4 3 9" xfId="17389" xr:uid="{BBDA1E55-8A69-4A1D-B8EA-1C1CCE34C481}"/>
    <cellStyle name="Normal 2 5 4 4" xfId="804" xr:uid="{00000000-0005-0000-0000-000052110000}"/>
    <cellStyle name="Normal 2 5 4 4 2" xfId="3043" xr:uid="{00000000-0005-0000-0000-000053110000}"/>
    <cellStyle name="Normal 2 5 4 4 2 2" xfId="7265" xr:uid="{00000000-0005-0000-0000-000054110000}"/>
    <cellStyle name="Normal 2 5 4 4 2 2 2" xfId="32604" xr:uid="{48C8520F-7F20-44E1-804C-64DC8559DC8F}"/>
    <cellStyle name="Normal 2 5 4 4 2 2 3" xfId="24163" xr:uid="{F97C222D-7A07-4BE2-92E0-3D45AC91A00E}"/>
    <cellStyle name="Normal 2 5 4 4 2 2 4" xfId="15715" xr:uid="{C9621574-ACDD-4BC4-B632-456357144992}"/>
    <cellStyle name="Normal 2 5 4 4 2 3" xfId="28386" xr:uid="{3C3CCB11-D289-4C74-A2F4-E67A0C032BF1}"/>
    <cellStyle name="Normal 2 5 4 4 2 4" xfId="19945" xr:uid="{6EE7B3CA-2F19-4694-A436-933178637271}"/>
    <cellStyle name="Normal 2 5 4 4 2 5" xfId="11497" xr:uid="{CA53F5E0-EF9B-4B0E-90A2-DD39F1F2C5DE}"/>
    <cellStyle name="Normal 2 5 4 4 3" xfId="5120" xr:uid="{00000000-0005-0000-0000-000055110000}"/>
    <cellStyle name="Normal 2 5 4 4 3 2" xfId="30459" xr:uid="{A81308A8-B588-448F-A884-116EC5025E45}"/>
    <cellStyle name="Normal 2 5 4 4 3 3" xfId="22018" xr:uid="{7C44A918-9B3D-4CA2-B400-CBD0D8EA39F7}"/>
    <cellStyle name="Normal 2 5 4 4 3 4" xfId="13570" xr:uid="{7DDAA905-12A4-48EA-A86E-5238A89DDCD3}"/>
    <cellStyle name="Normal 2 5 4 4 4" xfId="26241" xr:uid="{0E49D312-B9C6-4913-911D-F0A10932E0C8}"/>
    <cellStyle name="Normal 2 5 4 4 5" xfId="17800" xr:uid="{3D0364C1-BCAC-4078-BCFD-BFC3B372F203}"/>
    <cellStyle name="Normal 2 5 4 4 6" xfId="9352" xr:uid="{BF0EA426-163E-40BA-84A4-2A094D7AFFC7}"/>
    <cellStyle name="Normal 2 5 4 5" xfId="1226" xr:uid="{00000000-0005-0000-0000-000056110000}"/>
    <cellStyle name="Normal 2 5 4 5 2" xfId="3456" xr:uid="{00000000-0005-0000-0000-000057110000}"/>
    <cellStyle name="Normal 2 5 4 5 2 2" xfId="7678" xr:uid="{00000000-0005-0000-0000-000058110000}"/>
    <cellStyle name="Normal 2 5 4 5 2 2 2" xfId="33017" xr:uid="{6D8F01B8-79AE-41A5-8D5C-310D931B7B5D}"/>
    <cellStyle name="Normal 2 5 4 5 2 2 3" xfId="24576" xr:uid="{3ECDAD3C-3CAA-4987-BA04-A7D71F0CCBF0}"/>
    <cellStyle name="Normal 2 5 4 5 2 2 4" xfId="16128" xr:uid="{095E3071-3CF7-4D5E-8204-1B300D2841B1}"/>
    <cellStyle name="Normal 2 5 4 5 2 3" xfId="28799" xr:uid="{440C20C6-CFF6-423B-B2C6-E75498B3B8B5}"/>
    <cellStyle name="Normal 2 5 4 5 2 4" xfId="20358" xr:uid="{F515508A-52CE-41B6-B726-8309C3F57431}"/>
    <cellStyle name="Normal 2 5 4 5 2 5" xfId="11910" xr:uid="{42DA8D27-4588-4D79-B5B6-CDC87C853F0F}"/>
    <cellStyle name="Normal 2 5 4 5 3" xfId="5533" xr:uid="{00000000-0005-0000-0000-000059110000}"/>
    <cellStyle name="Normal 2 5 4 5 3 2" xfId="30872" xr:uid="{0EFD33F2-E53E-490A-85B1-8CD3AAA3295E}"/>
    <cellStyle name="Normal 2 5 4 5 3 3" xfId="22431" xr:uid="{970E022E-242D-476A-A6D8-7713FF97037E}"/>
    <cellStyle name="Normal 2 5 4 5 3 4" xfId="13983" xr:uid="{0F42A20F-2620-4644-AB4F-94B709EDFDCD}"/>
    <cellStyle name="Normal 2 5 4 5 4" xfId="26654" xr:uid="{B85E059B-7716-4319-8D16-08D90169C2AA}"/>
    <cellStyle name="Normal 2 5 4 5 5" xfId="18213" xr:uid="{8E03034B-60BC-4BAC-A7D6-4415FAEBC338}"/>
    <cellStyle name="Normal 2 5 4 5 6" xfId="9765" xr:uid="{EFDE4613-AB7B-4D3F-961C-472F5038C559}"/>
    <cellStyle name="Normal 2 5 4 6" xfId="1639" xr:uid="{00000000-0005-0000-0000-00005A110000}"/>
    <cellStyle name="Normal 2 5 4 6 2" xfId="3869" xr:uid="{00000000-0005-0000-0000-00005B110000}"/>
    <cellStyle name="Normal 2 5 4 6 2 2" xfId="8091" xr:uid="{00000000-0005-0000-0000-00005C110000}"/>
    <cellStyle name="Normal 2 5 4 6 2 2 2" xfId="33430" xr:uid="{F48EC458-86D0-4969-9C13-403251578659}"/>
    <cellStyle name="Normal 2 5 4 6 2 2 3" xfId="24989" xr:uid="{33B677ED-5E6F-4AB4-870D-58D29069178C}"/>
    <cellStyle name="Normal 2 5 4 6 2 2 4" xfId="16541" xr:uid="{72614984-243D-4B7F-B2C3-848EFD4AE126}"/>
    <cellStyle name="Normal 2 5 4 6 2 3" xfId="29212" xr:uid="{2E3426A2-9079-4992-8777-CCDC71812A24}"/>
    <cellStyle name="Normal 2 5 4 6 2 4" xfId="20771" xr:uid="{2B2D6C46-8552-4128-9FE3-91B1FB319649}"/>
    <cellStyle name="Normal 2 5 4 6 2 5" xfId="12323" xr:uid="{C63998E8-1907-4A7C-8500-C95C60F784F8}"/>
    <cellStyle name="Normal 2 5 4 6 3" xfId="5946" xr:uid="{00000000-0005-0000-0000-00005D110000}"/>
    <cellStyle name="Normal 2 5 4 6 3 2" xfId="31285" xr:uid="{87C1DDDF-C92F-4560-8301-3ED50A17250A}"/>
    <cellStyle name="Normal 2 5 4 6 3 3" xfId="22844" xr:uid="{BB7A6466-3539-4975-9D36-DB29E02FFD93}"/>
    <cellStyle name="Normal 2 5 4 6 3 4" xfId="14396" xr:uid="{7D183FE4-05FA-44E2-A591-0C5F4D0125CF}"/>
    <cellStyle name="Normal 2 5 4 6 4" xfId="27067" xr:uid="{2C58E3A6-6FC9-4CB6-B6A6-E93B234B6908}"/>
    <cellStyle name="Normal 2 5 4 6 5" xfId="18626" xr:uid="{6CC812DB-527A-467B-810F-8A04BF09F068}"/>
    <cellStyle name="Normal 2 5 4 6 6" xfId="10178" xr:uid="{46E1B4C2-1A66-45C3-8B4F-456D696FC5AC}"/>
    <cellStyle name="Normal 2 5 4 7" xfId="2053" xr:uid="{00000000-0005-0000-0000-00005E110000}"/>
    <cellStyle name="Normal 2 5 4 7 2" xfId="4282" xr:uid="{00000000-0005-0000-0000-00005F110000}"/>
    <cellStyle name="Normal 2 5 4 7 2 2" xfId="8504" xr:uid="{00000000-0005-0000-0000-000060110000}"/>
    <cellStyle name="Normal 2 5 4 7 2 2 2" xfId="33843" xr:uid="{A54FE8F9-57E2-492F-BC60-24FB099FFCD9}"/>
    <cellStyle name="Normal 2 5 4 7 2 2 3" xfId="25402" xr:uid="{ADC6D8B7-4FB9-444D-B30B-28736C9C2C7C}"/>
    <cellStyle name="Normal 2 5 4 7 2 2 4" xfId="16954" xr:uid="{C334F7C5-4AF5-41AE-BA93-45BCCF3AF4F7}"/>
    <cellStyle name="Normal 2 5 4 7 2 3" xfId="29625" xr:uid="{EEA40702-8578-4C00-9009-8A34C665BD78}"/>
    <cellStyle name="Normal 2 5 4 7 2 4" xfId="21184" xr:uid="{61D3BB06-3EA3-4236-AD75-F305ADDADF6F}"/>
    <cellStyle name="Normal 2 5 4 7 2 5" xfId="12736" xr:uid="{ED25AD7D-8D3F-4AF1-A1B5-79B587AC240E}"/>
    <cellStyle name="Normal 2 5 4 7 3" xfId="6359" xr:uid="{00000000-0005-0000-0000-000061110000}"/>
    <cellStyle name="Normal 2 5 4 7 3 2" xfId="31698" xr:uid="{8D4F5001-4686-4163-85A0-16C22E0E282A}"/>
    <cellStyle name="Normal 2 5 4 7 3 3" xfId="23257" xr:uid="{3CA86A9F-DB4B-41B3-BCE0-B2B9349D0B00}"/>
    <cellStyle name="Normal 2 5 4 7 3 4" xfId="14809" xr:uid="{27F55734-209C-494C-82DF-92C0D29A3588}"/>
    <cellStyle name="Normal 2 5 4 7 4" xfId="27480" xr:uid="{47596C76-3B35-48D2-9445-4FEBF63D9E73}"/>
    <cellStyle name="Normal 2 5 4 7 5" xfId="19039" xr:uid="{18EC4315-9E50-4E68-BA12-F12A28519301}"/>
    <cellStyle name="Normal 2 5 4 7 6" xfId="10591" xr:uid="{D16489EF-6CD1-4B6D-9E38-7CBE909C5C1C}"/>
    <cellStyle name="Normal 2 5 4 8" xfId="2489" xr:uid="{00000000-0005-0000-0000-000062110000}"/>
    <cellStyle name="Normal 2 5 4 8 2" xfId="6772" xr:uid="{00000000-0005-0000-0000-000063110000}"/>
    <cellStyle name="Normal 2 5 4 8 2 2" xfId="32111" xr:uid="{6BFC194C-D89B-4753-822F-8F091E99F9D6}"/>
    <cellStyle name="Normal 2 5 4 8 2 3" xfId="23670" xr:uid="{9787E977-8C71-420D-98BC-8CDD9080C167}"/>
    <cellStyle name="Normal 2 5 4 8 2 4" xfId="15222" xr:uid="{80992DB2-0553-45CB-AB77-950BE8039785}"/>
    <cellStyle name="Normal 2 5 4 8 3" xfId="27893" xr:uid="{C27350EF-FF02-4E97-B30D-68AE25251F58}"/>
    <cellStyle name="Normal 2 5 4 8 4" xfId="19452" xr:uid="{04297672-6CC4-41A3-B9D8-BA705BE91268}"/>
    <cellStyle name="Normal 2 5 4 8 5" xfId="11004" xr:uid="{8106F222-126D-4AB1-B181-FD614E8D491D}"/>
    <cellStyle name="Normal 2 5 4 9" xfId="4706" xr:uid="{00000000-0005-0000-0000-000064110000}"/>
    <cellStyle name="Normal 2 5 4 9 2" xfId="30045" xr:uid="{600C7D6B-90B1-4CFF-AC55-E9D1E1C6C3CB}"/>
    <cellStyle name="Normal 2 5 4 9 3" xfId="21604" xr:uid="{21A1A90E-2D8A-455B-AF36-184D901479A4}"/>
    <cellStyle name="Normal 2 5 4 9 4" xfId="13156" xr:uid="{36434F61-4B8B-41FF-BA96-540FC3989AA0}"/>
    <cellStyle name="Normal 2 5 5" xfId="803" xr:uid="{00000000-0005-0000-0000-000065110000}"/>
    <cellStyle name="Normal 2 5 5 2" xfId="3042" xr:uid="{00000000-0005-0000-0000-000066110000}"/>
    <cellStyle name="Normal 2 5 5 2 2" xfId="7264" xr:uid="{00000000-0005-0000-0000-000067110000}"/>
    <cellStyle name="Normal 2 5 5 2 2 2" xfId="32603" xr:uid="{7DB1D8B3-ED0E-4C07-A549-CFF61D041CF8}"/>
    <cellStyle name="Normal 2 5 5 2 2 3" xfId="24162" xr:uid="{46D9C6FE-5787-47B7-A137-A419F467C335}"/>
    <cellStyle name="Normal 2 5 5 2 2 4" xfId="15714" xr:uid="{9C243675-9447-4C18-8DD1-1245510038D8}"/>
    <cellStyle name="Normal 2 5 5 2 3" xfId="28385" xr:uid="{FDAAFB00-4BC3-415A-82F5-BE21EBD0AA41}"/>
    <cellStyle name="Normal 2 5 5 2 4" xfId="19944" xr:uid="{D147C226-9D09-4B83-BD11-E6584430A8AD}"/>
    <cellStyle name="Normal 2 5 5 2 5" xfId="11496" xr:uid="{6DD182B8-FF7D-40DF-AED1-438A02AF8E0D}"/>
    <cellStyle name="Normal 2 5 5 3" xfId="5119" xr:uid="{00000000-0005-0000-0000-000068110000}"/>
    <cellStyle name="Normal 2 5 5 3 2" xfId="30458" xr:uid="{8D735F5F-FCEF-426C-AE29-EC140A14598B}"/>
    <cellStyle name="Normal 2 5 5 3 3" xfId="22017" xr:uid="{868DCCA8-774A-49ED-8467-6BC5DF4F1295}"/>
    <cellStyle name="Normal 2 5 5 3 4" xfId="13569" xr:uid="{E23C4638-C396-4265-8858-7F8E6F415A40}"/>
    <cellStyle name="Normal 2 5 5 4" xfId="26240" xr:uid="{3E300B0E-DA15-4E49-A18F-82586D07C113}"/>
    <cellStyle name="Normal 2 5 5 5" xfId="17799" xr:uid="{634BE9CC-8F7E-48F1-B8C9-370EA8EC63DD}"/>
    <cellStyle name="Normal 2 5 5 6" xfId="9351" xr:uid="{95F15BAA-712F-4E16-B8AA-92171E143E39}"/>
    <cellStyle name="Normal 2 5 6" xfId="1225" xr:uid="{00000000-0005-0000-0000-000069110000}"/>
    <cellStyle name="Normal 2 5 6 2" xfId="3455" xr:uid="{00000000-0005-0000-0000-00006A110000}"/>
    <cellStyle name="Normal 2 5 6 2 2" xfId="7677" xr:uid="{00000000-0005-0000-0000-00006B110000}"/>
    <cellStyle name="Normal 2 5 6 2 2 2" xfId="33016" xr:uid="{ACC5ECF1-B195-4D34-BD6C-763FD0B7921D}"/>
    <cellStyle name="Normal 2 5 6 2 2 3" xfId="24575" xr:uid="{FF0C36D1-7D1B-4DE1-AA1B-2B82761E1133}"/>
    <cellStyle name="Normal 2 5 6 2 2 4" xfId="16127" xr:uid="{83AC23E0-CD2A-444A-AE0D-40C76A64F52E}"/>
    <cellStyle name="Normal 2 5 6 2 3" xfId="28798" xr:uid="{CEEB5C2F-CCEC-4CD5-8189-5314ECACBF2E}"/>
    <cellStyle name="Normal 2 5 6 2 4" xfId="20357" xr:uid="{D8FB5A37-925E-4BED-A92C-5432A1A2D27A}"/>
    <cellStyle name="Normal 2 5 6 2 5" xfId="11909" xr:uid="{79EA99D7-104D-4C4C-BC51-E2858D65F82D}"/>
    <cellStyle name="Normal 2 5 6 3" xfId="5532" xr:uid="{00000000-0005-0000-0000-00006C110000}"/>
    <cellStyle name="Normal 2 5 6 3 2" xfId="30871" xr:uid="{88F7341C-FADE-41F4-81DB-552A1CD9291B}"/>
    <cellStyle name="Normal 2 5 6 3 3" xfId="22430" xr:uid="{F0ADAC46-D865-4ACF-9E86-06EEC191EB0A}"/>
    <cellStyle name="Normal 2 5 6 3 4" xfId="13982" xr:uid="{8F7A66F3-CC52-4F15-8E55-87B0F675A4CB}"/>
    <cellStyle name="Normal 2 5 6 4" xfId="26653" xr:uid="{5206CC34-CD9C-41DA-AA97-D9B55E1E3DE8}"/>
    <cellStyle name="Normal 2 5 6 5" xfId="18212" xr:uid="{73C0961B-FC59-4AE0-844C-724FDF02BE88}"/>
    <cellStyle name="Normal 2 5 6 6" xfId="9764" xr:uid="{203D4DE4-CCF5-4BDB-A4A1-3D879348B055}"/>
    <cellStyle name="Normal 2 5 7" xfId="1638" xr:uid="{00000000-0005-0000-0000-00006D110000}"/>
    <cellStyle name="Normal 2 5 7 2" xfId="3868" xr:uid="{00000000-0005-0000-0000-00006E110000}"/>
    <cellStyle name="Normal 2 5 7 2 2" xfId="8090" xr:uid="{00000000-0005-0000-0000-00006F110000}"/>
    <cellStyle name="Normal 2 5 7 2 2 2" xfId="33429" xr:uid="{3650C6AF-175D-4553-8428-69D42DAD4E52}"/>
    <cellStyle name="Normal 2 5 7 2 2 3" xfId="24988" xr:uid="{F49D50A7-37D9-4E31-893C-2A2FF150813D}"/>
    <cellStyle name="Normal 2 5 7 2 2 4" xfId="16540" xr:uid="{375CEF3E-80D3-45DA-BEA6-F01CF92333C4}"/>
    <cellStyle name="Normal 2 5 7 2 3" xfId="29211" xr:uid="{2010F55D-9B6E-434C-B40A-0F0DA54F6E9B}"/>
    <cellStyle name="Normal 2 5 7 2 4" xfId="20770" xr:uid="{F11A824E-1540-44E3-B6E0-3C216950FD33}"/>
    <cellStyle name="Normal 2 5 7 2 5" xfId="12322" xr:uid="{98090625-1E4D-43A5-9AB6-2BC754C665F6}"/>
    <cellStyle name="Normal 2 5 7 3" xfId="5945" xr:uid="{00000000-0005-0000-0000-000070110000}"/>
    <cellStyle name="Normal 2 5 7 3 2" xfId="31284" xr:uid="{497CC091-65D1-4814-B0EB-429CD784637E}"/>
    <cellStyle name="Normal 2 5 7 3 3" xfId="22843" xr:uid="{172DB457-2B88-482F-9A6D-7FD4588FD0D3}"/>
    <cellStyle name="Normal 2 5 7 3 4" xfId="14395" xr:uid="{39AC3A3A-D087-4288-8CFA-0666026F2055}"/>
    <cellStyle name="Normal 2 5 7 4" xfId="27066" xr:uid="{CCF78874-4D55-45C7-974C-0CFC68371B37}"/>
    <cellStyle name="Normal 2 5 7 5" xfId="18625" xr:uid="{AC325805-7F40-422E-AFD2-7EDAA885A8E4}"/>
    <cellStyle name="Normal 2 5 7 6" xfId="10177" xr:uid="{99129620-A85A-49B8-8EA7-9D17AABB1563}"/>
    <cellStyle name="Normal 2 5 8" xfId="2052" xr:uid="{00000000-0005-0000-0000-000071110000}"/>
    <cellStyle name="Normal 2 5 8 2" xfId="4281" xr:uid="{00000000-0005-0000-0000-000072110000}"/>
    <cellStyle name="Normal 2 5 8 2 2" xfId="8503" xr:uid="{00000000-0005-0000-0000-000073110000}"/>
    <cellStyle name="Normal 2 5 8 2 2 2" xfId="33842" xr:uid="{5C4CF1D6-F2ED-4D61-85A1-D834829AADD8}"/>
    <cellStyle name="Normal 2 5 8 2 2 3" xfId="25401" xr:uid="{40C04E62-193D-40B1-BEED-BBC62C414689}"/>
    <cellStyle name="Normal 2 5 8 2 2 4" xfId="16953" xr:uid="{99D82D13-E9D5-416E-976B-6461F236380B}"/>
    <cellStyle name="Normal 2 5 8 2 3" xfId="29624" xr:uid="{56A4FC38-434E-44EF-8E4C-A52141DEBD5E}"/>
    <cellStyle name="Normal 2 5 8 2 4" xfId="21183" xr:uid="{67B84520-046D-4E97-A0D1-2A252DCAE825}"/>
    <cellStyle name="Normal 2 5 8 2 5" xfId="12735" xr:uid="{5FDA1752-F24F-463D-8B4C-7ADBD7C4C05C}"/>
    <cellStyle name="Normal 2 5 8 3" xfId="6358" xr:uid="{00000000-0005-0000-0000-000074110000}"/>
    <cellStyle name="Normal 2 5 8 3 2" xfId="31697" xr:uid="{5CE0C791-747C-479D-8B44-FF047EF01CB5}"/>
    <cellStyle name="Normal 2 5 8 3 3" xfId="23256" xr:uid="{2F48480E-BDD9-4973-A6B9-73B1519AE81D}"/>
    <cellStyle name="Normal 2 5 8 3 4" xfId="14808" xr:uid="{937D176F-DF61-4A58-BCBD-85902A94F807}"/>
    <cellStyle name="Normal 2 5 8 4" xfId="27479" xr:uid="{5F59D0BA-4B3F-4726-9CEB-2CA8EA468F54}"/>
    <cellStyle name="Normal 2 5 8 5" xfId="19038" xr:uid="{6B7971AF-1E11-4EB2-9C28-2E49137ED253}"/>
    <cellStyle name="Normal 2 5 8 6" xfId="10590" xr:uid="{FE126B30-3409-49D5-9976-BECBB5146A53}"/>
    <cellStyle name="Normal 2 5 9" xfId="2488" xr:uid="{00000000-0005-0000-0000-000075110000}"/>
    <cellStyle name="Normal 2 5 9 2" xfId="6771" xr:uid="{00000000-0005-0000-0000-000076110000}"/>
    <cellStyle name="Normal 2 5 9 2 2" xfId="32110" xr:uid="{DF577E6F-824D-4FAA-B0AE-062AA5F14ECF}"/>
    <cellStyle name="Normal 2 5 9 2 3" xfId="23669" xr:uid="{9411BE5D-9C9E-4CA9-B604-FB2A6AF84A73}"/>
    <cellStyle name="Normal 2 5 9 2 4" xfId="15221" xr:uid="{7D362BB5-229C-4E28-9DB4-4F97A0748A90}"/>
    <cellStyle name="Normal 2 5 9 3" xfId="27892" xr:uid="{530C502E-F51B-4257-939C-19EC35EC187D}"/>
    <cellStyle name="Normal 2 5 9 4" xfId="19451" xr:uid="{78B5FA93-98AD-4BD5-9F14-7C5A10B3EC44}"/>
    <cellStyle name="Normal 2 5 9 5" xfId="11003" xr:uid="{BAE9A034-2A4D-402D-99BE-44BEF1624553}"/>
    <cellStyle name="Normal 2 6" xfId="322" xr:uid="{00000000-0005-0000-0000-000077110000}"/>
    <cellStyle name="Normal 2 7" xfId="769" xr:uid="{00000000-0005-0000-0000-000078110000}"/>
    <cellStyle name="Normal 2 8" xfId="4495" xr:uid="{00000000-0005-0000-0000-000079110000}"/>
    <cellStyle name="Normal 2 8 2" xfId="29836" xr:uid="{E497D8B6-6D25-4141-A510-5C30889FFA05}"/>
    <cellStyle name="Normal 2 8 3" xfId="21395" xr:uid="{0B3A67E5-2FFC-4731-8A29-98A9687BFBC4}"/>
    <cellStyle name="Normal 2 8 4" xfId="12947" xr:uid="{BF8B76AD-9634-4F65-8C3A-F073AC181F15}"/>
    <cellStyle name="Normal 3" xfId="323" xr:uid="{00000000-0005-0000-0000-00007A110000}"/>
    <cellStyle name="Normal 3 2" xfId="324" xr:uid="{00000000-0005-0000-0000-00007B110000}"/>
    <cellStyle name="Normal 3 2 10" xfId="25831" xr:uid="{FAB4EC84-1305-49DF-BF75-F4C869388AA9}"/>
    <cellStyle name="Normal 3 2 11" xfId="17390" xr:uid="{AFB45A6E-D809-4F1B-9C6C-E949CA01EEC5}"/>
    <cellStyle name="Normal 3 2 12" xfId="8942" xr:uid="{9A310518-30C5-4CD8-AE70-196E64827F8D}"/>
    <cellStyle name="Normal 3 2 2" xfId="325" xr:uid="{00000000-0005-0000-0000-00007C110000}"/>
    <cellStyle name="Normal 3 2 2 2" xfId="810" xr:uid="{00000000-0005-0000-0000-00007D110000}"/>
    <cellStyle name="Normal 3 2 3" xfId="326" xr:uid="{00000000-0005-0000-0000-00007E110000}"/>
    <cellStyle name="Normal 3 2 3 10" xfId="25832" xr:uid="{2E267ED9-7CF0-4F2D-9B26-EF23247F648D}"/>
    <cellStyle name="Normal 3 2 3 11" xfId="17391" xr:uid="{EFE1DB31-07EC-4E5F-805D-C40D245D29E7}"/>
    <cellStyle name="Normal 3 2 3 12" xfId="8943" xr:uid="{7416E149-E7D3-4921-837D-4F29B1FDA0C9}"/>
    <cellStyle name="Normal 3 2 3 2" xfId="327" xr:uid="{00000000-0005-0000-0000-00007F110000}"/>
    <cellStyle name="Normal 3 2 3 2 10" xfId="17392" xr:uid="{14F49FE9-5CCC-4299-B2EE-D1FF6AB9FC11}"/>
    <cellStyle name="Normal 3 2 3 2 11" xfId="8944" xr:uid="{286F73CC-A273-484B-A6EC-11E7A9B306D8}"/>
    <cellStyle name="Normal 3 2 3 2 2" xfId="328" xr:uid="{00000000-0005-0000-0000-000080110000}"/>
    <cellStyle name="Normal 3 2 3 2 2 10" xfId="8945" xr:uid="{5E4A698A-8861-4DD3-8242-AD7F87DB9D91}"/>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32611" xr:uid="{A9809B7A-6711-4F06-A126-13FE3B0EBB91}"/>
    <cellStyle name="Normal 3 2 3 2 2 2 2 2 3" xfId="24170" xr:uid="{363F42EE-E63C-414C-BA69-962CF74C0143}"/>
    <cellStyle name="Normal 3 2 3 2 2 2 2 2 4" xfId="15722" xr:uid="{5B161DDB-F45A-47C7-ABB8-797B294AF4CA}"/>
    <cellStyle name="Normal 3 2 3 2 2 2 2 3" xfId="28393" xr:uid="{881A47E4-4F0B-4A96-A98D-C085C00C68B1}"/>
    <cellStyle name="Normal 3 2 3 2 2 2 2 4" xfId="19952" xr:uid="{76A926E9-6573-4E82-9FB1-BBE15F7B9061}"/>
    <cellStyle name="Normal 3 2 3 2 2 2 2 5" xfId="11504" xr:uid="{E2A2DFE3-FC01-4F3E-8293-16C3A4B801A7}"/>
    <cellStyle name="Normal 3 2 3 2 2 2 3" xfId="5127" xr:uid="{00000000-0005-0000-0000-000084110000}"/>
    <cellStyle name="Normal 3 2 3 2 2 2 3 2" xfId="30466" xr:uid="{F1F857F3-5EF8-40B7-9B69-025542C0C0C3}"/>
    <cellStyle name="Normal 3 2 3 2 2 2 3 3" xfId="22025" xr:uid="{4B1D5657-B882-430F-A3F0-5367864D78EF}"/>
    <cellStyle name="Normal 3 2 3 2 2 2 3 4" xfId="13577" xr:uid="{59EE1333-83AD-4462-ACCC-6607A229FCB0}"/>
    <cellStyle name="Normal 3 2 3 2 2 2 4" xfId="26248" xr:uid="{6BEBB43B-712E-44EE-863E-223A4894650C}"/>
    <cellStyle name="Normal 3 2 3 2 2 2 5" xfId="17807" xr:uid="{2D662AF1-99C8-4DB0-96A9-634F9636E1ED}"/>
    <cellStyle name="Normal 3 2 3 2 2 2 6" xfId="9359" xr:uid="{BB4CC881-2382-4F90-986B-8851A535D274}"/>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33024" xr:uid="{116068DC-4CED-4C17-99EE-D75F27D4445F}"/>
    <cellStyle name="Normal 3 2 3 2 2 3 2 2 3" xfId="24583" xr:uid="{AA4037A8-567D-4C7E-BB75-6BC21789B2EE}"/>
    <cellStyle name="Normal 3 2 3 2 2 3 2 2 4" xfId="16135" xr:uid="{4E69A9DF-2766-4D1F-97D4-04CF88BB3191}"/>
    <cellStyle name="Normal 3 2 3 2 2 3 2 3" xfId="28806" xr:uid="{9B6EAF9B-18B5-46A8-A3A4-2CCE280C8A21}"/>
    <cellStyle name="Normal 3 2 3 2 2 3 2 4" xfId="20365" xr:uid="{E6739458-7DEB-4676-97A3-6F1A1302C5CE}"/>
    <cellStyle name="Normal 3 2 3 2 2 3 2 5" xfId="11917" xr:uid="{6DC7EEB3-865B-4A45-8363-43AE52058DA9}"/>
    <cellStyle name="Normal 3 2 3 2 2 3 3" xfId="5540" xr:uid="{00000000-0005-0000-0000-000088110000}"/>
    <cellStyle name="Normal 3 2 3 2 2 3 3 2" xfId="30879" xr:uid="{5849C65D-4EF9-406E-A60E-4E7A4FEEF7A1}"/>
    <cellStyle name="Normal 3 2 3 2 2 3 3 3" xfId="22438" xr:uid="{6EED212D-D455-4851-95A6-62B706CFEA97}"/>
    <cellStyle name="Normal 3 2 3 2 2 3 3 4" xfId="13990" xr:uid="{8422FD74-6E7B-4F09-9C22-07F093EAC569}"/>
    <cellStyle name="Normal 3 2 3 2 2 3 4" xfId="26661" xr:uid="{AFC62A11-D6E6-4290-BA3E-47BDE5A80B6B}"/>
    <cellStyle name="Normal 3 2 3 2 2 3 5" xfId="18220" xr:uid="{0776A670-F853-41DA-90C3-A395DE530119}"/>
    <cellStyle name="Normal 3 2 3 2 2 3 6" xfId="9772" xr:uid="{68D0503F-CBCB-4BAD-9FDF-27712E62CC26}"/>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33437" xr:uid="{DEC01E86-D704-4333-871F-EC6217C052A9}"/>
    <cellStyle name="Normal 3 2 3 2 2 4 2 2 3" xfId="24996" xr:uid="{392D3AA7-E4B9-4829-91EC-2D24CD01A25A}"/>
    <cellStyle name="Normal 3 2 3 2 2 4 2 2 4" xfId="16548" xr:uid="{824D6FA3-D4E2-4BCA-B081-8C3C7D3CD0CD}"/>
    <cellStyle name="Normal 3 2 3 2 2 4 2 3" xfId="29219" xr:uid="{D35794D0-9D60-419D-83C8-94FD23193D01}"/>
    <cellStyle name="Normal 3 2 3 2 2 4 2 4" xfId="20778" xr:uid="{731BA7BD-D592-4E07-A48A-B19469E50425}"/>
    <cellStyle name="Normal 3 2 3 2 2 4 2 5" xfId="12330" xr:uid="{17409949-CCF7-4666-B5BF-75FE7906429C}"/>
    <cellStyle name="Normal 3 2 3 2 2 4 3" xfId="5953" xr:uid="{00000000-0005-0000-0000-00008C110000}"/>
    <cellStyle name="Normal 3 2 3 2 2 4 3 2" xfId="31292" xr:uid="{32123C48-D928-4A1E-8CF4-EA47953D4CA9}"/>
    <cellStyle name="Normal 3 2 3 2 2 4 3 3" xfId="22851" xr:uid="{3EE1731F-F5B7-4D6F-90D0-6588C7C2CA45}"/>
    <cellStyle name="Normal 3 2 3 2 2 4 3 4" xfId="14403" xr:uid="{EA815A1E-BE8F-40B6-8FF3-4E2D4D8E67B7}"/>
    <cellStyle name="Normal 3 2 3 2 2 4 4" xfId="27074" xr:uid="{2DF8391F-7A9C-493D-89CD-15F77C7C145A}"/>
    <cellStyle name="Normal 3 2 3 2 2 4 5" xfId="18633" xr:uid="{9F11F3AD-A82D-4651-930E-0CA9E55E611A}"/>
    <cellStyle name="Normal 3 2 3 2 2 4 6" xfId="10185" xr:uid="{95863725-26F8-40B7-B60D-3D2E107C0A0E}"/>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33850" xr:uid="{B99515EC-07EE-4FF8-B283-41209FE94338}"/>
    <cellStyle name="Normal 3 2 3 2 2 5 2 2 3" xfId="25409" xr:uid="{4DFEA937-B1BB-487C-A899-F10CE8BDA62C}"/>
    <cellStyle name="Normal 3 2 3 2 2 5 2 2 4" xfId="16961" xr:uid="{299B3013-7BB1-4851-9B81-4E8078F17D2F}"/>
    <cellStyle name="Normal 3 2 3 2 2 5 2 3" xfId="29632" xr:uid="{2F44894E-77CC-47A1-89C4-08583B691A2B}"/>
    <cellStyle name="Normal 3 2 3 2 2 5 2 4" xfId="21191" xr:uid="{1862A948-7779-4FE9-9FAE-18C08185DA94}"/>
    <cellStyle name="Normal 3 2 3 2 2 5 2 5" xfId="12743" xr:uid="{FE926CF8-4899-425B-8246-B70C89DD9E92}"/>
    <cellStyle name="Normal 3 2 3 2 2 5 3" xfId="6366" xr:uid="{00000000-0005-0000-0000-000090110000}"/>
    <cellStyle name="Normal 3 2 3 2 2 5 3 2" xfId="31705" xr:uid="{3AC6BF79-B821-4DD5-9C5D-E98027881A2F}"/>
    <cellStyle name="Normal 3 2 3 2 2 5 3 3" xfId="23264" xr:uid="{BC8FB897-5032-446B-BCE2-F42B7D0917C1}"/>
    <cellStyle name="Normal 3 2 3 2 2 5 3 4" xfId="14816" xr:uid="{B8A87E60-28DB-48A8-8A82-AE792772F808}"/>
    <cellStyle name="Normal 3 2 3 2 2 5 4" xfId="27487" xr:uid="{4FAE8DB6-7557-4F2C-B4D2-8613158197C8}"/>
    <cellStyle name="Normal 3 2 3 2 2 5 5" xfId="19046" xr:uid="{2AAEE289-700A-4037-9620-6FAD33174C96}"/>
    <cellStyle name="Normal 3 2 3 2 2 5 6" xfId="10598" xr:uid="{3FA4C43D-926D-47F0-A7A1-2D2FBB48BFE0}"/>
    <cellStyle name="Normal 3 2 3 2 2 6" xfId="2496" xr:uid="{00000000-0005-0000-0000-000091110000}"/>
    <cellStyle name="Normal 3 2 3 2 2 6 2" xfId="6779" xr:uid="{00000000-0005-0000-0000-000092110000}"/>
    <cellStyle name="Normal 3 2 3 2 2 6 2 2" xfId="32118" xr:uid="{4D39C3CA-03C0-4DA0-8D03-60E780F3E171}"/>
    <cellStyle name="Normal 3 2 3 2 2 6 2 3" xfId="23677" xr:uid="{E8D951E6-58FB-46C7-8CDA-5DD7C4D768E5}"/>
    <cellStyle name="Normal 3 2 3 2 2 6 2 4" xfId="15229" xr:uid="{6E9BAE38-09AF-4CCD-89EA-004D5F2796E9}"/>
    <cellStyle name="Normal 3 2 3 2 2 6 3" xfId="27900" xr:uid="{60E3D753-EDB9-4DB1-AB59-AE14D8849E59}"/>
    <cellStyle name="Normal 3 2 3 2 2 6 4" xfId="19459" xr:uid="{93AEE6D7-330A-48B7-BACC-2D2EB3ED4C45}"/>
    <cellStyle name="Normal 3 2 3 2 2 6 5" xfId="11011" xr:uid="{E4958CC0-4044-4205-8A15-D7AAE30E045F}"/>
    <cellStyle name="Normal 3 2 3 2 2 7" xfId="4713" xr:uid="{00000000-0005-0000-0000-000093110000}"/>
    <cellStyle name="Normal 3 2 3 2 2 7 2" xfId="30052" xr:uid="{8C665864-BD01-4E99-95EB-D147F95DC622}"/>
    <cellStyle name="Normal 3 2 3 2 2 7 3" xfId="21611" xr:uid="{ADEE0FEB-EDD4-4117-BD10-86ED18FBCDA4}"/>
    <cellStyle name="Normal 3 2 3 2 2 7 4" xfId="13163" xr:uid="{285B70AB-956E-4150-ACBD-25E9BE8D68CF}"/>
    <cellStyle name="Normal 3 2 3 2 2 8" xfId="25834" xr:uid="{FE0439C5-B5AB-428D-91FC-222695E0BF8C}"/>
    <cellStyle name="Normal 3 2 3 2 2 9" xfId="17393" xr:uid="{F6590B30-C15C-4CC2-890B-0E2798848DB8}"/>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32610" xr:uid="{E596DB53-3282-4D8C-8CC8-51BD3DD70E14}"/>
    <cellStyle name="Normal 3 2 3 2 3 2 2 3" xfId="24169" xr:uid="{3CC16C10-7037-46E0-B174-AE90C7BCA2BA}"/>
    <cellStyle name="Normal 3 2 3 2 3 2 2 4" xfId="15721" xr:uid="{8085C158-BF59-40AF-8EB3-9100DE3AF40B}"/>
    <cellStyle name="Normal 3 2 3 2 3 2 3" xfId="28392" xr:uid="{A1FAFFBF-63F8-42EB-8DAD-FC2B078A171D}"/>
    <cellStyle name="Normal 3 2 3 2 3 2 4" xfId="19951" xr:uid="{B2770516-3FD4-4331-8263-6F4AF1A74B9F}"/>
    <cellStyle name="Normal 3 2 3 2 3 2 5" xfId="11503" xr:uid="{53BA1F4E-CA78-4166-94DB-108BB3B462AA}"/>
    <cellStyle name="Normal 3 2 3 2 3 3" xfId="5126" xr:uid="{00000000-0005-0000-0000-000097110000}"/>
    <cellStyle name="Normal 3 2 3 2 3 3 2" xfId="30465" xr:uid="{02B083DC-D177-4B26-A245-24A51D74212D}"/>
    <cellStyle name="Normal 3 2 3 2 3 3 3" xfId="22024" xr:uid="{DE34F783-88C9-4242-9F7D-163840708C97}"/>
    <cellStyle name="Normal 3 2 3 2 3 3 4" xfId="13576" xr:uid="{2CE0D4D9-4A4A-422A-B403-70305B0C917B}"/>
    <cellStyle name="Normal 3 2 3 2 3 4" xfId="26247" xr:uid="{1D602C11-C077-4D0E-9004-181804ED2045}"/>
    <cellStyle name="Normal 3 2 3 2 3 5" xfId="17806" xr:uid="{845DB290-957D-45FD-976C-0B84F4F78432}"/>
    <cellStyle name="Normal 3 2 3 2 3 6" xfId="9358" xr:uid="{0B3BB14E-AD36-4FD2-B2D1-F967B60429E0}"/>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33023" xr:uid="{841FB7A0-C6C3-4E0D-8E38-D0C7E2F01D28}"/>
    <cellStyle name="Normal 3 2 3 2 4 2 2 3" xfId="24582" xr:uid="{3E503E34-818B-4EA1-BEBF-E0E2ED5F7E1A}"/>
    <cellStyle name="Normal 3 2 3 2 4 2 2 4" xfId="16134" xr:uid="{2771F12C-23B9-4054-99D2-261291DCFA69}"/>
    <cellStyle name="Normal 3 2 3 2 4 2 3" xfId="28805" xr:uid="{B3094644-70FC-4090-B4E0-A3E31DE36E3F}"/>
    <cellStyle name="Normal 3 2 3 2 4 2 4" xfId="20364" xr:uid="{528049D4-BAB7-4976-9E2A-4B6A978F2158}"/>
    <cellStyle name="Normal 3 2 3 2 4 2 5" xfId="11916" xr:uid="{C4DF4483-DA2F-4EEC-89D0-7F9C37BF1551}"/>
    <cellStyle name="Normal 3 2 3 2 4 3" xfId="5539" xr:uid="{00000000-0005-0000-0000-00009B110000}"/>
    <cellStyle name="Normal 3 2 3 2 4 3 2" xfId="30878" xr:uid="{B67A4D42-0362-4820-B983-C8C797B72D65}"/>
    <cellStyle name="Normal 3 2 3 2 4 3 3" xfId="22437" xr:uid="{00AA1F41-5274-4D9B-AEA9-B7CCDC22BE00}"/>
    <cellStyle name="Normal 3 2 3 2 4 3 4" xfId="13989" xr:uid="{93540F3C-50BA-411B-B995-88E73A6C5A63}"/>
    <cellStyle name="Normal 3 2 3 2 4 4" xfId="26660" xr:uid="{9357F22B-44D9-483C-81BD-019D2CD9BEBA}"/>
    <cellStyle name="Normal 3 2 3 2 4 5" xfId="18219" xr:uid="{D6F699F4-68AD-4E9A-A2E0-21E38ADE3420}"/>
    <cellStyle name="Normal 3 2 3 2 4 6" xfId="9771" xr:uid="{C6711BBF-41B1-4327-824C-3D920BB7A290}"/>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33436" xr:uid="{5F96EB85-29D9-4682-8D61-EF1C564830E4}"/>
    <cellStyle name="Normal 3 2 3 2 5 2 2 3" xfId="24995" xr:uid="{1967E1A0-4226-44B8-9C13-0DC0DE026B8C}"/>
    <cellStyle name="Normal 3 2 3 2 5 2 2 4" xfId="16547" xr:uid="{D57A0A20-DD92-45D3-8C73-FE02C8135C0A}"/>
    <cellStyle name="Normal 3 2 3 2 5 2 3" xfId="29218" xr:uid="{5F910541-36CF-4E4B-A71C-889072873F45}"/>
    <cellStyle name="Normal 3 2 3 2 5 2 4" xfId="20777" xr:uid="{827B9575-1EA9-4ADF-8E7D-7BDB7D8AD0BD}"/>
    <cellStyle name="Normal 3 2 3 2 5 2 5" xfId="12329" xr:uid="{32CCDBD3-453C-442C-9B7E-5D4E96C62504}"/>
    <cellStyle name="Normal 3 2 3 2 5 3" xfId="5952" xr:uid="{00000000-0005-0000-0000-00009F110000}"/>
    <cellStyle name="Normal 3 2 3 2 5 3 2" xfId="31291" xr:uid="{046269A0-3EE6-44AE-A789-DAEF914481F2}"/>
    <cellStyle name="Normal 3 2 3 2 5 3 3" xfId="22850" xr:uid="{6B109D1C-BD99-41D7-85F6-F625556B4A3B}"/>
    <cellStyle name="Normal 3 2 3 2 5 3 4" xfId="14402" xr:uid="{544C8BC7-EBAC-42B9-BABD-D0376D7C5284}"/>
    <cellStyle name="Normal 3 2 3 2 5 4" xfId="27073" xr:uid="{9D3E3FCF-813E-4257-AACE-D295D5FFA7D4}"/>
    <cellStyle name="Normal 3 2 3 2 5 5" xfId="18632" xr:uid="{10FB1B90-EF93-40FD-8055-FE36C63EEBF7}"/>
    <cellStyle name="Normal 3 2 3 2 5 6" xfId="10184" xr:uid="{5B7A68F5-F5EE-4D08-8177-6DF0C1BC0EF3}"/>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33849" xr:uid="{01487F50-D6E4-4D0E-8BF2-BF3E3452EA7E}"/>
    <cellStyle name="Normal 3 2 3 2 6 2 2 3" xfId="25408" xr:uid="{A9E352B2-299A-4B2E-A091-D7C99E3DABDD}"/>
    <cellStyle name="Normal 3 2 3 2 6 2 2 4" xfId="16960" xr:uid="{963DF1F2-9501-4DCB-A8E7-BF7EDC7B6661}"/>
    <cellStyle name="Normal 3 2 3 2 6 2 3" xfId="29631" xr:uid="{6E5BFFE1-EEBC-4E9B-BDFA-265EA9B256BD}"/>
    <cellStyle name="Normal 3 2 3 2 6 2 4" xfId="21190" xr:uid="{36604392-078E-4418-A3D3-55AFA8169561}"/>
    <cellStyle name="Normal 3 2 3 2 6 2 5" xfId="12742" xr:uid="{9DEA2C64-7064-444C-9AA5-3377C34C7CC1}"/>
    <cellStyle name="Normal 3 2 3 2 6 3" xfId="6365" xr:uid="{00000000-0005-0000-0000-0000A3110000}"/>
    <cellStyle name="Normal 3 2 3 2 6 3 2" xfId="31704" xr:uid="{A9822F76-74C0-46C3-944C-B17D16ED9529}"/>
    <cellStyle name="Normal 3 2 3 2 6 3 3" xfId="23263" xr:uid="{2F47892B-71A8-42B5-89DA-4762EE7637EE}"/>
    <cellStyle name="Normal 3 2 3 2 6 3 4" xfId="14815" xr:uid="{B9820355-A194-4365-A2FC-0A315F2EC9BF}"/>
    <cellStyle name="Normal 3 2 3 2 6 4" xfId="27486" xr:uid="{5DEDB175-D9D0-43B2-9DA9-57F7E097BD85}"/>
    <cellStyle name="Normal 3 2 3 2 6 5" xfId="19045" xr:uid="{6BA0EDD7-E7AD-484F-A4B4-5CB6B087377A}"/>
    <cellStyle name="Normal 3 2 3 2 6 6" xfId="10597" xr:uid="{052463FD-AF62-46C5-BE2B-9F325234B4A6}"/>
    <cellStyle name="Normal 3 2 3 2 7" xfId="2495" xr:uid="{00000000-0005-0000-0000-0000A4110000}"/>
    <cellStyle name="Normal 3 2 3 2 7 2" xfId="6778" xr:uid="{00000000-0005-0000-0000-0000A5110000}"/>
    <cellStyle name="Normal 3 2 3 2 7 2 2" xfId="32117" xr:uid="{C0DC43AB-E198-4324-901E-EEC560EE8020}"/>
    <cellStyle name="Normal 3 2 3 2 7 2 3" xfId="23676" xr:uid="{1DD6FBC6-D9E2-4463-B85D-715AF12ABE63}"/>
    <cellStyle name="Normal 3 2 3 2 7 2 4" xfId="15228" xr:uid="{43EDAD61-BD24-44C6-8D6A-46C7579D4A0C}"/>
    <cellStyle name="Normal 3 2 3 2 7 3" xfId="27899" xr:uid="{5BAC9781-E84C-437C-8CCE-7AB97FD3F18A}"/>
    <cellStyle name="Normal 3 2 3 2 7 4" xfId="19458" xr:uid="{76DB7E66-8E54-4ED7-84B3-B64BA06426CE}"/>
    <cellStyle name="Normal 3 2 3 2 7 5" xfId="11010" xr:uid="{38BDB0D9-994A-4EB9-AE17-4E95C21FACB1}"/>
    <cellStyle name="Normal 3 2 3 2 8" xfId="4712" xr:uid="{00000000-0005-0000-0000-0000A6110000}"/>
    <cellStyle name="Normal 3 2 3 2 8 2" xfId="30051" xr:uid="{FED673C9-06E7-455F-B05A-22502925CBA2}"/>
    <cellStyle name="Normal 3 2 3 2 8 3" xfId="21610" xr:uid="{E16FC2C6-51B8-463F-B5C2-2B6510644072}"/>
    <cellStyle name="Normal 3 2 3 2 8 4" xfId="13162" xr:uid="{FF985081-5220-4A47-9BAC-625F79B1B03D}"/>
    <cellStyle name="Normal 3 2 3 2 9" xfId="25833" xr:uid="{C50F5468-4E0E-4AEA-BBEA-7E2C6A4B7236}"/>
    <cellStyle name="Normal 3 2 3 3" xfId="329" xr:uid="{00000000-0005-0000-0000-0000A7110000}"/>
    <cellStyle name="Normal 3 2 3 3 10" xfId="8946" xr:uid="{E3889CEB-C6B3-414E-8D4A-C61E68A5939D}"/>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32612" xr:uid="{8AEE586E-7D5B-4D9D-B455-C4847F1D3E8F}"/>
    <cellStyle name="Normal 3 2 3 3 2 2 2 3" xfId="24171" xr:uid="{9E5A81A0-ED2E-48D0-823B-DAF998EA96FF}"/>
    <cellStyle name="Normal 3 2 3 3 2 2 2 4" xfId="15723" xr:uid="{7723ED04-4072-4BD5-9643-F068A86F3834}"/>
    <cellStyle name="Normal 3 2 3 3 2 2 3" xfId="28394" xr:uid="{BEF22671-F4BB-47A2-83B6-12FC77E67BCE}"/>
    <cellStyle name="Normal 3 2 3 3 2 2 4" xfId="19953" xr:uid="{5D0539EB-4518-4BB3-96CA-B81A1B17A611}"/>
    <cellStyle name="Normal 3 2 3 3 2 2 5" xfId="11505" xr:uid="{858D8293-3DE1-46A5-B378-952AB35E6471}"/>
    <cellStyle name="Normal 3 2 3 3 2 3" xfId="5128" xr:uid="{00000000-0005-0000-0000-0000AB110000}"/>
    <cellStyle name="Normal 3 2 3 3 2 3 2" xfId="30467" xr:uid="{24456759-ED06-405E-864B-15FCC3A29E57}"/>
    <cellStyle name="Normal 3 2 3 3 2 3 3" xfId="22026" xr:uid="{D1BACFE8-EC31-4E98-83F1-4C18C0C2C56E}"/>
    <cellStyle name="Normal 3 2 3 3 2 3 4" xfId="13578" xr:uid="{DF564469-6895-4F17-BB07-B8E122892BC7}"/>
    <cellStyle name="Normal 3 2 3 3 2 4" xfId="26249" xr:uid="{49B0D3E9-7CBD-4058-8886-C398EF6BCC8E}"/>
    <cellStyle name="Normal 3 2 3 3 2 5" xfId="17808" xr:uid="{DF8394B7-B41C-4FE3-8832-A4A478A40939}"/>
    <cellStyle name="Normal 3 2 3 3 2 6" xfId="9360" xr:uid="{D2CFAEE2-6A7B-4CE2-9584-D3F1B40FE181}"/>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33025" xr:uid="{78FFB3AA-A9E5-46FD-9F38-4ED62FA2BCC0}"/>
    <cellStyle name="Normal 3 2 3 3 3 2 2 3" xfId="24584" xr:uid="{EAC8073F-9DD3-4FF8-97DA-92C8F79FBC1C}"/>
    <cellStyle name="Normal 3 2 3 3 3 2 2 4" xfId="16136" xr:uid="{657377B8-8150-49CD-AA94-97BB3FE63231}"/>
    <cellStyle name="Normal 3 2 3 3 3 2 3" xfId="28807" xr:uid="{1CB993A8-DAC9-4EC0-A21E-4B904E58F9F8}"/>
    <cellStyle name="Normal 3 2 3 3 3 2 4" xfId="20366" xr:uid="{08842EB4-2F0A-4354-8323-87BE4BF56777}"/>
    <cellStyle name="Normal 3 2 3 3 3 2 5" xfId="11918" xr:uid="{8C1B576B-6294-461F-A539-BA605870ED13}"/>
    <cellStyle name="Normal 3 2 3 3 3 3" xfId="5541" xr:uid="{00000000-0005-0000-0000-0000AF110000}"/>
    <cellStyle name="Normal 3 2 3 3 3 3 2" xfId="30880" xr:uid="{7E6B7D64-658B-4835-BACA-E85D542E2814}"/>
    <cellStyle name="Normal 3 2 3 3 3 3 3" xfId="22439" xr:uid="{D2EF3AE5-0182-4070-ADB1-939B49D5F586}"/>
    <cellStyle name="Normal 3 2 3 3 3 3 4" xfId="13991" xr:uid="{6C01EB7B-3E92-4BFC-A1D1-FED71B34D408}"/>
    <cellStyle name="Normal 3 2 3 3 3 4" xfId="26662" xr:uid="{4ECC126E-87EC-4412-910B-28985666BE82}"/>
    <cellStyle name="Normal 3 2 3 3 3 5" xfId="18221" xr:uid="{E60EC226-965A-4555-8D9F-23ABDA6DE81A}"/>
    <cellStyle name="Normal 3 2 3 3 3 6" xfId="9773" xr:uid="{6465FF7E-F798-416F-BDA0-9B75FE90D671}"/>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33438" xr:uid="{CA869C0F-6E19-4A94-897B-158216C28F5B}"/>
    <cellStyle name="Normal 3 2 3 3 4 2 2 3" xfId="24997" xr:uid="{6CAC83E4-6D9D-4725-B734-AD5C54AF901F}"/>
    <cellStyle name="Normal 3 2 3 3 4 2 2 4" xfId="16549" xr:uid="{0AF4A617-53E2-40D5-B653-0F22FDD7372B}"/>
    <cellStyle name="Normal 3 2 3 3 4 2 3" xfId="29220" xr:uid="{CE64F89E-E19E-4795-B448-1CB607A166D1}"/>
    <cellStyle name="Normal 3 2 3 3 4 2 4" xfId="20779" xr:uid="{D163AD1E-1F7E-457F-9BD8-F556E715DB28}"/>
    <cellStyle name="Normal 3 2 3 3 4 2 5" xfId="12331" xr:uid="{9305E34D-20B7-4E3E-84FC-AAC3D617A466}"/>
    <cellStyle name="Normal 3 2 3 3 4 3" xfId="5954" xr:uid="{00000000-0005-0000-0000-0000B3110000}"/>
    <cellStyle name="Normal 3 2 3 3 4 3 2" xfId="31293" xr:uid="{9E76400E-9F51-491B-AEAA-B0AD17451AA8}"/>
    <cellStyle name="Normal 3 2 3 3 4 3 3" xfId="22852" xr:uid="{64D3CC02-8070-4015-8C96-4ABD17FFA040}"/>
    <cellStyle name="Normal 3 2 3 3 4 3 4" xfId="14404" xr:uid="{0ECEC1BA-D837-4F56-AD59-C6A1E826D5A4}"/>
    <cellStyle name="Normal 3 2 3 3 4 4" xfId="27075" xr:uid="{FA4014BB-1604-419E-BA07-879685B4EFB8}"/>
    <cellStyle name="Normal 3 2 3 3 4 5" xfId="18634" xr:uid="{17A25327-A4B5-49A1-B1E2-A84D838EAE38}"/>
    <cellStyle name="Normal 3 2 3 3 4 6" xfId="10186" xr:uid="{D515C360-124A-48D8-A50A-987A5DE8F25E}"/>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33851" xr:uid="{7028A715-C31F-4342-9605-BB074C4AAA59}"/>
    <cellStyle name="Normal 3 2 3 3 5 2 2 3" xfId="25410" xr:uid="{6A134526-62D6-4C38-B96C-847F611F1905}"/>
    <cellStyle name="Normal 3 2 3 3 5 2 2 4" xfId="16962" xr:uid="{36BCA732-F6B2-4642-8286-8CE208BD0BFE}"/>
    <cellStyle name="Normal 3 2 3 3 5 2 3" xfId="29633" xr:uid="{AE0F176B-BFB5-40CE-816E-608B9EBFC82B}"/>
    <cellStyle name="Normal 3 2 3 3 5 2 4" xfId="21192" xr:uid="{63377C97-A54E-4C0E-BE3C-9AF14C64B747}"/>
    <cellStyle name="Normal 3 2 3 3 5 2 5" xfId="12744" xr:uid="{5F593FE6-C90D-4AA1-B143-4617960BDFF4}"/>
    <cellStyle name="Normal 3 2 3 3 5 3" xfId="6367" xr:uid="{00000000-0005-0000-0000-0000B7110000}"/>
    <cellStyle name="Normal 3 2 3 3 5 3 2" xfId="31706" xr:uid="{D93FF67A-4AFE-4824-A3A9-69C147188F2B}"/>
    <cellStyle name="Normal 3 2 3 3 5 3 3" xfId="23265" xr:uid="{5A14962B-8E07-491A-9EF7-842D105DE1A8}"/>
    <cellStyle name="Normal 3 2 3 3 5 3 4" xfId="14817" xr:uid="{32380699-2095-47CF-BB45-0E0E65F0E525}"/>
    <cellStyle name="Normal 3 2 3 3 5 4" xfId="27488" xr:uid="{B5938F96-9998-400D-8016-5112402E9B19}"/>
    <cellStyle name="Normal 3 2 3 3 5 5" xfId="19047" xr:uid="{7305172B-FE9B-40D6-8C17-F6E4E97B46E7}"/>
    <cellStyle name="Normal 3 2 3 3 5 6" xfId="10599" xr:uid="{04674D73-E67F-44FB-8881-117F45EC2A88}"/>
    <cellStyle name="Normal 3 2 3 3 6" xfId="2497" xr:uid="{00000000-0005-0000-0000-0000B8110000}"/>
    <cellStyle name="Normal 3 2 3 3 6 2" xfId="6780" xr:uid="{00000000-0005-0000-0000-0000B9110000}"/>
    <cellStyle name="Normal 3 2 3 3 6 2 2" xfId="32119" xr:uid="{E5291E63-3327-4D2D-B100-6D11813ABB88}"/>
    <cellStyle name="Normal 3 2 3 3 6 2 3" xfId="23678" xr:uid="{39C21D7E-7EE7-49BA-BEF9-EF33798E0992}"/>
    <cellStyle name="Normal 3 2 3 3 6 2 4" xfId="15230" xr:uid="{716A2C98-8B6E-4FE7-9DFD-16EDBF9368D4}"/>
    <cellStyle name="Normal 3 2 3 3 6 3" xfId="27901" xr:uid="{F36AB0AB-E3AD-42B3-946B-B027A9BABB67}"/>
    <cellStyle name="Normal 3 2 3 3 6 4" xfId="19460" xr:uid="{5034773F-DDD8-4C6F-98C4-1CED62A15CF5}"/>
    <cellStyle name="Normal 3 2 3 3 6 5" xfId="11012" xr:uid="{FA664B23-ADE8-48F1-B592-AD29C29F2295}"/>
    <cellStyle name="Normal 3 2 3 3 7" xfId="4714" xr:uid="{00000000-0005-0000-0000-0000BA110000}"/>
    <cellStyle name="Normal 3 2 3 3 7 2" xfId="30053" xr:uid="{726EFE55-79CE-40BF-9834-01E87C283365}"/>
    <cellStyle name="Normal 3 2 3 3 7 3" xfId="21612" xr:uid="{8CAA547C-A0CF-4A69-AA89-696E8672E88A}"/>
    <cellStyle name="Normal 3 2 3 3 7 4" xfId="13164" xr:uid="{066392F6-FCA4-4F31-9734-D5A2C35ABCB8}"/>
    <cellStyle name="Normal 3 2 3 3 8" xfId="25835" xr:uid="{2E54EB35-9883-4B5A-9852-99745EDD1433}"/>
    <cellStyle name="Normal 3 2 3 3 9" xfId="17394" xr:uid="{1DF2DB46-E766-402A-8718-5944D01E7977}"/>
    <cellStyle name="Normal 3 2 3 4" xfId="811" xr:uid="{00000000-0005-0000-0000-0000BB110000}"/>
    <cellStyle name="Normal 3 2 3 4 2" xfId="3048" xr:uid="{00000000-0005-0000-0000-0000BC110000}"/>
    <cellStyle name="Normal 3 2 3 4 2 2" xfId="7270" xr:uid="{00000000-0005-0000-0000-0000BD110000}"/>
    <cellStyle name="Normal 3 2 3 4 2 2 2" xfId="32609" xr:uid="{9F6EA518-1CC4-4418-AB64-484CF11C7160}"/>
    <cellStyle name="Normal 3 2 3 4 2 2 3" xfId="24168" xr:uid="{A21663D6-CC78-49B6-9B8F-483390725D72}"/>
    <cellStyle name="Normal 3 2 3 4 2 2 4" xfId="15720" xr:uid="{F54A6902-49C2-47B2-953F-EC40D2031375}"/>
    <cellStyle name="Normal 3 2 3 4 2 3" xfId="28391" xr:uid="{C45842F0-D748-403F-8B36-95656FFF867E}"/>
    <cellStyle name="Normal 3 2 3 4 2 4" xfId="19950" xr:uid="{B24D6952-4730-4865-BBCB-E4BE1129FA14}"/>
    <cellStyle name="Normal 3 2 3 4 2 5" xfId="11502" xr:uid="{9842F6C9-FEE2-482A-89AC-8AE25C53517A}"/>
    <cellStyle name="Normal 3 2 3 4 3" xfId="5125" xr:uid="{00000000-0005-0000-0000-0000BE110000}"/>
    <cellStyle name="Normal 3 2 3 4 3 2" xfId="30464" xr:uid="{1D8B3F5F-BB8E-4B79-A736-6192B9D64F4B}"/>
    <cellStyle name="Normal 3 2 3 4 3 3" xfId="22023" xr:uid="{A2C5ECCA-BC8E-4308-9F2A-A6E0A098B179}"/>
    <cellStyle name="Normal 3 2 3 4 3 4" xfId="13575" xr:uid="{56389B29-4B0E-4FC1-AD1A-0237D84EC24F}"/>
    <cellStyle name="Normal 3 2 3 4 4" xfId="26246" xr:uid="{900E1320-C002-4A41-A003-20066E725781}"/>
    <cellStyle name="Normal 3 2 3 4 5" xfId="17805" xr:uid="{C2F6D292-BFDD-4893-86A6-8F2CE62ED23D}"/>
    <cellStyle name="Normal 3 2 3 4 6" xfId="9357" xr:uid="{9A87AFA0-331C-4B23-B577-76E2453FEB43}"/>
    <cellStyle name="Normal 3 2 3 5" xfId="1231" xr:uid="{00000000-0005-0000-0000-0000BF110000}"/>
    <cellStyle name="Normal 3 2 3 5 2" xfId="3461" xr:uid="{00000000-0005-0000-0000-0000C0110000}"/>
    <cellStyle name="Normal 3 2 3 5 2 2" xfId="7683" xr:uid="{00000000-0005-0000-0000-0000C1110000}"/>
    <cellStyle name="Normal 3 2 3 5 2 2 2" xfId="33022" xr:uid="{DD9F2AB7-3617-4DCD-B392-7FE2E76ED445}"/>
    <cellStyle name="Normal 3 2 3 5 2 2 3" xfId="24581" xr:uid="{4CF2CC8F-F99A-4E31-9639-C6C77A9A3B85}"/>
    <cellStyle name="Normal 3 2 3 5 2 2 4" xfId="16133" xr:uid="{18FE837F-97FB-44DC-87D7-16B15A1347C9}"/>
    <cellStyle name="Normal 3 2 3 5 2 3" xfId="28804" xr:uid="{850C0507-7A89-45E2-90F9-D763D94AB73D}"/>
    <cellStyle name="Normal 3 2 3 5 2 4" xfId="20363" xr:uid="{87A5F3F3-FB6A-4895-BDB5-8788E8C33EBE}"/>
    <cellStyle name="Normal 3 2 3 5 2 5" xfId="11915" xr:uid="{D28072E7-4183-4ECC-8DF5-56C5D3F57913}"/>
    <cellStyle name="Normal 3 2 3 5 3" xfId="5538" xr:uid="{00000000-0005-0000-0000-0000C2110000}"/>
    <cellStyle name="Normal 3 2 3 5 3 2" xfId="30877" xr:uid="{3E0711F3-1F43-4196-A6C7-97287427427E}"/>
    <cellStyle name="Normal 3 2 3 5 3 3" xfId="22436" xr:uid="{2790EA16-D83E-4451-9CF5-2A487216E5BF}"/>
    <cellStyle name="Normal 3 2 3 5 3 4" xfId="13988" xr:uid="{EA6F24A3-D453-4184-82B8-E3025F5B1BA2}"/>
    <cellStyle name="Normal 3 2 3 5 4" xfId="26659" xr:uid="{0AD67877-1BDE-476B-A981-F6B7941A8421}"/>
    <cellStyle name="Normal 3 2 3 5 5" xfId="18218" xr:uid="{1C6BD2F1-B7CC-438D-8198-EB41B2332EDC}"/>
    <cellStyle name="Normal 3 2 3 5 6" xfId="9770" xr:uid="{4037E363-CDD0-4744-BA72-7B41ABE09E6E}"/>
    <cellStyle name="Normal 3 2 3 6" xfId="1644" xr:uid="{00000000-0005-0000-0000-0000C3110000}"/>
    <cellStyle name="Normal 3 2 3 6 2" xfId="3874" xr:uid="{00000000-0005-0000-0000-0000C4110000}"/>
    <cellStyle name="Normal 3 2 3 6 2 2" xfId="8096" xr:uid="{00000000-0005-0000-0000-0000C5110000}"/>
    <cellStyle name="Normal 3 2 3 6 2 2 2" xfId="33435" xr:uid="{D43F38EF-336D-4C36-B635-C641E634733C}"/>
    <cellStyle name="Normal 3 2 3 6 2 2 3" xfId="24994" xr:uid="{1B1EDC50-22DD-4054-8119-1F4EF9E18343}"/>
    <cellStyle name="Normal 3 2 3 6 2 2 4" xfId="16546" xr:uid="{896B7A23-46B9-4A92-A8DC-0835AA7F80C9}"/>
    <cellStyle name="Normal 3 2 3 6 2 3" xfId="29217" xr:uid="{37D163EF-F9E3-4B53-9E6B-749E9E2D82E3}"/>
    <cellStyle name="Normal 3 2 3 6 2 4" xfId="20776" xr:uid="{CA7B5911-BAC1-43C7-B238-629F9F688532}"/>
    <cellStyle name="Normal 3 2 3 6 2 5" xfId="12328" xr:uid="{D70446F1-1D71-4DDA-8377-6E5A2458342F}"/>
    <cellStyle name="Normal 3 2 3 6 3" xfId="5951" xr:uid="{00000000-0005-0000-0000-0000C6110000}"/>
    <cellStyle name="Normal 3 2 3 6 3 2" xfId="31290" xr:uid="{2149C6EB-4839-4995-9673-21BFE36F0320}"/>
    <cellStyle name="Normal 3 2 3 6 3 3" xfId="22849" xr:uid="{F36E18E1-3A90-420B-B278-E51BECB4E60C}"/>
    <cellStyle name="Normal 3 2 3 6 3 4" xfId="14401" xr:uid="{59154E8A-B4D3-4AE9-97CB-78534C94C406}"/>
    <cellStyle name="Normal 3 2 3 6 4" xfId="27072" xr:uid="{9D06E854-2661-41FB-8C8C-3E57279B0AED}"/>
    <cellStyle name="Normal 3 2 3 6 5" xfId="18631" xr:uid="{C95E770A-1AE2-4666-9C8E-3B2BED3542CF}"/>
    <cellStyle name="Normal 3 2 3 6 6" xfId="10183" xr:uid="{1B845720-6049-430C-AC46-70C2C54AABFA}"/>
    <cellStyle name="Normal 3 2 3 7" xfId="2058" xr:uid="{00000000-0005-0000-0000-0000C7110000}"/>
    <cellStyle name="Normal 3 2 3 7 2" xfId="4287" xr:uid="{00000000-0005-0000-0000-0000C8110000}"/>
    <cellStyle name="Normal 3 2 3 7 2 2" xfId="8509" xr:uid="{00000000-0005-0000-0000-0000C9110000}"/>
    <cellStyle name="Normal 3 2 3 7 2 2 2" xfId="33848" xr:uid="{59654F12-EF62-46FA-9F36-A068826C269C}"/>
    <cellStyle name="Normal 3 2 3 7 2 2 3" xfId="25407" xr:uid="{1B5C2300-4F7F-42C1-85DE-D143FA9C59C0}"/>
    <cellStyle name="Normal 3 2 3 7 2 2 4" xfId="16959" xr:uid="{AFF437BA-A87C-4A4A-8D91-94CC2BBFD654}"/>
    <cellStyle name="Normal 3 2 3 7 2 3" xfId="29630" xr:uid="{4CD54799-C0BB-47C2-B4D2-4B972C7C5416}"/>
    <cellStyle name="Normal 3 2 3 7 2 4" xfId="21189" xr:uid="{1FBA559F-4E34-4926-9138-87B6BF13F7F8}"/>
    <cellStyle name="Normal 3 2 3 7 2 5" xfId="12741" xr:uid="{C7D3252E-54D1-48A9-B650-1AC28E5F575C}"/>
    <cellStyle name="Normal 3 2 3 7 3" xfId="6364" xr:uid="{00000000-0005-0000-0000-0000CA110000}"/>
    <cellStyle name="Normal 3 2 3 7 3 2" xfId="31703" xr:uid="{BFE3A783-EC64-4ACF-9844-BC717E99472F}"/>
    <cellStyle name="Normal 3 2 3 7 3 3" xfId="23262" xr:uid="{463B1B5C-89B0-4B19-B5FE-BD168A5B8C22}"/>
    <cellStyle name="Normal 3 2 3 7 3 4" xfId="14814" xr:uid="{C323FE08-7F8D-4174-9584-2CE3C081C503}"/>
    <cellStyle name="Normal 3 2 3 7 4" xfId="27485" xr:uid="{807E4757-DB29-46E6-84AA-32AB0A702D17}"/>
    <cellStyle name="Normal 3 2 3 7 5" xfId="19044" xr:uid="{C2661220-78EB-441A-845F-7E6BA636BFD1}"/>
    <cellStyle name="Normal 3 2 3 7 6" xfId="10596" xr:uid="{2D8F0CA4-F018-4504-AAE1-FC8ACADC3355}"/>
    <cellStyle name="Normal 3 2 3 8" xfId="2494" xr:uid="{00000000-0005-0000-0000-0000CB110000}"/>
    <cellStyle name="Normal 3 2 3 8 2" xfId="6777" xr:uid="{00000000-0005-0000-0000-0000CC110000}"/>
    <cellStyle name="Normal 3 2 3 8 2 2" xfId="32116" xr:uid="{6B1B21A3-7943-4BFE-A3CC-D6ACD2B54C89}"/>
    <cellStyle name="Normal 3 2 3 8 2 3" xfId="23675" xr:uid="{9DE9C3CC-3601-46B0-84C6-A63EB4B55627}"/>
    <cellStyle name="Normal 3 2 3 8 2 4" xfId="15227" xr:uid="{6C50FEF2-DDD6-4CFC-A55B-23AC13CB8613}"/>
    <cellStyle name="Normal 3 2 3 8 3" xfId="27898" xr:uid="{6E4E84E2-1D90-488D-A89D-8DE935F38538}"/>
    <cellStyle name="Normal 3 2 3 8 4" xfId="19457" xr:uid="{4A51478E-2820-403B-A89C-5C3E91F5BD2C}"/>
    <cellStyle name="Normal 3 2 3 8 5" xfId="11009" xr:uid="{96F543C9-30C0-4581-89E2-78215B8449CD}"/>
    <cellStyle name="Normal 3 2 3 9" xfId="4711" xr:uid="{00000000-0005-0000-0000-0000CD110000}"/>
    <cellStyle name="Normal 3 2 3 9 2" xfId="30050" xr:uid="{43D94C56-8EEE-4325-9CB2-07B996796F9E}"/>
    <cellStyle name="Normal 3 2 3 9 3" xfId="21609" xr:uid="{6D4122BC-2C0E-47AE-8B19-1212B3647E19}"/>
    <cellStyle name="Normal 3 2 3 9 4" xfId="13161" xr:uid="{EF8A1CF6-8E47-470A-AFC0-3B4CD40DA4F4}"/>
    <cellStyle name="Normal 3 2 4" xfId="809" xr:uid="{00000000-0005-0000-0000-0000CE110000}"/>
    <cellStyle name="Normal 3 2 4 2" xfId="3047" xr:uid="{00000000-0005-0000-0000-0000CF110000}"/>
    <cellStyle name="Normal 3 2 4 2 2" xfId="7269" xr:uid="{00000000-0005-0000-0000-0000D0110000}"/>
    <cellStyle name="Normal 3 2 4 2 2 2" xfId="32608" xr:uid="{73927232-AF39-4CA7-9BC6-2BCD2B3B6E03}"/>
    <cellStyle name="Normal 3 2 4 2 2 3" xfId="24167" xr:uid="{94BE0F31-1A0E-4A56-ABF1-9DD4AB4890C4}"/>
    <cellStyle name="Normal 3 2 4 2 2 4" xfId="15719" xr:uid="{65A46F38-3870-4F00-A35E-5ADF0C2D2115}"/>
    <cellStyle name="Normal 3 2 4 2 3" xfId="28390" xr:uid="{93E3EF8F-8078-46EC-9DD3-D865EB3F0BC1}"/>
    <cellStyle name="Normal 3 2 4 2 4" xfId="19949" xr:uid="{564A9FE3-6F83-4920-8FF8-5A81D455ABD6}"/>
    <cellStyle name="Normal 3 2 4 2 5" xfId="11501" xr:uid="{E1D45629-3C19-4B46-B879-26BC4CE7EE25}"/>
    <cellStyle name="Normal 3 2 4 3" xfId="5124" xr:uid="{00000000-0005-0000-0000-0000D1110000}"/>
    <cellStyle name="Normal 3 2 4 3 2" xfId="30463" xr:uid="{B8ADC7D2-400E-4BDA-B4DA-63B823DD2D3D}"/>
    <cellStyle name="Normal 3 2 4 3 3" xfId="22022" xr:uid="{D9A882C4-8DC9-493F-B929-BB1184997289}"/>
    <cellStyle name="Normal 3 2 4 3 4" xfId="13574" xr:uid="{F057E3B7-50AD-4CC7-A5D2-CB1E6E3C3187}"/>
    <cellStyle name="Normal 3 2 4 4" xfId="26245" xr:uid="{0B66194E-A679-4C84-BBC2-FF72A94C5177}"/>
    <cellStyle name="Normal 3 2 4 5" xfId="17804" xr:uid="{186B3C9C-D7AC-4745-8638-551AF45339C9}"/>
    <cellStyle name="Normal 3 2 4 6" xfId="9356" xr:uid="{372B6719-4269-4A43-AF72-FDB832E0090F}"/>
    <cellStyle name="Normal 3 2 5" xfId="1230" xr:uid="{00000000-0005-0000-0000-0000D2110000}"/>
    <cellStyle name="Normal 3 2 5 2" xfId="3460" xr:uid="{00000000-0005-0000-0000-0000D3110000}"/>
    <cellStyle name="Normal 3 2 5 2 2" xfId="7682" xr:uid="{00000000-0005-0000-0000-0000D4110000}"/>
    <cellStyle name="Normal 3 2 5 2 2 2" xfId="33021" xr:uid="{75E19D4A-F673-492B-AA75-73201BA78C3A}"/>
    <cellStyle name="Normal 3 2 5 2 2 3" xfId="24580" xr:uid="{CD38BA31-DDDF-4C99-9F5D-5CEDEE7FD99F}"/>
    <cellStyle name="Normal 3 2 5 2 2 4" xfId="16132" xr:uid="{70D785EE-A849-4397-91B5-AB29819FAE7E}"/>
    <cellStyle name="Normal 3 2 5 2 3" xfId="28803" xr:uid="{39ABA89D-EA20-4AF4-9EB5-159E3A8AF2FE}"/>
    <cellStyle name="Normal 3 2 5 2 4" xfId="20362" xr:uid="{D5EB57CC-CE17-4AED-9923-460D86B97547}"/>
    <cellStyle name="Normal 3 2 5 2 5" xfId="11914" xr:uid="{EB194A93-751F-4BE1-87A7-83AF1125C846}"/>
    <cellStyle name="Normal 3 2 5 3" xfId="5537" xr:uid="{00000000-0005-0000-0000-0000D5110000}"/>
    <cellStyle name="Normal 3 2 5 3 2" xfId="30876" xr:uid="{E75B7CC4-EE8A-4793-AD88-8A7EB722A3A1}"/>
    <cellStyle name="Normal 3 2 5 3 3" xfId="22435" xr:uid="{ABFF29E0-53B4-4DD4-93F9-CD6251E76DBF}"/>
    <cellStyle name="Normal 3 2 5 3 4" xfId="13987" xr:uid="{2B000554-9A64-4A5B-AC6E-DFFAB53C7CE5}"/>
    <cellStyle name="Normal 3 2 5 4" xfId="26658" xr:uid="{48680A05-5B61-46CD-827C-1826E0212C87}"/>
    <cellStyle name="Normal 3 2 5 5" xfId="18217" xr:uid="{466E7573-327E-4452-AA85-2C9A3A12F171}"/>
    <cellStyle name="Normal 3 2 5 6" xfId="9769" xr:uid="{E420D7E7-3E9D-4E01-9FA4-293C5BB8C028}"/>
    <cellStyle name="Normal 3 2 6" xfId="1643" xr:uid="{00000000-0005-0000-0000-0000D6110000}"/>
    <cellStyle name="Normal 3 2 6 2" xfId="3873" xr:uid="{00000000-0005-0000-0000-0000D7110000}"/>
    <cellStyle name="Normal 3 2 6 2 2" xfId="8095" xr:uid="{00000000-0005-0000-0000-0000D8110000}"/>
    <cellStyle name="Normal 3 2 6 2 2 2" xfId="33434" xr:uid="{79F5E051-1520-4111-BE57-DC428E62B7BD}"/>
    <cellStyle name="Normal 3 2 6 2 2 3" xfId="24993" xr:uid="{D357B445-61F3-46A2-99DD-16FB92AE49C1}"/>
    <cellStyle name="Normal 3 2 6 2 2 4" xfId="16545" xr:uid="{1558BADA-EDA5-4A3F-B516-1CCA8D86CAC7}"/>
    <cellStyle name="Normal 3 2 6 2 3" xfId="29216" xr:uid="{B8C9718A-A72F-495A-9B5E-B63D5CCE9705}"/>
    <cellStyle name="Normal 3 2 6 2 4" xfId="20775" xr:uid="{205BCD58-6754-4F2A-802B-4A5423443357}"/>
    <cellStyle name="Normal 3 2 6 2 5" xfId="12327" xr:uid="{423F724E-E369-4564-9913-30389A750CA6}"/>
    <cellStyle name="Normal 3 2 6 3" xfId="5950" xr:uid="{00000000-0005-0000-0000-0000D9110000}"/>
    <cellStyle name="Normal 3 2 6 3 2" xfId="31289" xr:uid="{4F23816C-88A1-4DB9-8E8F-161EB9F7F676}"/>
    <cellStyle name="Normal 3 2 6 3 3" xfId="22848" xr:uid="{347F812C-3A09-4461-830F-E0B58A28757C}"/>
    <cellStyle name="Normal 3 2 6 3 4" xfId="14400" xr:uid="{BBE5C070-6EEB-476E-BDEC-38B340BA083B}"/>
    <cellStyle name="Normal 3 2 6 4" xfId="27071" xr:uid="{25984136-F516-47DC-B15B-354B6A101FD6}"/>
    <cellStyle name="Normal 3 2 6 5" xfId="18630" xr:uid="{4F151A43-B10E-4204-8D62-FE87A362F8C3}"/>
    <cellStyle name="Normal 3 2 6 6" xfId="10182" xr:uid="{56F3FC87-A5BA-4206-8F22-66B568E087EC}"/>
    <cellStyle name="Normal 3 2 7" xfId="2057" xr:uid="{00000000-0005-0000-0000-0000DA110000}"/>
    <cellStyle name="Normal 3 2 7 2" xfId="4286" xr:uid="{00000000-0005-0000-0000-0000DB110000}"/>
    <cellStyle name="Normal 3 2 7 2 2" xfId="8508" xr:uid="{00000000-0005-0000-0000-0000DC110000}"/>
    <cellStyle name="Normal 3 2 7 2 2 2" xfId="33847" xr:uid="{B4122274-6178-4276-8BEA-955D79EF1024}"/>
    <cellStyle name="Normal 3 2 7 2 2 3" xfId="25406" xr:uid="{17879858-B62C-4BE9-B156-D7F4DFDE1326}"/>
    <cellStyle name="Normal 3 2 7 2 2 4" xfId="16958" xr:uid="{DC24A867-5CD5-42F5-97DE-F8D825154466}"/>
    <cellStyle name="Normal 3 2 7 2 3" xfId="29629" xr:uid="{260A4B6A-9199-4322-A23C-DEC7C7386219}"/>
    <cellStyle name="Normal 3 2 7 2 4" xfId="21188" xr:uid="{C3625915-074B-430B-8EFD-06AE3095F5B2}"/>
    <cellStyle name="Normal 3 2 7 2 5" xfId="12740" xr:uid="{3BAC7E87-3154-471B-9E14-ACA49112806E}"/>
    <cellStyle name="Normal 3 2 7 3" xfId="6363" xr:uid="{00000000-0005-0000-0000-0000DD110000}"/>
    <cellStyle name="Normal 3 2 7 3 2" xfId="31702" xr:uid="{B9C971B2-5F05-4A67-A01D-DE00F68FB31E}"/>
    <cellStyle name="Normal 3 2 7 3 3" xfId="23261" xr:uid="{85B88974-AEC6-459A-9961-F7E46E04F3BE}"/>
    <cellStyle name="Normal 3 2 7 3 4" xfId="14813" xr:uid="{E3F21023-FFE1-4B21-9D96-A8E07E8271E9}"/>
    <cellStyle name="Normal 3 2 7 4" xfId="27484" xr:uid="{FC63DF90-8CAA-48D4-B82F-F5A88EB94240}"/>
    <cellStyle name="Normal 3 2 7 5" xfId="19043" xr:uid="{75B9A47A-76B4-48AA-A82D-1B7757830FE3}"/>
    <cellStyle name="Normal 3 2 7 6" xfId="10595" xr:uid="{786B2798-683C-4C04-85B3-A1DBD500C55D}"/>
    <cellStyle name="Normal 3 2 8" xfId="2493" xr:uid="{00000000-0005-0000-0000-0000DE110000}"/>
    <cellStyle name="Normal 3 2 8 2" xfId="6776" xr:uid="{00000000-0005-0000-0000-0000DF110000}"/>
    <cellStyle name="Normal 3 2 8 2 2" xfId="32115" xr:uid="{54082380-DB1C-4B47-A09A-4FB6A19D1307}"/>
    <cellStyle name="Normal 3 2 8 2 3" xfId="23674" xr:uid="{BEC03181-34AA-49BD-BEF1-C909675A7CE6}"/>
    <cellStyle name="Normal 3 2 8 2 4" xfId="15226" xr:uid="{044CB7E4-EFB0-4077-92B5-DE9394113F72}"/>
    <cellStyle name="Normal 3 2 8 3" xfId="27897" xr:uid="{D7691703-4D96-4151-9A1C-49BFC649BD81}"/>
    <cellStyle name="Normal 3 2 8 4" xfId="19456" xr:uid="{E62A4817-AC7C-4D15-9D60-875AB46E9CCF}"/>
    <cellStyle name="Normal 3 2 8 5" xfId="11008" xr:uid="{E930733C-3F43-4896-A6DD-DBCB9B4A18B7}"/>
    <cellStyle name="Normal 3 2 9" xfId="4710" xr:uid="{00000000-0005-0000-0000-0000E0110000}"/>
    <cellStyle name="Normal 3 2 9 2" xfId="30049" xr:uid="{6AF7B178-9A72-46A9-AD41-0C4DC347A819}"/>
    <cellStyle name="Normal 3 2 9 3" xfId="21608" xr:uid="{C5187C4B-59A2-448D-98DC-1F5146EAB78F}"/>
    <cellStyle name="Normal 3 2 9 4" xfId="13160" xr:uid="{DDD2DA8B-86A6-4AAC-AB19-C7C0381DE6B4}"/>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25836" xr:uid="{63F8CEB8-9D94-4C4F-8D69-4034EBFD3A4C}"/>
    <cellStyle name="Normal 4 11" xfId="17395" xr:uid="{AD2F15F8-1725-41D5-9471-E3EF401839CA}"/>
    <cellStyle name="Normal 4 12" xfId="8947" xr:uid="{32F9F553-E7B2-46FE-A02D-BBDABAD0B7E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33852" xr:uid="{FABE0930-D52B-4F0C-AB2E-9388F092DEAF}"/>
    <cellStyle name="Normal 4 2 2 10 2 2 3" xfId="25411" xr:uid="{1AA9AE25-0602-4A66-8C76-AC74BFBE465E}"/>
    <cellStyle name="Normal 4 2 2 10 2 2 4" xfId="16963" xr:uid="{32D49867-38C1-4C2F-B36D-2391CF0376D5}"/>
    <cellStyle name="Normal 4 2 2 10 2 3" xfId="29634" xr:uid="{F76A1795-5804-46B3-8621-DDA5365A9E76}"/>
    <cellStyle name="Normal 4 2 2 10 2 4" xfId="21193" xr:uid="{BD48C704-2D31-47B1-92B8-8E6204E39478}"/>
    <cellStyle name="Normal 4 2 2 10 2 5" xfId="12745" xr:uid="{950EB65A-1CDF-4FA1-AD8A-C37FF73412B9}"/>
    <cellStyle name="Normal 4 2 2 10 3" xfId="6368" xr:uid="{00000000-0005-0000-0000-0000ED110000}"/>
    <cellStyle name="Normal 4 2 2 10 3 2" xfId="31707" xr:uid="{C709230A-3B1B-4D8F-AC97-4425B686E6E0}"/>
    <cellStyle name="Normal 4 2 2 10 3 3" xfId="23266" xr:uid="{26E06FC8-499A-4516-BC9F-54E8879F0CD2}"/>
    <cellStyle name="Normal 4 2 2 10 3 4" xfId="14818" xr:uid="{862735FB-5083-4F99-94B4-BDF0E0C205CE}"/>
    <cellStyle name="Normal 4 2 2 10 4" xfId="27489" xr:uid="{0E2FF4AF-1814-4E93-9F7A-D9128E909D27}"/>
    <cellStyle name="Normal 4 2 2 10 5" xfId="19048" xr:uid="{4A035F78-E45A-44D9-8F91-D49DDC7483DD}"/>
    <cellStyle name="Normal 4 2 2 10 6" xfId="10600" xr:uid="{408B7EA8-FBAD-434C-8FC0-F9392E6FFCFA}"/>
    <cellStyle name="Normal 4 2 2 11" xfId="2498" xr:uid="{00000000-0005-0000-0000-0000EE110000}"/>
    <cellStyle name="Normal 4 2 2 11 2" xfId="6781" xr:uid="{00000000-0005-0000-0000-0000EF110000}"/>
    <cellStyle name="Normal 4 2 2 11 2 2" xfId="32120" xr:uid="{82A13CC1-F1CF-479E-8DB8-E50DE23BD92E}"/>
    <cellStyle name="Normal 4 2 2 11 2 3" xfId="23679" xr:uid="{F4E743C1-6D91-47D2-8AEF-2FDC0F417DC3}"/>
    <cellStyle name="Normal 4 2 2 11 2 4" xfId="15231" xr:uid="{185D6903-CB2B-483D-B825-B4123FBC16EC}"/>
    <cellStyle name="Normal 4 2 2 11 3" xfId="27902" xr:uid="{C09B54FB-1D7F-42AB-A74E-B5C8ADD09461}"/>
    <cellStyle name="Normal 4 2 2 11 4" xfId="19461" xr:uid="{9FD21F1A-6E0F-4A83-8433-636E0384D85B}"/>
    <cellStyle name="Normal 4 2 2 11 5" xfId="11013" xr:uid="{469F612B-C4A0-45FC-B8AB-80B16DE47AB8}"/>
    <cellStyle name="Normal 4 2 2 12" xfId="4716" xr:uid="{00000000-0005-0000-0000-0000F0110000}"/>
    <cellStyle name="Normal 4 2 2 12 2" xfId="30055" xr:uid="{05E8A4F7-8F1D-4649-858A-5FD14C7A3FAF}"/>
    <cellStyle name="Normal 4 2 2 12 3" xfId="21614" xr:uid="{9D4F309C-0459-436C-9262-81BBD99FD13C}"/>
    <cellStyle name="Normal 4 2 2 12 4" xfId="13166" xr:uid="{F4993E35-1223-4872-8B24-CA20957BCEC1}"/>
    <cellStyle name="Normal 4 2 2 13" xfId="25837" xr:uid="{A233FA3E-82CF-432C-B372-E95D47128BD2}"/>
    <cellStyle name="Normal 4 2 2 14" xfId="17396" xr:uid="{3EACA1C6-D2DA-4D05-8C95-440BA9561ED0}"/>
    <cellStyle name="Normal 4 2 2 15" xfId="8948" xr:uid="{DBB427C4-FC0A-43F6-93C3-46029B5499E7}"/>
    <cellStyle name="Normal 4 2 2 2" xfId="338" xr:uid="{00000000-0005-0000-0000-0000F1110000}"/>
    <cellStyle name="Normal 4 2 2 3" xfId="339" xr:uid="{00000000-0005-0000-0000-0000F2110000}"/>
    <cellStyle name="Normal 4 2 2 3 10" xfId="4717" xr:uid="{00000000-0005-0000-0000-0000F3110000}"/>
    <cellStyle name="Normal 4 2 2 3 10 2" xfId="30056" xr:uid="{1E79F90B-E4EE-4B2A-9672-10D451FAF082}"/>
    <cellStyle name="Normal 4 2 2 3 10 3" xfId="21615" xr:uid="{7167E5F3-1EFC-46AF-AE5F-43BCA7F880CE}"/>
    <cellStyle name="Normal 4 2 2 3 10 4" xfId="13167" xr:uid="{FC6CDB28-4061-4C2D-A18A-110C9458BE50}"/>
    <cellStyle name="Normal 4 2 2 3 11" xfId="25838" xr:uid="{D41819C4-B8B3-4C8D-A044-B18B1483DF3E}"/>
    <cellStyle name="Normal 4 2 2 3 12" xfId="17397" xr:uid="{D316100A-8EDA-48ED-8D8D-151F3775DFEE}"/>
    <cellStyle name="Normal 4 2 2 3 13" xfId="8949" xr:uid="{CF71D342-8F4E-4042-817B-4EA6A7272043}"/>
    <cellStyle name="Normal 4 2 2 3 2" xfId="340" xr:uid="{00000000-0005-0000-0000-0000F4110000}"/>
    <cellStyle name="Normal 4 2 2 3 2 10" xfId="25839" xr:uid="{1CDB5D09-23EE-4551-B3E3-D1877FD70645}"/>
    <cellStyle name="Normal 4 2 2 3 2 11" xfId="17398" xr:uid="{F0FA6790-88C1-4125-9D9D-905311BFEE3E}"/>
    <cellStyle name="Normal 4 2 2 3 2 12" xfId="8950" xr:uid="{273D67DD-CBCD-42B8-A766-4C545AA233E6}"/>
    <cellStyle name="Normal 4 2 2 3 2 2" xfId="341" xr:uid="{00000000-0005-0000-0000-0000F5110000}"/>
    <cellStyle name="Normal 4 2 2 3 2 2 10" xfId="17399" xr:uid="{2409333D-80A1-4F07-A8D3-212EDFEA5163}"/>
    <cellStyle name="Normal 4 2 2 3 2 2 11" xfId="8951" xr:uid="{0775A6F5-194E-4AB1-9443-595D3E460EA0}"/>
    <cellStyle name="Normal 4 2 2 3 2 2 2" xfId="342" xr:uid="{00000000-0005-0000-0000-0000F6110000}"/>
    <cellStyle name="Normal 4 2 2 3 2 2 2 10" xfId="8952" xr:uid="{E9E911EB-C5A9-4A05-9F9F-7A345952160D}"/>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32617" xr:uid="{7470F739-1946-44BC-99DD-24522FBE191A}"/>
    <cellStyle name="Normal 4 2 2 3 2 2 2 2 2 2 3" xfId="24176" xr:uid="{83F5CAC2-5BD2-4EB2-9AB3-ABC27D60E55A}"/>
    <cellStyle name="Normal 4 2 2 3 2 2 2 2 2 2 4" xfId="15728" xr:uid="{DF3E5645-44DB-413C-B658-E3809623F98B}"/>
    <cellStyle name="Normal 4 2 2 3 2 2 2 2 2 3" xfId="28399" xr:uid="{3D5FC266-C956-4D03-9A7A-90364B0F6E72}"/>
    <cellStyle name="Normal 4 2 2 3 2 2 2 2 2 4" xfId="19958" xr:uid="{A5664AC0-17CC-4924-AA2D-3B8428B4EDCE}"/>
    <cellStyle name="Normal 4 2 2 3 2 2 2 2 2 5" xfId="11510" xr:uid="{C16A69EC-C54C-4979-868E-344A6686AB24}"/>
    <cellStyle name="Normal 4 2 2 3 2 2 2 2 3" xfId="5133" xr:uid="{00000000-0005-0000-0000-0000FA110000}"/>
    <cellStyle name="Normal 4 2 2 3 2 2 2 2 3 2" xfId="30472" xr:uid="{5317C38E-44A7-43F3-B51D-A4C924DFA3AD}"/>
    <cellStyle name="Normal 4 2 2 3 2 2 2 2 3 3" xfId="22031" xr:uid="{E5F1FDB6-BF7F-4499-98D9-7A0CFBC632A1}"/>
    <cellStyle name="Normal 4 2 2 3 2 2 2 2 3 4" xfId="13583" xr:uid="{B69D46FC-F0B9-4D14-B129-D1AEC6C90E0B}"/>
    <cellStyle name="Normal 4 2 2 3 2 2 2 2 4" xfId="26254" xr:uid="{9C7365E4-EF87-4482-9E2C-C75EA818C65C}"/>
    <cellStyle name="Normal 4 2 2 3 2 2 2 2 5" xfId="17813" xr:uid="{F6B1F77F-FC55-4E68-849F-1093AB2955EF}"/>
    <cellStyle name="Normal 4 2 2 3 2 2 2 2 6" xfId="9365" xr:uid="{381CB684-98A1-42B5-9132-65821D3AA8B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33030" xr:uid="{A34490FE-9D7A-4764-A6C0-86BEA797E73C}"/>
    <cellStyle name="Normal 4 2 2 3 2 2 2 3 2 2 3" xfId="24589" xr:uid="{BB471331-FD50-4113-AFAC-4A6AC188E7A7}"/>
    <cellStyle name="Normal 4 2 2 3 2 2 2 3 2 2 4" xfId="16141" xr:uid="{34FB9A13-9A6B-4205-B72B-F3FC0D993693}"/>
    <cellStyle name="Normal 4 2 2 3 2 2 2 3 2 3" xfId="28812" xr:uid="{60FB93B2-52D6-424A-85C9-A3C5CD051A8F}"/>
    <cellStyle name="Normal 4 2 2 3 2 2 2 3 2 4" xfId="20371" xr:uid="{251BE590-851F-4A92-8876-1C87CE6D31A1}"/>
    <cellStyle name="Normal 4 2 2 3 2 2 2 3 2 5" xfId="11923" xr:uid="{291F9F67-A1AF-4045-B538-6E89061C4A0A}"/>
    <cellStyle name="Normal 4 2 2 3 2 2 2 3 3" xfId="5546" xr:uid="{00000000-0005-0000-0000-0000FE110000}"/>
    <cellStyle name="Normal 4 2 2 3 2 2 2 3 3 2" xfId="30885" xr:uid="{49737362-6703-4204-A557-F8908B880E18}"/>
    <cellStyle name="Normal 4 2 2 3 2 2 2 3 3 3" xfId="22444" xr:uid="{5941893C-4F8E-4A3D-944C-81E6CAB8E72E}"/>
    <cellStyle name="Normal 4 2 2 3 2 2 2 3 3 4" xfId="13996" xr:uid="{49D7BDA7-98E9-4D04-8F51-6A9DE2CE9D37}"/>
    <cellStyle name="Normal 4 2 2 3 2 2 2 3 4" xfId="26667" xr:uid="{3B1F9D99-7CAF-43D1-A9D6-A6F1A270B74D}"/>
    <cellStyle name="Normal 4 2 2 3 2 2 2 3 5" xfId="18226" xr:uid="{FB65D1FB-900F-4F72-B8BE-1BF8B934CEB3}"/>
    <cellStyle name="Normal 4 2 2 3 2 2 2 3 6" xfId="9778" xr:uid="{37CD8DEA-3759-4C3F-9DE8-C2EF293F28EB}"/>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33443" xr:uid="{9E370392-3493-443A-B759-19302F1D97FD}"/>
    <cellStyle name="Normal 4 2 2 3 2 2 2 4 2 2 3" xfId="25002" xr:uid="{81F86D89-57A4-49BF-A2A6-BF2ACDB1F26E}"/>
    <cellStyle name="Normal 4 2 2 3 2 2 2 4 2 2 4" xfId="16554" xr:uid="{E6FEF162-F547-4D15-816B-33E01C75DDA4}"/>
    <cellStyle name="Normal 4 2 2 3 2 2 2 4 2 3" xfId="29225" xr:uid="{32071431-6761-4C33-8532-14411B7792FE}"/>
    <cellStyle name="Normal 4 2 2 3 2 2 2 4 2 4" xfId="20784" xr:uid="{F95B439C-AB2E-4A8D-9343-F85A5346EE0B}"/>
    <cellStyle name="Normal 4 2 2 3 2 2 2 4 2 5" xfId="12336" xr:uid="{EDB374D9-F6F4-4EC0-BBC4-4C77EEE2654A}"/>
    <cellStyle name="Normal 4 2 2 3 2 2 2 4 3" xfId="5959" xr:uid="{00000000-0005-0000-0000-000002120000}"/>
    <cellStyle name="Normal 4 2 2 3 2 2 2 4 3 2" xfId="31298" xr:uid="{8522DA80-C640-4BBF-BDC6-5B87FEBA9829}"/>
    <cellStyle name="Normal 4 2 2 3 2 2 2 4 3 3" xfId="22857" xr:uid="{815AACEC-95BF-4735-A082-52F7540BB118}"/>
    <cellStyle name="Normal 4 2 2 3 2 2 2 4 3 4" xfId="14409" xr:uid="{250FE8E9-AF3D-4439-A1A2-EF19903068FA}"/>
    <cellStyle name="Normal 4 2 2 3 2 2 2 4 4" xfId="27080" xr:uid="{1C0AAFCE-6109-45F0-A728-F8BEE762A4C6}"/>
    <cellStyle name="Normal 4 2 2 3 2 2 2 4 5" xfId="18639" xr:uid="{52CC348A-DB12-4810-9B44-1681A6DF69AA}"/>
    <cellStyle name="Normal 4 2 2 3 2 2 2 4 6" xfId="10191" xr:uid="{5762B551-F69D-47E4-A0BA-40058289D1BA}"/>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33856" xr:uid="{5057FABA-BDDE-4DC2-A7D5-13769A22D025}"/>
    <cellStyle name="Normal 4 2 2 3 2 2 2 5 2 2 3" xfId="25415" xr:uid="{ABEB5C10-DB9A-4D72-9829-5F35C79F04E7}"/>
    <cellStyle name="Normal 4 2 2 3 2 2 2 5 2 2 4" xfId="16967" xr:uid="{68B42D81-7276-41E4-B859-9F7EE825C3DD}"/>
    <cellStyle name="Normal 4 2 2 3 2 2 2 5 2 3" xfId="29638" xr:uid="{BBC16D0F-1351-4243-8498-8E4A46F0F3E3}"/>
    <cellStyle name="Normal 4 2 2 3 2 2 2 5 2 4" xfId="21197" xr:uid="{7F653A22-4E79-408B-AF01-D71F24F462F2}"/>
    <cellStyle name="Normal 4 2 2 3 2 2 2 5 2 5" xfId="12749" xr:uid="{A6679E95-6B93-4AF3-9BD0-16F14E30A2F3}"/>
    <cellStyle name="Normal 4 2 2 3 2 2 2 5 3" xfId="6372" xr:uid="{00000000-0005-0000-0000-000006120000}"/>
    <cellStyle name="Normal 4 2 2 3 2 2 2 5 3 2" xfId="31711" xr:uid="{17D07A6F-D0A3-4837-BB7A-1DD4699E8B5A}"/>
    <cellStyle name="Normal 4 2 2 3 2 2 2 5 3 3" xfId="23270" xr:uid="{ED0409D2-6622-4A5D-9745-260494835525}"/>
    <cellStyle name="Normal 4 2 2 3 2 2 2 5 3 4" xfId="14822" xr:uid="{AD8EA8BE-6184-4A83-985F-D5DABF942B1E}"/>
    <cellStyle name="Normal 4 2 2 3 2 2 2 5 4" xfId="27493" xr:uid="{9499BE00-1758-45ED-BE21-AFC2959F65EF}"/>
    <cellStyle name="Normal 4 2 2 3 2 2 2 5 5" xfId="19052" xr:uid="{87101CDD-A406-45C6-A046-5E0C23E4EC3A}"/>
    <cellStyle name="Normal 4 2 2 3 2 2 2 5 6" xfId="10604" xr:uid="{D5660FC1-A9D0-43A5-ADE4-09CDFD578332}"/>
    <cellStyle name="Normal 4 2 2 3 2 2 2 6" xfId="2502" xr:uid="{00000000-0005-0000-0000-000007120000}"/>
    <cellStyle name="Normal 4 2 2 3 2 2 2 6 2" xfId="6785" xr:uid="{00000000-0005-0000-0000-000008120000}"/>
    <cellStyle name="Normal 4 2 2 3 2 2 2 6 2 2" xfId="32124" xr:uid="{6D835FAF-0CFD-4792-9268-49EF35158A84}"/>
    <cellStyle name="Normal 4 2 2 3 2 2 2 6 2 3" xfId="23683" xr:uid="{3879D804-F85A-4FAD-9E05-F5E1430A0223}"/>
    <cellStyle name="Normal 4 2 2 3 2 2 2 6 2 4" xfId="15235" xr:uid="{AE5C846C-5AF6-42DE-9CED-E1281B1FC126}"/>
    <cellStyle name="Normal 4 2 2 3 2 2 2 6 3" xfId="27906" xr:uid="{EE8693C7-BD07-4868-9AA2-95686FBCE65A}"/>
    <cellStyle name="Normal 4 2 2 3 2 2 2 6 4" xfId="19465" xr:uid="{F2807E12-E07C-4B31-8CB0-F1D7DD3F859B}"/>
    <cellStyle name="Normal 4 2 2 3 2 2 2 6 5" xfId="11017" xr:uid="{69DBEE18-49CF-4619-9C01-FEA1AD513D89}"/>
    <cellStyle name="Normal 4 2 2 3 2 2 2 7" xfId="4720" xr:uid="{00000000-0005-0000-0000-000009120000}"/>
    <cellStyle name="Normal 4 2 2 3 2 2 2 7 2" xfId="30059" xr:uid="{7536F3A4-E905-41ED-94AA-4D5A7C8F9833}"/>
    <cellStyle name="Normal 4 2 2 3 2 2 2 7 3" xfId="21618" xr:uid="{44D7B14D-0878-4D76-93AD-F7D49CDBB51B}"/>
    <cellStyle name="Normal 4 2 2 3 2 2 2 7 4" xfId="13170" xr:uid="{7D59259D-4E96-4104-B32B-9F6754392CB2}"/>
    <cellStyle name="Normal 4 2 2 3 2 2 2 8" xfId="25841" xr:uid="{2C8494DE-0C1C-4D7D-A611-A5D545A2CA99}"/>
    <cellStyle name="Normal 4 2 2 3 2 2 2 9" xfId="17400" xr:uid="{C9390C49-BF67-4544-85B0-10851D0B8238}"/>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32616" xr:uid="{ED59A0DE-7060-42F0-9807-46854C480CCF}"/>
    <cellStyle name="Normal 4 2 2 3 2 2 3 2 2 3" xfId="24175" xr:uid="{90B35FA5-D121-4552-9E2A-794F4184A49E}"/>
    <cellStyle name="Normal 4 2 2 3 2 2 3 2 2 4" xfId="15727" xr:uid="{CA38FC7D-E2D6-4A0D-B35E-6FA448FD18B2}"/>
    <cellStyle name="Normal 4 2 2 3 2 2 3 2 3" xfId="28398" xr:uid="{65052ACF-0AA8-40F5-8B25-D9BCDC899C34}"/>
    <cellStyle name="Normal 4 2 2 3 2 2 3 2 4" xfId="19957" xr:uid="{4C520F27-AC7F-49C3-B019-D7E2195C0257}"/>
    <cellStyle name="Normal 4 2 2 3 2 2 3 2 5" xfId="11509" xr:uid="{83485724-7C13-4E0A-9174-E654A932C221}"/>
    <cellStyle name="Normal 4 2 2 3 2 2 3 3" xfId="5132" xr:uid="{00000000-0005-0000-0000-00000D120000}"/>
    <cellStyle name="Normal 4 2 2 3 2 2 3 3 2" xfId="30471" xr:uid="{0D48D507-07BA-4C0A-A3EB-85525E67D5B0}"/>
    <cellStyle name="Normal 4 2 2 3 2 2 3 3 3" xfId="22030" xr:uid="{46DB3BB3-DB0A-480C-8C7F-854B60473614}"/>
    <cellStyle name="Normal 4 2 2 3 2 2 3 3 4" xfId="13582" xr:uid="{0465A343-8E22-4F23-9E8B-B8B04A9D17A6}"/>
    <cellStyle name="Normal 4 2 2 3 2 2 3 4" xfId="26253" xr:uid="{33973A98-3AFA-4387-AF78-D6B1B97F8ACF}"/>
    <cellStyle name="Normal 4 2 2 3 2 2 3 5" xfId="17812" xr:uid="{9660E467-25F6-4338-9CC0-47D605757B67}"/>
    <cellStyle name="Normal 4 2 2 3 2 2 3 6" xfId="9364" xr:uid="{4218DD1D-F1FB-45C1-A972-0A0D703890F3}"/>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33029" xr:uid="{FCDE256D-1E1E-4B57-812C-462DDBC229C2}"/>
    <cellStyle name="Normal 4 2 2 3 2 2 4 2 2 3" xfId="24588" xr:uid="{168383F6-5E62-4420-B962-1E3796FA8823}"/>
    <cellStyle name="Normal 4 2 2 3 2 2 4 2 2 4" xfId="16140" xr:uid="{9EB61420-B8E2-4311-A15A-A089D3136302}"/>
    <cellStyle name="Normal 4 2 2 3 2 2 4 2 3" xfId="28811" xr:uid="{173461AA-074E-4E4D-9C3E-EE4819D94515}"/>
    <cellStyle name="Normal 4 2 2 3 2 2 4 2 4" xfId="20370" xr:uid="{4F683589-3026-4234-9E3A-6C93C53C28B4}"/>
    <cellStyle name="Normal 4 2 2 3 2 2 4 2 5" xfId="11922" xr:uid="{2578C9D0-F828-41FF-B46E-4B0FEE6B9718}"/>
    <cellStyle name="Normal 4 2 2 3 2 2 4 3" xfId="5545" xr:uid="{00000000-0005-0000-0000-000011120000}"/>
    <cellStyle name="Normal 4 2 2 3 2 2 4 3 2" xfId="30884" xr:uid="{00B1E9E3-19F8-48AD-8496-CC6C6DC196B0}"/>
    <cellStyle name="Normal 4 2 2 3 2 2 4 3 3" xfId="22443" xr:uid="{96EECD07-F42C-4A3D-B0D4-AF0CA24845B6}"/>
    <cellStyle name="Normal 4 2 2 3 2 2 4 3 4" xfId="13995" xr:uid="{440CFB50-DEF3-4DB6-850A-6BF0468596F3}"/>
    <cellStyle name="Normal 4 2 2 3 2 2 4 4" xfId="26666" xr:uid="{3F8CE369-40D6-41D2-B5DD-8B0B2BDC3164}"/>
    <cellStyle name="Normal 4 2 2 3 2 2 4 5" xfId="18225" xr:uid="{4A59597E-8D9C-469D-B559-F25154F53790}"/>
    <cellStyle name="Normal 4 2 2 3 2 2 4 6" xfId="9777" xr:uid="{0CC2F9C0-576A-47C5-BF00-6231CFBA836C}"/>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33442" xr:uid="{52529308-E233-41BA-935B-2F2D40690667}"/>
    <cellStyle name="Normal 4 2 2 3 2 2 5 2 2 3" xfId="25001" xr:uid="{8C98D36F-07B5-4EEB-B730-04B912989970}"/>
    <cellStyle name="Normal 4 2 2 3 2 2 5 2 2 4" xfId="16553" xr:uid="{8EC5210C-E4A9-45A5-A5F1-CDB63ED93CC9}"/>
    <cellStyle name="Normal 4 2 2 3 2 2 5 2 3" xfId="29224" xr:uid="{63186061-A8CD-4FC8-AF54-5756FF64F3CA}"/>
    <cellStyle name="Normal 4 2 2 3 2 2 5 2 4" xfId="20783" xr:uid="{CC4962D3-6493-495E-A1DE-234B73C76616}"/>
    <cellStyle name="Normal 4 2 2 3 2 2 5 2 5" xfId="12335" xr:uid="{9AA1F5B1-958A-47F6-AD85-1D211E108F4B}"/>
    <cellStyle name="Normal 4 2 2 3 2 2 5 3" xfId="5958" xr:uid="{00000000-0005-0000-0000-000015120000}"/>
    <cellStyle name="Normal 4 2 2 3 2 2 5 3 2" xfId="31297" xr:uid="{14D19D2C-98CB-4D84-8C47-D430F92ECB44}"/>
    <cellStyle name="Normal 4 2 2 3 2 2 5 3 3" xfId="22856" xr:uid="{473DDD0E-7EE8-46CE-8FC2-5F37F23B659E}"/>
    <cellStyle name="Normal 4 2 2 3 2 2 5 3 4" xfId="14408" xr:uid="{8A74DE8A-18DF-4793-B12E-72F60C39B917}"/>
    <cellStyle name="Normal 4 2 2 3 2 2 5 4" xfId="27079" xr:uid="{137C0B77-59E0-46EC-837F-8EC951B2C61B}"/>
    <cellStyle name="Normal 4 2 2 3 2 2 5 5" xfId="18638" xr:uid="{A922AC04-3253-4024-A62D-4BD0CA5D5CD1}"/>
    <cellStyle name="Normal 4 2 2 3 2 2 5 6" xfId="10190" xr:uid="{0AA6BF37-DDF1-4C61-AE51-6409F32B8E86}"/>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33855" xr:uid="{5A4A4CF2-AB61-4F0A-B471-9AF3024352FD}"/>
    <cellStyle name="Normal 4 2 2 3 2 2 6 2 2 3" xfId="25414" xr:uid="{61A25DBB-74AA-479A-865C-7BDF62A68F8B}"/>
    <cellStyle name="Normal 4 2 2 3 2 2 6 2 2 4" xfId="16966" xr:uid="{A336EF1F-D3DC-4731-820B-5986DBE0BA0D}"/>
    <cellStyle name="Normal 4 2 2 3 2 2 6 2 3" xfId="29637" xr:uid="{56532D65-56E0-42E2-9043-970657B82B9B}"/>
    <cellStyle name="Normal 4 2 2 3 2 2 6 2 4" xfId="21196" xr:uid="{87BE07B3-C363-42F9-8A6C-BCA8051A3C54}"/>
    <cellStyle name="Normal 4 2 2 3 2 2 6 2 5" xfId="12748" xr:uid="{6ADDDF4C-4485-4AC3-9611-76B2DB7CADCF}"/>
    <cellStyle name="Normal 4 2 2 3 2 2 6 3" xfId="6371" xr:uid="{00000000-0005-0000-0000-000019120000}"/>
    <cellStyle name="Normal 4 2 2 3 2 2 6 3 2" xfId="31710" xr:uid="{AD3C23BA-B1F0-4D7E-AA5B-8F368AEC09D3}"/>
    <cellStyle name="Normal 4 2 2 3 2 2 6 3 3" xfId="23269" xr:uid="{41ED412E-F23F-422C-AFBF-8C94F66F1D9D}"/>
    <cellStyle name="Normal 4 2 2 3 2 2 6 3 4" xfId="14821" xr:uid="{77F2383A-EC17-43A1-AC9A-0A889DC0DB91}"/>
    <cellStyle name="Normal 4 2 2 3 2 2 6 4" xfId="27492" xr:uid="{E91A6EB6-0D25-41A2-9B53-7C0957F85D3C}"/>
    <cellStyle name="Normal 4 2 2 3 2 2 6 5" xfId="19051" xr:uid="{FBEF6B8A-0F87-4F57-AE73-DF7BABF21C17}"/>
    <cellStyle name="Normal 4 2 2 3 2 2 6 6" xfId="10603" xr:uid="{B70BB097-D68C-4270-A63C-A38482EB6A28}"/>
    <cellStyle name="Normal 4 2 2 3 2 2 7" xfId="2501" xr:uid="{00000000-0005-0000-0000-00001A120000}"/>
    <cellStyle name="Normal 4 2 2 3 2 2 7 2" xfId="6784" xr:uid="{00000000-0005-0000-0000-00001B120000}"/>
    <cellStyle name="Normal 4 2 2 3 2 2 7 2 2" xfId="32123" xr:uid="{B4845824-183A-4A8A-8655-64E49C463D3C}"/>
    <cellStyle name="Normal 4 2 2 3 2 2 7 2 3" xfId="23682" xr:uid="{E05C5CA5-175C-477A-B73C-6EA5A9D5C7AF}"/>
    <cellStyle name="Normal 4 2 2 3 2 2 7 2 4" xfId="15234" xr:uid="{DD25FF48-8761-471E-9132-8AEB4EAEE0DF}"/>
    <cellStyle name="Normal 4 2 2 3 2 2 7 3" xfId="27905" xr:uid="{7840B81B-77C1-473F-8DD5-5256AF749C2D}"/>
    <cellStyle name="Normal 4 2 2 3 2 2 7 4" xfId="19464" xr:uid="{843D198D-7540-4C0C-A73E-C2F9F87B639F}"/>
    <cellStyle name="Normal 4 2 2 3 2 2 7 5" xfId="11016" xr:uid="{8DB86A91-75F8-464B-A330-6854069F176F}"/>
    <cellStyle name="Normal 4 2 2 3 2 2 8" xfId="4719" xr:uid="{00000000-0005-0000-0000-00001C120000}"/>
    <cellStyle name="Normal 4 2 2 3 2 2 8 2" xfId="30058" xr:uid="{2179E97B-0341-4B16-B98C-8B5CDB114E92}"/>
    <cellStyle name="Normal 4 2 2 3 2 2 8 3" xfId="21617" xr:uid="{5E5E0A4D-E868-4AF1-94C8-F411F1152727}"/>
    <cellStyle name="Normal 4 2 2 3 2 2 8 4" xfId="13169" xr:uid="{25E10D67-5F40-4D9F-9570-576F9B5B703A}"/>
    <cellStyle name="Normal 4 2 2 3 2 2 9" xfId="25840" xr:uid="{D9EFE5FB-C274-43B4-A1DF-AFA746851D2B}"/>
    <cellStyle name="Normal 4 2 2 3 2 3" xfId="343" xr:uid="{00000000-0005-0000-0000-00001D120000}"/>
    <cellStyle name="Normal 4 2 2 3 2 3 10" xfId="8953" xr:uid="{728809EE-05A7-4461-8D0D-AFDDEFD60C77}"/>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32618" xr:uid="{1E442EB7-0190-4B80-8AB8-B2BC246783CE}"/>
    <cellStyle name="Normal 4 2 2 3 2 3 2 2 2 3" xfId="24177" xr:uid="{59F225FA-087F-409D-910F-E2494B22D4A4}"/>
    <cellStyle name="Normal 4 2 2 3 2 3 2 2 2 4" xfId="15729" xr:uid="{D7685A4E-A96B-4623-9353-4A76A76A89CD}"/>
    <cellStyle name="Normal 4 2 2 3 2 3 2 2 3" xfId="28400" xr:uid="{B50452FD-C74B-499C-A368-7582E18B7CAB}"/>
    <cellStyle name="Normal 4 2 2 3 2 3 2 2 4" xfId="19959" xr:uid="{F106CEC0-1047-46CF-A714-50A69858CC56}"/>
    <cellStyle name="Normal 4 2 2 3 2 3 2 2 5" xfId="11511" xr:uid="{08809C67-4194-4CC9-B36E-E1CEB2A8EC33}"/>
    <cellStyle name="Normal 4 2 2 3 2 3 2 3" xfId="5134" xr:uid="{00000000-0005-0000-0000-000021120000}"/>
    <cellStyle name="Normal 4 2 2 3 2 3 2 3 2" xfId="30473" xr:uid="{8374DBCF-6A59-476C-8207-13269E3023D4}"/>
    <cellStyle name="Normal 4 2 2 3 2 3 2 3 3" xfId="22032" xr:uid="{DDD0C5A0-B987-4F2C-BA1A-C93430E0B330}"/>
    <cellStyle name="Normal 4 2 2 3 2 3 2 3 4" xfId="13584" xr:uid="{785F8EA3-98CB-4739-B8C2-742DB351ED58}"/>
    <cellStyle name="Normal 4 2 2 3 2 3 2 4" xfId="26255" xr:uid="{D5393A43-034B-4D27-A9EF-7D9076165930}"/>
    <cellStyle name="Normal 4 2 2 3 2 3 2 5" xfId="17814" xr:uid="{BBD36EFD-8543-4801-BFD0-A3FDFDEF8778}"/>
    <cellStyle name="Normal 4 2 2 3 2 3 2 6" xfId="9366" xr:uid="{384AB9C1-7F6B-49C1-8537-005015FEFFF4}"/>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33031" xr:uid="{67441618-F53E-4D38-93BD-BD4BDFE7E018}"/>
    <cellStyle name="Normal 4 2 2 3 2 3 3 2 2 3" xfId="24590" xr:uid="{732EA8A1-73A1-4E97-81D4-2A15AFD632E1}"/>
    <cellStyle name="Normal 4 2 2 3 2 3 3 2 2 4" xfId="16142" xr:uid="{5DB8ABC5-B85C-453C-A924-F5A7714B421B}"/>
    <cellStyle name="Normal 4 2 2 3 2 3 3 2 3" xfId="28813" xr:uid="{E99609D2-C97E-45FB-9145-188F24108815}"/>
    <cellStyle name="Normal 4 2 2 3 2 3 3 2 4" xfId="20372" xr:uid="{F9E370CB-87A5-478B-8491-ABCEB6A4E8F4}"/>
    <cellStyle name="Normal 4 2 2 3 2 3 3 2 5" xfId="11924" xr:uid="{A4D9ADA2-5439-45E1-8386-B3E9F899F96A}"/>
    <cellStyle name="Normal 4 2 2 3 2 3 3 3" xfId="5547" xr:uid="{00000000-0005-0000-0000-000025120000}"/>
    <cellStyle name="Normal 4 2 2 3 2 3 3 3 2" xfId="30886" xr:uid="{A6009C51-7810-48DF-9403-8F928056DE2A}"/>
    <cellStyle name="Normal 4 2 2 3 2 3 3 3 3" xfId="22445" xr:uid="{3EC5C531-A37C-4EF9-A321-6FB0FFB069FC}"/>
    <cellStyle name="Normal 4 2 2 3 2 3 3 3 4" xfId="13997" xr:uid="{7188E5CD-BD18-423C-A28C-F9B5EC90683C}"/>
    <cellStyle name="Normal 4 2 2 3 2 3 3 4" xfId="26668" xr:uid="{B706B928-A95C-4E64-97EB-3FECB58578B8}"/>
    <cellStyle name="Normal 4 2 2 3 2 3 3 5" xfId="18227" xr:uid="{D252C810-7EE0-43EE-ADA4-CBA3E0E1D85C}"/>
    <cellStyle name="Normal 4 2 2 3 2 3 3 6" xfId="9779" xr:uid="{09D6FF28-B2FF-45A0-9226-4E4480769437}"/>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33444" xr:uid="{68B13A38-44BF-4ABF-912B-A9A87BB7140A}"/>
    <cellStyle name="Normal 4 2 2 3 2 3 4 2 2 3" xfId="25003" xr:uid="{34F6E584-3815-4E66-B7F0-7D66F52617E9}"/>
    <cellStyle name="Normal 4 2 2 3 2 3 4 2 2 4" xfId="16555" xr:uid="{B9F90BC7-1954-4153-90EB-C14D5157E3B9}"/>
    <cellStyle name="Normal 4 2 2 3 2 3 4 2 3" xfId="29226" xr:uid="{562C8D21-46BC-4788-8D8F-C232B2FA057C}"/>
    <cellStyle name="Normal 4 2 2 3 2 3 4 2 4" xfId="20785" xr:uid="{BA2009F4-060D-4B12-B24B-5E6791386BF5}"/>
    <cellStyle name="Normal 4 2 2 3 2 3 4 2 5" xfId="12337" xr:uid="{B20A21F2-1322-437E-AEF7-BF9CC4B69FC5}"/>
    <cellStyle name="Normal 4 2 2 3 2 3 4 3" xfId="5960" xr:uid="{00000000-0005-0000-0000-000029120000}"/>
    <cellStyle name="Normal 4 2 2 3 2 3 4 3 2" xfId="31299" xr:uid="{B9B50005-2CB2-4F65-9128-C37572C23654}"/>
    <cellStyle name="Normal 4 2 2 3 2 3 4 3 3" xfId="22858" xr:uid="{6A2DA5C0-11F1-4699-98A6-15993F65D4CB}"/>
    <cellStyle name="Normal 4 2 2 3 2 3 4 3 4" xfId="14410" xr:uid="{DC9F1374-3AC9-4B9B-90E1-EFBFBD4B8642}"/>
    <cellStyle name="Normal 4 2 2 3 2 3 4 4" xfId="27081" xr:uid="{4BBE7FF1-5A2C-4AD2-B4D9-31C99C3301D9}"/>
    <cellStyle name="Normal 4 2 2 3 2 3 4 5" xfId="18640" xr:uid="{CD2E4D65-7533-4F9B-886A-6C322653E3C9}"/>
    <cellStyle name="Normal 4 2 2 3 2 3 4 6" xfId="10192" xr:uid="{247327C3-17B4-49BA-B101-B45C1158AAAA}"/>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33857" xr:uid="{26757519-6D33-45A4-8CC0-8A3A01D0D50A}"/>
    <cellStyle name="Normal 4 2 2 3 2 3 5 2 2 3" xfId="25416" xr:uid="{A5CD3EFB-20FB-4C0F-AF0C-C908D812BDB3}"/>
    <cellStyle name="Normal 4 2 2 3 2 3 5 2 2 4" xfId="16968" xr:uid="{B4345E5C-E342-4E45-9FEA-C02D1729E94F}"/>
    <cellStyle name="Normal 4 2 2 3 2 3 5 2 3" xfId="29639" xr:uid="{EEBF6F04-5060-4433-8A92-0340AD6D8FBC}"/>
    <cellStyle name="Normal 4 2 2 3 2 3 5 2 4" xfId="21198" xr:uid="{B179AC03-CB77-44E4-A1A8-C1434293AEA6}"/>
    <cellStyle name="Normal 4 2 2 3 2 3 5 2 5" xfId="12750" xr:uid="{43F17F0B-4F3F-44F8-A91F-5E4864A86030}"/>
    <cellStyle name="Normal 4 2 2 3 2 3 5 3" xfId="6373" xr:uid="{00000000-0005-0000-0000-00002D120000}"/>
    <cellStyle name="Normal 4 2 2 3 2 3 5 3 2" xfId="31712" xr:uid="{4FD84194-55F4-466C-98B8-84FA9B6FE31A}"/>
    <cellStyle name="Normal 4 2 2 3 2 3 5 3 3" xfId="23271" xr:uid="{A0501928-DF94-4F6D-91AC-9A13DDA7356F}"/>
    <cellStyle name="Normal 4 2 2 3 2 3 5 3 4" xfId="14823" xr:uid="{2A4482A8-104D-417E-B57A-4340EF73B69C}"/>
    <cellStyle name="Normal 4 2 2 3 2 3 5 4" xfId="27494" xr:uid="{902EAEA3-16A1-4150-B5B9-49D4A717A61E}"/>
    <cellStyle name="Normal 4 2 2 3 2 3 5 5" xfId="19053" xr:uid="{0D9D8E88-3D78-48A0-B934-4ED4D03B27F9}"/>
    <cellStyle name="Normal 4 2 2 3 2 3 5 6" xfId="10605" xr:uid="{0256BB89-2557-4457-9898-35A3D3F50059}"/>
    <cellStyle name="Normal 4 2 2 3 2 3 6" xfId="2503" xr:uid="{00000000-0005-0000-0000-00002E120000}"/>
    <cellStyle name="Normal 4 2 2 3 2 3 6 2" xfId="6786" xr:uid="{00000000-0005-0000-0000-00002F120000}"/>
    <cellStyle name="Normal 4 2 2 3 2 3 6 2 2" xfId="32125" xr:uid="{4DE4FE81-BA5E-49A2-84F7-056537EFED0D}"/>
    <cellStyle name="Normal 4 2 2 3 2 3 6 2 3" xfId="23684" xr:uid="{FCE8182D-7A2D-4254-BC7F-DF1E44DE58A0}"/>
    <cellStyle name="Normal 4 2 2 3 2 3 6 2 4" xfId="15236" xr:uid="{9B6920E4-D0F8-499B-BCE0-6762F5917282}"/>
    <cellStyle name="Normal 4 2 2 3 2 3 6 3" xfId="27907" xr:uid="{53D880E9-EA2E-42C3-9DC8-41025BEEE34B}"/>
    <cellStyle name="Normal 4 2 2 3 2 3 6 4" xfId="19466" xr:uid="{B4EACDDE-3F48-4DC4-836F-F31201E8D323}"/>
    <cellStyle name="Normal 4 2 2 3 2 3 6 5" xfId="11018" xr:uid="{E1445756-6656-49D0-909D-F416969807C3}"/>
    <cellStyle name="Normal 4 2 2 3 2 3 7" xfId="4721" xr:uid="{00000000-0005-0000-0000-000030120000}"/>
    <cellStyle name="Normal 4 2 2 3 2 3 7 2" xfId="30060" xr:uid="{0C1BDE61-5C3F-4D83-8E4F-E6359AA8D06E}"/>
    <cellStyle name="Normal 4 2 2 3 2 3 7 3" xfId="21619" xr:uid="{C57FF248-6F42-4D75-9748-05A9159A983E}"/>
    <cellStyle name="Normal 4 2 2 3 2 3 7 4" xfId="13171" xr:uid="{A56CCA92-E684-4E03-9BD1-8EFAC131D093}"/>
    <cellStyle name="Normal 4 2 2 3 2 3 8" xfId="25842" xr:uid="{B8D07206-D7C6-4BD8-804A-A69702729958}"/>
    <cellStyle name="Normal 4 2 2 3 2 3 9" xfId="17401" xr:uid="{11807BA6-EC4C-4807-AA38-ED9D905BBEEB}"/>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32615" xr:uid="{4D853CDD-5C61-47EF-8696-782B5DB7766E}"/>
    <cellStyle name="Normal 4 2 2 3 2 4 2 2 3" xfId="24174" xr:uid="{3D756660-6F94-4F66-B737-09C744B19FBD}"/>
    <cellStyle name="Normal 4 2 2 3 2 4 2 2 4" xfId="15726" xr:uid="{C15993F0-65A8-4734-A985-830F79C52BD1}"/>
    <cellStyle name="Normal 4 2 2 3 2 4 2 3" xfId="28397" xr:uid="{707414A9-49F8-417D-9EC3-E8AFB5C06FA1}"/>
    <cellStyle name="Normal 4 2 2 3 2 4 2 4" xfId="19956" xr:uid="{E57E7E9A-0DFB-4C2C-9E37-99A5BDDBC094}"/>
    <cellStyle name="Normal 4 2 2 3 2 4 2 5" xfId="11508" xr:uid="{077A915F-C7C7-4433-8555-BC475C33AE6B}"/>
    <cellStyle name="Normal 4 2 2 3 2 4 3" xfId="5131" xr:uid="{00000000-0005-0000-0000-000034120000}"/>
    <cellStyle name="Normal 4 2 2 3 2 4 3 2" xfId="30470" xr:uid="{7D3479E7-50A1-48E1-ABA9-2D5BE0D1CEE1}"/>
    <cellStyle name="Normal 4 2 2 3 2 4 3 3" xfId="22029" xr:uid="{B5F17FEA-C532-40B4-B990-3F68189AD7BD}"/>
    <cellStyle name="Normal 4 2 2 3 2 4 3 4" xfId="13581" xr:uid="{518C8D73-4846-47C0-BC1C-CC508ED59560}"/>
    <cellStyle name="Normal 4 2 2 3 2 4 4" xfId="26252" xr:uid="{16FFC3C8-C80F-4814-8DDA-93D5821FAC18}"/>
    <cellStyle name="Normal 4 2 2 3 2 4 5" xfId="17811" xr:uid="{E8FDDCCE-607A-442A-82AC-73E0678817EF}"/>
    <cellStyle name="Normal 4 2 2 3 2 4 6" xfId="9363" xr:uid="{BD86A618-2CE0-4B92-8BCD-1C4CC2B5D122}"/>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33028" xr:uid="{EA11A483-2B34-410A-822F-AEF02596D21F}"/>
    <cellStyle name="Normal 4 2 2 3 2 5 2 2 3" xfId="24587" xr:uid="{8D83905F-C066-4E52-9600-3A6679AC293E}"/>
    <cellStyle name="Normal 4 2 2 3 2 5 2 2 4" xfId="16139" xr:uid="{457EFC4C-1352-4238-A8C0-C6A34C35CDFE}"/>
    <cellStyle name="Normal 4 2 2 3 2 5 2 3" xfId="28810" xr:uid="{2B369C45-3CB9-4D7A-B15F-09C83EE7C4A0}"/>
    <cellStyle name="Normal 4 2 2 3 2 5 2 4" xfId="20369" xr:uid="{4BC9030B-C9CC-45BD-8ED5-E3C1FCC746C7}"/>
    <cellStyle name="Normal 4 2 2 3 2 5 2 5" xfId="11921" xr:uid="{35AE012B-DD0E-4000-9BC4-C645B75EFA8A}"/>
    <cellStyle name="Normal 4 2 2 3 2 5 3" xfId="5544" xr:uid="{00000000-0005-0000-0000-000038120000}"/>
    <cellStyle name="Normal 4 2 2 3 2 5 3 2" xfId="30883" xr:uid="{B44CE7D6-8054-4132-A83A-0E645693CAB5}"/>
    <cellStyle name="Normal 4 2 2 3 2 5 3 3" xfId="22442" xr:uid="{F6695BC7-6C3C-40EB-A9DA-794262FC0D9F}"/>
    <cellStyle name="Normal 4 2 2 3 2 5 3 4" xfId="13994" xr:uid="{807269F0-FCD6-4CE2-BCF8-3F56DB886F17}"/>
    <cellStyle name="Normal 4 2 2 3 2 5 4" xfId="26665" xr:uid="{1A9C3F6B-19CD-444C-B771-E55D26565042}"/>
    <cellStyle name="Normal 4 2 2 3 2 5 5" xfId="18224" xr:uid="{96BD65AE-37FC-423F-8C8B-0F549FBD66B8}"/>
    <cellStyle name="Normal 4 2 2 3 2 5 6" xfId="9776" xr:uid="{395FF2DD-6153-4391-9197-AFBFF1174599}"/>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33441" xr:uid="{CA37C3B8-F01C-4C1E-B549-D093A354B81B}"/>
    <cellStyle name="Normal 4 2 2 3 2 6 2 2 3" xfId="25000" xr:uid="{9C659AC8-0527-4EA8-AC24-598467C7CB7E}"/>
    <cellStyle name="Normal 4 2 2 3 2 6 2 2 4" xfId="16552" xr:uid="{97179D81-E8B4-4196-8E0E-3D4CA4CCF0D2}"/>
    <cellStyle name="Normal 4 2 2 3 2 6 2 3" xfId="29223" xr:uid="{9CE15FAE-59F0-437E-A56E-919F31BBE416}"/>
    <cellStyle name="Normal 4 2 2 3 2 6 2 4" xfId="20782" xr:uid="{C1955305-6F18-4FE8-AF2D-80823FEFB21F}"/>
    <cellStyle name="Normal 4 2 2 3 2 6 2 5" xfId="12334" xr:uid="{145221F4-B660-4F09-8D72-01C444AB9BFB}"/>
    <cellStyle name="Normal 4 2 2 3 2 6 3" xfId="5957" xr:uid="{00000000-0005-0000-0000-00003C120000}"/>
    <cellStyle name="Normal 4 2 2 3 2 6 3 2" xfId="31296" xr:uid="{E9872B61-B343-4C14-830A-079664EE072D}"/>
    <cellStyle name="Normal 4 2 2 3 2 6 3 3" xfId="22855" xr:uid="{6BFABBFD-9BF8-403C-BEDD-90398CD47102}"/>
    <cellStyle name="Normal 4 2 2 3 2 6 3 4" xfId="14407" xr:uid="{1E373FEC-0A92-4FBD-9510-FB569229039C}"/>
    <cellStyle name="Normal 4 2 2 3 2 6 4" xfId="27078" xr:uid="{36D9D68F-AF1D-4A61-85FB-C2CEA95FD5F9}"/>
    <cellStyle name="Normal 4 2 2 3 2 6 5" xfId="18637" xr:uid="{07731640-A29B-4B9A-AFAC-3120916607A1}"/>
    <cellStyle name="Normal 4 2 2 3 2 6 6" xfId="10189" xr:uid="{AD24F49B-D83E-49CE-90DF-358778D215F1}"/>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33854" xr:uid="{06DB5078-39D4-4463-A3A2-8B51ADC4374A}"/>
    <cellStyle name="Normal 4 2 2 3 2 7 2 2 3" xfId="25413" xr:uid="{202B15CF-8F42-40BA-B130-426B0596F9F3}"/>
    <cellStyle name="Normal 4 2 2 3 2 7 2 2 4" xfId="16965" xr:uid="{C8BA94A9-AB33-49E9-9D24-892C6352D3A3}"/>
    <cellStyle name="Normal 4 2 2 3 2 7 2 3" xfId="29636" xr:uid="{43E51CAA-D53D-4970-B215-9F2634E733F9}"/>
    <cellStyle name="Normal 4 2 2 3 2 7 2 4" xfId="21195" xr:uid="{CF3EB322-7B9B-44D7-A191-EB6F969EC28F}"/>
    <cellStyle name="Normal 4 2 2 3 2 7 2 5" xfId="12747" xr:uid="{C87EC6B5-08A9-4D3F-8DE4-44C67D5E7E2C}"/>
    <cellStyle name="Normal 4 2 2 3 2 7 3" xfId="6370" xr:uid="{00000000-0005-0000-0000-000040120000}"/>
    <cellStyle name="Normal 4 2 2 3 2 7 3 2" xfId="31709" xr:uid="{CD935A69-B62E-4273-94F8-FC92CB795429}"/>
    <cellStyle name="Normal 4 2 2 3 2 7 3 3" xfId="23268" xr:uid="{ED785B0D-0C24-41C4-8DFF-EEF7DB463A79}"/>
    <cellStyle name="Normal 4 2 2 3 2 7 3 4" xfId="14820" xr:uid="{0BCAE9AF-1324-4B7E-8BFB-E3458C699739}"/>
    <cellStyle name="Normal 4 2 2 3 2 7 4" xfId="27491" xr:uid="{9CFA1BD7-4A27-4261-994D-7E26863662BE}"/>
    <cellStyle name="Normal 4 2 2 3 2 7 5" xfId="19050" xr:uid="{FD7F1F31-8E04-4454-8184-7D27AA6A6A12}"/>
    <cellStyle name="Normal 4 2 2 3 2 7 6" xfId="10602" xr:uid="{DD1738B8-6D9F-4AC5-B26F-895E76448EA8}"/>
    <cellStyle name="Normal 4 2 2 3 2 8" xfId="2500" xr:uid="{00000000-0005-0000-0000-000041120000}"/>
    <cellStyle name="Normal 4 2 2 3 2 8 2" xfId="6783" xr:uid="{00000000-0005-0000-0000-000042120000}"/>
    <cellStyle name="Normal 4 2 2 3 2 8 2 2" xfId="32122" xr:uid="{19867297-453A-493C-8B3F-711D4B4F8C6E}"/>
    <cellStyle name="Normal 4 2 2 3 2 8 2 3" xfId="23681" xr:uid="{7EA3C6CF-E987-42ED-84C0-DE11994F2139}"/>
    <cellStyle name="Normal 4 2 2 3 2 8 2 4" xfId="15233" xr:uid="{8CAFD10A-897A-495F-98EE-01DC17155AF5}"/>
    <cellStyle name="Normal 4 2 2 3 2 8 3" xfId="27904" xr:uid="{F4A12F9F-3FB5-41AB-AAA3-4292A98FAC1B}"/>
    <cellStyle name="Normal 4 2 2 3 2 8 4" xfId="19463" xr:uid="{8842CD6C-522A-4494-943A-9278033A5B0F}"/>
    <cellStyle name="Normal 4 2 2 3 2 8 5" xfId="11015" xr:uid="{58801DAC-A0EF-4243-BBE8-42FD58BA005C}"/>
    <cellStyle name="Normal 4 2 2 3 2 9" xfId="4718" xr:uid="{00000000-0005-0000-0000-000043120000}"/>
    <cellStyle name="Normal 4 2 2 3 2 9 2" xfId="30057" xr:uid="{73664128-36AC-497A-933C-00ADAA35607D}"/>
    <cellStyle name="Normal 4 2 2 3 2 9 3" xfId="21616" xr:uid="{55FC4EFF-E6E6-43C4-A95B-78A4897D95E2}"/>
    <cellStyle name="Normal 4 2 2 3 2 9 4" xfId="13168" xr:uid="{68A96FD0-B432-4CDA-B8A5-B157D026AA65}"/>
    <cellStyle name="Normal 4 2 2 3 3" xfId="344" xr:uid="{00000000-0005-0000-0000-000044120000}"/>
    <cellStyle name="Normal 4 2 2 3 3 10" xfId="17402" xr:uid="{1AEAD2AC-8540-4BE6-AEA6-8BC966CF8F99}"/>
    <cellStyle name="Normal 4 2 2 3 3 11" xfId="8954" xr:uid="{3725DEDA-8F45-49BD-9108-019D1D30D705}"/>
    <cellStyle name="Normal 4 2 2 3 3 2" xfId="345" xr:uid="{00000000-0005-0000-0000-000045120000}"/>
    <cellStyle name="Normal 4 2 2 3 3 2 10" xfId="8955" xr:uid="{BD33B512-79A4-4640-8053-C91F33B7613A}"/>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32620" xr:uid="{1BF96285-0AAD-45C3-BB5E-6C28BEF429EA}"/>
    <cellStyle name="Normal 4 2 2 3 3 2 2 2 2 3" xfId="24179" xr:uid="{C9CC3D19-7E95-4573-935B-24491B8759E8}"/>
    <cellStyle name="Normal 4 2 2 3 3 2 2 2 2 4" xfId="15731" xr:uid="{7ED6FBBD-1A29-4762-84BD-B07F8E945843}"/>
    <cellStyle name="Normal 4 2 2 3 3 2 2 2 3" xfId="28402" xr:uid="{F04FAE13-0675-4E79-A20D-96D6D2478124}"/>
    <cellStyle name="Normal 4 2 2 3 3 2 2 2 4" xfId="19961" xr:uid="{8382CCD9-3AE9-4FF2-9927-9A281BCCB356}"/>
    <cellStyle name="Normal 4 2 2 3 3 2 2 2 5" xfId="11513" xr:uid="{855515F1-ADF9-4A65-B937-58EE4FA66692}"/>
    <cellStyle name="Normal 4 2 2 3 3 2 2 3" xfId="5136" xr:uid="{00000000-0005-0000-0000-000049120000}"/>
    <cellStyle name="Normal 4 2 2 3 3 2 2 3 2" xfId="30475" xr:uid="{151DB092-7CB2-4C64-B831-CFE555C2D7DB}"/>
    <cellStyle name="Normal 4 2 2 3 3 2 2 3 3" xfId="22034" xr:uid="{128B5D37-2427-4A1F-9F63-91CB9FFF2DA4}"/>
    <cellStyle name="Normal 4 2 2 3 3 2 2 3 4" xfId="13586" xr:uid="{BADB6D5A-B34E-4422-9D76-7E62C942B99E}"/>
    <cellStyle name="Normal 4 2 2 3 3 2 2 4" xfId="26257" xr:uid="{43FA2DC8-FD77-4826-860A-6384A0BEF830}"/>
    <cellStyle name="Normal 4 2 2 3 3 2 2 5" xfId="17816" xr:uid="{0F069C73-5A5A-431D-AB33-4B95A267F0F1}"/>
    <cellStyle name="Normal 4 2 2 3 3 2 2 6" xfId="9368" xr:uid="{E62DEC1E-2335-4221-B959-465A61B31523}"/>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33033" xr:uid="{BE4FFC48-F48D-4595-BB2C-B0FD022871DC}"/>
    <cellStyle name="Normal 4 2 2 3 3 2 3 2 2 3" xfId="24592" xr:uid="{ED05484B-915D-42F4-823A-A44324173482}"/>
    <cellStyle name="Normal 4 2 2 3 3 2 3 2 2 4" xfId="16144" xr:uid="{0400930B-C575-4666-9C67-EE10BB077402}"/>
    <cellStyle name="Normal 4 2 2 3 3 2 3 2 3" xfId="28815" xr:uid="{2E439F4E-F752-4A6F-8731-E13525DFD079}"/>
    <cellStyle name="Normal 4 2 2 3 3 2 3 2 4" xfId="20374" xr:uid="{318440F7-24A2-4514-9FD2-12E1CBAE7431}"/>
    <cellStyle name="Normal 4 2 2 3 3 2 3 2 5" xfId="11926" xr:uid="{206F9CF6-8C50-4D33-9AF4-602D39EB6C6C}"/>
    <cellStyle name="Normal 4 2 2 3 3 2 3 3" xfId="5549" xr:uid="{00000000-0005-0000-0000-00004D120000}"/>
    <cellStyle name="Normal 4 2 2 3 3 2 3 3 2" xfId="30888" xr:uid="{13470BC6-12D9-42B5-BB7C-FFA25C60268D}"/>
    <cellStyle name="Normal 4 2 2 3 3 2 3 3 3" xfId="22447" xr:uid="{D913F151-F099-40A3-AEF3-D583B3F7F70A}"/>
    <cellStyle name="Normal 4 2 2 3 3 2 3 3 4" xfId="13999" xr:uid="{6252FF26-66B9-4AB0-884C-D837FCFF0EC2}"/>
    <cellStyle name="Normal 4 2 2 3 3 2 3 4" xfId="26670" xr:uid="{55D32101-433E-4286-88F9-78ABA2A88EC6}"/>
    <cellStyle name="Normal 4 2 2 3 3 2 3 5" xfId="18229" xr:uid="{40E91E7E-74C2-466E-AE15-E7725217ACF0}"/>
    <cellStyle name="Normal 4 2 2 3 3 2 3 6" xfId="9781" xr:uid="{93B1C586-5544-471C-834B-264999ACB09C}"/>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33446" xr:uid="{32C45F44-6940-460E-B98A-D3276DF6F862}"/>
    <cellStyle name="Normal 4 2 2 3 3 2 4 2 2 3" xfId="25005" xr:uid="{9AA91F5B-4876-48FE-BBF3-9B23283B99EF}"/>
    <cellStyle name="Normal 4 2 2 3 3 2 4 2 2 4" xfId="16557" xr:uid="{055452E3-D418-4C26-BCA7-CE320CBCA036}"/>
    <cellStyle name="Normal 4 2 2 3 3 2 4 2 3" xfId="29228" xr:uid="{3DDB5DA0-815D-4D3E-81CE-2204E5D0D6A9}"/>
    <cellStyle name="Normal 4 2 2 3 3 2 4 2 4" xfId="20787" xr:uid="{2C756251-CCD4-4D15-8D1A-4EF4791B8439}"/>
    <cellStyle name="Normal 4 2 2 3 3 2 4 2 5" xfId="12339" xr:uid="{16992744-8103-40FE-9016-BE90DA07B9C1}"/>
    <cellStyle name="Normal 4 2 2 3 3 2 4 3" xfId="5962" xr:uid="{00000000-0005-0000-0000-000051120000}"/>
    <cellStyle name="Normal 4 2 2 3 3 2 4 3 2" xfId="31301" xr:uid="{394A50F7-F4C7-4B21-A052-6DAEFAA6929A}"/>
    <cellStyle name="Normal 4 2 2 3 3 2 4 3 3" xfId="22860" xr:uid="{8409B30B-1F79-4C18-AA65-A2605848DFA8}"/>
    <cellStyle name="Normal 4 2 2 3 3 2 4 3 4" xfId="14412" xr:uid="{BBC5577A-1F5D-4704-9CED-EA18EA0E99BC}"/>
    <cellStyle name="Normal 4 2 2 3 3 2 4 4" xfId="27083" xr:uid="{FB104C27-1DF1-4FD8-B32D-B54F7815E6B7}"/>
    <cellStyle name="Normal 4 2 2 3 3 2 4 5" xfId="18642" xr:uid="{FC2117AA-675A-47FB-B02E-8BB04B97FF92}"/>
    <cellStyle name="Normal 4 2 2 3 3 2 4 6" xfId="10194" xr:uid="{98C6F20E-E837-4C2B-8F9D-582B1A146A0D}"/>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33859" xr:uid="{1BC5D1E6-E870-4B5E-8841-DB43E44CA65A}"/>
    <cellStyle name="Normal 4 2 2 3 3 2 5 2 2 3" xfId="25418" xr:uid="{2ACA8F1F-E6AA-497F-B3D6-37A9D6067624}"/>
    <cellStyle name="Normal 4 2 2 3 3 2 5 2 2 4" xfId="16970" xr:uid="{DAEC24BE-2E73-4088-8CA5-0EC4CDFE860A}"/>
    <cellStyle name="Normal 4 2 2 3 3 2 5 2 3" xfId="29641" xr:uid="{73BECAA3-BFB6-4068-A90D-AFCBB9ACE410}"/>
    <cellStyle name="Normal 4 2 2 3 3 2 5 2 4" xfId="21200" xr:uid="{2EF7A98F-76E5-4B2E-BF07-531BBEC0D12A}"/>
    <cellStyle name="Normal 4 2 2 3 3 2 5 2 5" xfId="12752" xr:uid="{0FC4059D-016F-43C2-8ECE-3DC4E5593729}"/>
    <cellStyle name="Normal 4 2 2 3 3 2 5 3" xfId="6375" xr:uid="{00000000-0005-0000-0000-000055120000}"/>
    <cellStyle name="Normal 4 2 2 3 3 2 5 3 2" xfId="31714" xr:uid="{822B05C5-CDFF-432E-AC28-6F75BA205E2F}"/>
    <cellStyle name="Normal 4 2 2 3 3 2 5 3 3" xfId="23273" xr:uid="{472450E8-72A1-432F-B7DF-920DBA57AF9B}"/>
    <cellStyle name="Normal 4 2 2 3 3 2 5 3 4" xfId="14825" xr:uid="{86AE7B67-B8B0-488B-8F61-75A67B64077D}"/>
    <cellStyle name="Normal 4 2 2 3 3 2 5 4" xfId="27496" xr:uid="{1754ED24-EB3C-47C4-8A0A-E1BB1EB88B2E}"/>
    <cellStyle name="Normal 4 2 2 3 3 2 5 5" xfId="19055" xr:uid="{A735B71E-9ED0-4F2D-ABB7-BE87FAD9132D}"/>
    <cellStyle name="Normal 4 2 2 3 3 2 5 6" xfId="10607" xr:uid="{94AACA89-2E7F-4CE5-905F-75CCEEE98C2C}"/>
    <cellStyle name="Normal 4 2 2 3 3 2 6" xfId="2505" xr:uid="{00000000-0005-0000-0000-000056120000}"/>
    <cellStyle name="Normal 4 2 2 3 3 2 6 2" xfId="6788" xr:uid="{00000000-0005-0000-0000-000057120000}"/>
    <cellStyle name="Normal 4 2 2 3 3 2 6 2 2" xfId="32127" xr:uid="{F42C0027-0D77-4246-990B-15A4F2DDA450}"/>
    <cellStyle name="Normal 4 2 2 3 3 2 6 2 3" xfId="23686" xr:uid="{B3C36A34-672A-4801-B889-FB61E0F56BBE}"/>
    <cellStyle name="Normal 4 2 2 3 3 2 6 2 4" xfId="15238" xr:uid="{7BE4A3F4-2CD8-415E-8DF0-E6B813A2BE42}"/>
    <cellStyle name="Normal 4 2 2 3 3 2 6 3" xfId="27909" xr:uid="{AB6757D8-0733-44AA-9290-44F453C5DB17}"/>
    <cellStyle name="Normal 4 2 2 3 3 2 6 4" xfId="19468" xr:uid="{76988627-AA56-4E88-8B2E-82B05589C143}"/>
    <cellStyle name="Normal 4 2 2 3 3 2 6 5" xfId="11020" xr:uid="{4E64EBE7-BD29-4664-A022-F1EB40A1F58D}"/>
    <cellStyle name="Normal 4 2 2 3 3 2 7" xfId="4723" xr:uid="{00000000-0005-0000-0000-000058120000}"/>
    <cellStyle name="Normal 4 2 2 3 3 2 7 2" xfId="30062" xr:uid="{CA02FA2E-4E0F-4041-A4D0-A6CEA257C7CC}"/>
    <cellStyle name="Normal 4 2 2 3 3 2 7 3" xfId="21621" xr:uid="{2247E71B-DBA9-4B27-8C79-B1DC737E13C2}"/>
    <cellStyle name="Normal 4 2 2 3 3 2 7 4" xfId="13173" xr:uid="{B8D3E308-30BB-42B6-9EF2-35DCC2780E80}"/>
    <cellStyle name="Normal 4 2 2 3 3 2 8" xfId="25844" xr:uid="{16BD4464-5D0D-4A5C-80CB-BEB5AACC4727}"/>
    <cellStyle name="Normal 4 2 2 3 3 2 9" xfId="17403" xr:uid="{26D20406-8433-4FBD-8738-1D4BD34CB651}"/>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32619" xr:uid="{EE9FD5A4-4968-4FD4-8427-E84923DECAF7}"/>
    <cellStyle name="Normal 4 2 2 3 3 3 2 2 3" xfId="24178" xr:uid="{FFDAD4CB-F3D4-47B8-A181-4BFE071B2644}"/>
    <cellStyle name="Normal 4 2 2 3 3 3 2 2 4" xfId="15730" xr:uid="{0E469921-C152-41FD-82D7-6F7FCADB9BF1}"/>
    <cellStyle name="Normal 4 2 2 3 3 3 2 3" xfId="28401" xr:uid="{8DB82365-CE99-47BE-A25D-D985AEC35E9A}"/>
    <cellStyle name="Normal 4 2 2 3 3 3 2 4" xfId="19960" xr:uid="{0DEA1C75-3F3D-4AC2-AD02-87EBC33E6B16}"/>
    <cellStyle name="Normal 4 2 2 3 3 3 2 5" xfId="11512" xr:uid="{0EE4FBFB-0F11-4E35-8669-8B66A7E3B6B7}"/>
    <cellStyle name="Normal 4 2 2 3 3 3 3" xfId="5135" xr:uid="{00000000-0005-0000-0000-00005C120000}"/>
    <cellStyle name="Normal 4 2 2 3 3 3 3 2" xfId="30474" xr:uid="{D056E82A-BFDB-46CB-8D10-1A2BA03D4C3C}"/>
    <cellStyle name="Normal 4 2 2 3 3 3 3 3" xfId="22033" xr:uid="{125A7571-E6D3-4BA8-AD72-A35612D4DE8D}"/>
    <cellStyle name="Normal 4 2 2 3 3 3 3 4" xfId="13585" xr:uid="{57033A67-4809-4A54-9668-4D9B8DF9BCDF}"/>
    <cellStyle name="Normal 4 2 2 3 3 3 4" xfId="26256" xr:uid="{BFEA7F70-7701-42A0-AD22-6987F626A6B0}"/>
    <cellStyle name="Normal 4 2 2 3 3 3 5" xfId="17815" xr:uid="{ADFAF22A-DE7A-40A5-B560-70859EEAC736}"/>
    <cellStyle name="Normal 4 2 2 3 3 3 6" xfId="9367" xr:uid="{8FEA64CE-51D5-42DE-803B-D5B2B8FC0053}"/>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33032" xr:uid="{91ABA933-0223-4C09-B474-748566F32902}"/>
    <cellStyle name="Normal 4 2 2 3 3 4 2 2 3" xfId="24591" xr:uid="{ECB69E4B-D344-4C59-8A9F-DBD1CEB33652}"/>
    <cellStyle name="Normal 4 2 2 3 3 4 2 2 4" xfId="16143" xr:uid="{D1CF5D58-5D08-4C6A-A201-41D699432767}"/>
    <cellStyle name="Normal 4 2 2 3 3 4 2 3" xfId="28814" xr:uid="{31B52201-04E7-43D8-AF53-722E2D3D12D8}"/>
    <cellStyle name="Normal 4 2 2 3 3 4 2 4" xfId="20373" xr:uid="{A8915E75-8302-4F7C-981B-AB8FCD4A89BB}"/>
    <cellStyle name="Normal 4 2 2 3 3 4 2 5" xfId="11925" xr:uid="{43E4686B-DF53-472D-8537-DD4E6B3A60D3}"/>
    <cellStyle name="Normal 4 2 2 3 3 4 3" xfId="5548" xr:uid="{00000000-0005-0000-0000-000060120000}"/>
    <cellStyle name="Normal 4 2 2 3 3 4 3 2" xfId="30887" xr:uid="{2447DE55-CAB6-4E3A-B732-B958CD846D02}"/>
    <cellStyle name="Normal 4 2 2 3 3 4 3 3" xfId="22446" xr:uid="{36994062-28CB-449F-A1C4-8FFA919BF30D}"/>
    <cellStyle name="Normal 4 2 2 3 3 4 3 4" xfId="13998" xr:uid="{2BB00302-C0DC-4760-B01C-773ACEB46FBC}"/>
    <cellStyle name="Normal 4 2 2 3 3 4 4" xfId="26669" xr:uid="{4CBBF440-5A03-41A0-AAE8-1D4641E49395}"/>
    <cellStyle name="Normal 4 2 2 3 3 4 5" xfId="18228" xr:uid="{8720F391-884A-4943-BBA6-120BFF9FF986}"/>
    <cellStyle name="Normal 4 2 2 3 3 4 6" xfId="9780" xr:uid="{6B6E20B0-DCB5-4FBD-807B-40784147CC67}"/>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33445" xr:uid="{F1F8C8D4-D24F-4AB7-92A9-DCF7E7DB70C3}"/>
    <cellStyle name="Normal 4 2 2 3 3 5 2 2 3" xfId="25004" xr:uid="{A5C38FA4-8E95-475C-B7DC-ED5244097B9D}"/>
    <cellStyle name="Normal 4 2 2 3 3 5 2 2 4" xfId="16556" xr:uid="{48CD10F4-F07C-4C6B-8F6C-E94320BFE8A4}"/>
    <cellStyle name="Normal 4 2 2 3 3 5 2 3" xfId="29227" xr:uid="{F337D427-5659-4014-AE82-F627D2E8D4F7}"/>
    <cellStyle name="Normal 4 2 2 3 3 5 2 4" xfId="20786" xr:uid="{2B768F12-9BEA-45FB-A42F-20D77C93F4AB}"/>
    <cellStyle name="Normal 4 2 2 3 3 5 2 5" xfId="12338" xr:uid="{F30DEC20-644B-4D1B-8ECC-4AB71D8474D2}"/>
    <cellStyle name="Normal 4 2 2 3 3 5 3" xfId="5961" xr:uid="{00000000-0005-0000-0000-000064120000}"/>
    <cellStyle name="Normal 4 2 2 3 3 5 3 2" xfId="31300" xr:uid="{1F9CDA2E-788D-40C2-9625-04C0254D2FEE}"/>
    <cellStyle name="Normal 4 2 2 3 3 5 3 3" xfId="22859" xr:uid="{543BBB16-327F-476B-9C35-D9D51B0B54ED}"/>
    <cellStyle name="Normal 4 2 2 3 3 5 3 4" xfId="14411" xr:uid="{F7B7449A-6FED-42E6-B4BC-FD6DEDF2261B}"/>
    <cellStyle name="Normal 4 2 2 3 3 5 4" xfId="27082" xr:uid="{85224CB1-66E5-4DF6-98F4-5822C4967D15}"/>
    <cellStyle name="Normal 4 2 2 3 3 5 5" xfId="18641" xr:uid="{7269EC38-01E7-4EB5-B316-1F0CD5EEF6B6}"/>
    <cellStyle name="Normal 4 2 2 3 3 5 6" xfId="10193" xr:uid="{086A06A4-EF55-4185-8116-936BCDE6DDE4}"/>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33858" xr:uid="{DC5CBD6F-413E-4BFD-8269-32044CAAC21A}"/>
    <cellStyle name="Normal 4 2 2 3 3 6 2 2 3" xfId="25417" xr:uid="{3045CE66-7740-49B2-A466-FE828635FE68}"/>
    <cellStyle name="Normal 4 2 2 3 3 6 2 2 4" xfId="16969" xr:uid="{0A9FAF7B-B934-4217-A919-BD13853C30D5}"/>
    <cellStyle name="Normal 4 2 2 3 3 6 2 3" xfId="29640" xr:uid="{CACE7092-F734-4286-B017-DCE1BADFF85F}"/>
    <cellStyle name="Normal 4 2 2 3 3 6 2 4" xfId="21199" xr:uid="{452E25D6-4011-4A6D-88FE-42381385154C}"/>
    <cellStyle name="Normal 4 2 2 3 3 6 2 5" xfId="12751" xr:uid="{578C42F0-297C-4ABD-A50E-69C6B10E0871}"/>
    <cellStyle name="Normal 4 2 2 3 3 6 3" xfId="6374" xr:uid="{00000000-0005-0000-0000-000068120000}"/>
    <cellStyle name="Normal 4 2 2 3 3 6 3 2" xfId="31713" xr:uid="{7BA4285C-4455-41A0-8566-05F80B3A5C43}"/>
    <cellStyle name="Normal 4 2 2 3 3 6 3 3" xfId="23272" xr:uid="{36E6026E-9945-4544-BCE5-89EEE25EF1F8}"/>
    <cellStyle name="Normal 4 2 2 3 3 6 3 4" xfId="14824" xr:uid="{39AA1179-15C6-40AD-95B4-7518CF740E91}"/>
    <cellStyle name="Normal 4 2 2 3 3 6 4" xfId="27495" xr:uid="{0E785725-E298-4266-83D3-2C9BFE8DC645}"/>
    <cellStyle name="Normal 4 2 2 3 3 6 5" xfId="19054" xr:uid="{042F4633-28FC-4896-8B8C-9623E5A94A1B}"/>
    <cellStyle name="Normal 4 2 2 3 3 6 6" xfId="10606" xr:uid="{69147A35-1055-489A-9C10-7A86BE47DC5E}"/>
    <cellStyle name="Normal 4 2 2 3 3 7" xfId="2504" xr:uid="{00000000-0005-0000-0000-000069120000}"/>
    <cellStyle name="Normal 4 2 2 3 3 7 2" xfId="6787" xr:uid="{00000000-0005-0000-0000-00006A120000}"/>
    <cellStyle name="Normal 4 2 2 3 3 7 2 2" xfId="32126" xr:uid="{00D4A687-2FAD-4769-BC10-55101525672B}"/>
    <cellStyle name="Normal 4 2 2 3 3 7 2 3" xfId="23685" xr:uid="{FF537193-85B6-4315-A128-AB53912EFC88}"/>
    <cellStyle name="Normal 4 2 2 3 3 7 2 4" xfId="15237" xr:uid="{C59B845C-3987-4877-9E3D-9BF6951F7DE3}"/>
    <cellStyle name="Normal 4 2 2 3 3 7 3" xfId="27908" xr:uid="{8A7E00FF-39B6-4462-A5A1-EE14FBB1859B}"/>
    <cellStyle name="Normal 4 2 2 3 3 7 4" xfId="19467" xr:uid="{70E0ABC6-758B-4045-B98B-0F79F08204B1}"/>
    <cellStyle name="Normal 4 2 2 3 3 7 5" xfId="11019" xr:uid="{38AE44A9-79E3-490C-8B9D-02EFB92EE424}"/>
    <cellStyle name="Normal 4 2 2 3 3 8" xfId="4722" xr:uid="{00000000-0005-0000-0000-00006B120000}"/>
    <cellStyle name="Normal 4 2 2 3 3 8 2" xfId="30061" xr:uid="{46C13615-2826-4C0E-8638-5188B6BFEA03}"/>
    <cellStyle name="Normal 4 2 2 3 3 8 3" xfId="21620" xr:uid="{5F85E64D-396C-453C-805F-A63432828AA0}"/>
    <cellStyle name="Normal 4 2 2 3 3 8 4" xfId="13172" xr:uid="{1683304C-F35F-4A1E-8BF3-CCA5A4A68050}"/>
    <cellStyle name="Normal 4 2 2 3 3 9" xfId="25843" xr:uid="{79B59F25-6A5A-4CB2-9409-04B9276D2374}"/>
    <cellStyle name="Normal 4 2 2 3 4" xfId="346" xr:uid="{00000000-0005-0000-0000-00006C120000}"/>
    <cellStyle name="Normal 4 2 2 3 4 10" xfId="8956" xr:uid="{8C368888-8CAA-4E82-9937-46B1C13D67CB}"/>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32621" xr:uid="{15D7CC85-3797-4513-99E5-AA655CF01133}"/>
    <cellStyle name="Normal 4 2 2 3 4 2 2 2 3" xfId="24180" xr:uid="{8D8601FA-25B0-4DFE-8044-F9F0BA2E425A}"/>
    <cellStyle name="Normal 4 2 2 3 4 2 2 2 4" xfId="15732" xr:uid="{14BC5B83-AEC3-4477-B529-F7EB9F04B346}"/>
    <cellStyle name="Normal 4 2 2 3 4 2 2 3" xfId="28403" xr:uid="{8AE9D683-3999-46F6-BE3B-C473628B2EC8}"/>
    <cellStyle name="Normal 4 2 2 3 4 2 2 4" xfId="19962" xr:uid="{43616E2D-E6C8-419C-9219-5ABCE77210C2}"/>
    <cellStyle name="Normal 4 2 2 3 4 2 2 5" xfId="11514" xr:uid="{D80ABF79-668B-4D32-9931-DB1F9FDC9998}"/>
    <cellStyle name="Normal 4 2 2 3 4 2 3" xfId="5137" xr:uid="{00000000-0005-0000-0000-000070120000}"/>
    <cellStyle name="Normal 4 2 2 3 4 2 3 2" xfId="30476" xr:uid="{EFF3DB9E-6F63-4B4F-A860-ADAA062439EB}"/>
    <cellStyle name="Normal 4 2 2 3 4 2 3 3" xfId="22035" xr:uid="{A63C5E3A-4FEC-41C5-A4EE-EEC06011736C}"/>
    <cellStyle name="Normal 4 2 2 3 4 2 3 4" xfId="13587" xr:uid="{DE80B689-1ED7-4DB8-9361-E23C02685E58}"/>
    <cellStyle name="Normal 4 2 2 3 4 2 4" xfId="26258" xr:uid="{15188A2D-4F6C-409B-90AB-F3F206CEA874}"/>
    <cellStyle name="Normal 4 2 2 3 4 2 5" xfId="17817" xr:uid="{595118C2-5950-4EC8-BF72-578BA3939EA9}"/>
    <cellStyle name="Normal 4 2 2 3 4 2 6" xfId="9369" xr:uid="{CEDF1CA6-E036-441B-9247-BA8F2DCA159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33034" xr:uid="{901790B2-AB4D-4429-9C03-7323EB025039}"/>
    <cellStyle name="Normal 4 2 2 3 4 3 2 2 3" xfId="24593" xr:uid="{BA8D9626-C2BC-4756-A1D4-CD199409F017}"/>
    <cellStyle name="Normal 4 2 2 3 4 3 2 2 4" xfId="16145" xr:uid="{46548187-49E3-4ADD-BECA-B59D0B218C57}"/>
    <cellStyle name="Normal 4 2 2 3 4 3 2 3" xfId="28816" xr:uid="{95F8C8C1-31F0-45B4-A800-9FA3575D194D}"/>
    <cellStyle name="Normal 4 2 2 3 4 3 2 4" xfId="20375" xr:uid="{0DEC5B75-170F-4954-B0D3-217968F8ACDF}"/>
    <cellStyle name="Normal 4 2 2 3 4 3 2 5" xfId="11927" xr:uid="{7B16C883-426B-4FEC-BC0D-4BE246A5FEB4}"/>
    <cellStyle name="Normal 4 2 2 3 4 3 3" xfId="5550" xr:uid="{00000000-0005-0000-0000-000074120000}"/>
    <cellStyle name="Normal 4 2 2 3 4 3 3 2" xfId="30889" xr:uid="{3621A91B-A9EA-4E0E-8256-D8F3CB9706CA}"/>
    <cellStyle name="Normal 4 2 2 3 4 3 3 3" xfId="22448" xr:uid="{F998925D-2F1F-4482-801E-6729ADFC70D4}"/>
    <cellStyle name="Normal 4 2 2 3 4 3 3 4" xfId="14000" xr:uid="{BC6E1C91-95C1-437E-8DC5-C59E4C7539C5}"/>
    <cellStyle name="Normal 4 2 2 3 4 3 4" xfId="26671" xr:uid="{9693AD5F-1D77-4952-BAB6-53EE8C6E823D}"/>
    <cellStyle name="Normal 4 2 2 3 4 3 5" xfId="18230" xr:uid="{33C543BF-1371-4860-9548-3253DEE227E1}"/>
    <cellStyle name="Normal 4 2 2 3 4 3 6" xfId="9782" xr:uid="{B155735C-470F-4AD6-9B08-A7C01D8B6802}"/>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33447" xr:uid="{F7406092-C03D-46C0-A7D7-5211BD216415}"/>
    <cellStyle name="Normal 4 2 2 3 4 4 2 2 3" xfId="25006" xr:uid="{2401AB8D-4B29-4B3D-8D73-4CD116C4FBA1}"/>
    <cellStyle name="Normal 4 2 2 3 4 4 2 2 4" xfId="16558" xr:uid="{E7A1D1F8-3B84-4730-937E-BFA7AB7DEBAB}"/>
    <cellStyle name="Normal 4 2 2 3 4 4 2 3" xfId="29229" xr:uid="{3757AE7A-9D83-45D2-A2DA-18115A1C8857}"/>
    <cellStyle name="Normal 4 2 2 3 4 4 2 4" xfId="20788" xr:uid="{7165851E-0C49-4207-89C1-0749645E33DF}"/>
    <cellStyle name="Normal 4 2 2 3 4 4 2 5" xfId="12340" xr:uid="{2501E17C-1280-413D-8C91-9FA0B9DFC49A}"/>
    <cellStyle name="Normal 4 2 2 3 4 4 3" xfId="5963" xr:uid="{00000000-0005-0000-0000-000078120000}"/>
    <cellStyle name="Normal 4 2 2 3 4 4 3 2" xfId="31302" xr:uid="{35181A9E-F57D-4861-AE67-241F42C85C26}"/>
    <cellStyle name="Normal 4 2 2 3 4 4 3 3" xfId="22861" xr:uid="{2AEC5E76-979A-4370-B8D4-A999CA34EB4D}"/>
    <cellStyle name="Normal 4 2 2 3 4 4 3 4" xfId="14413" xr:uid="{3B2335ED-8B17-4CDC-8690-D325FA76ED0A}"/>
    <cellStyle name="Normal 4 2 2 3 4 4 4" xfId="27084" xr:uid="{FF7D7577-06A3-4AE3-8C2D-8A4221E524AE}"/>
    <cellStyle name="Normal 4 2 2 3 4 4 5" xfId="18643" xr:uid="{71042A54-978E-4B01-A64C-C642C3FE6370}"/>
    <cellStyle name="Normal 4 2 2 3 4 4 6" xfId="10195" xr:uid="{5E4FA31F-8C11-49C3-ADC4-864937DE4152}"/>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33860" xr:uid="{7A655883-106A-4F5D-A411-471B56933931}"/>
    <cellStyle name="Normal 4 2 2 3 4 5 2 2 3" xfId="25419" xr:uid="{B5E84366-1A98-4248-A5F7-E3179424E802}"/>
    <cellStyle name="Normal 4 2 2 3 4 5 2 2 4" xfId="16971" xr:uid="{F8E77C53-7DEB-47EE-8790-666F02E62A34}"/>
    <cellStyle name="Normal 4 2 2 3 4 5 2 3" xfId="29642" xr:uid="{61D8936E-999C-4B0B-BBBD-BC1C7F5CCFA3}"/>
    <cellStyle name="Normal 4 2 2 3 4 5 2 4" xfId="21201" xr:uid="{953E773C-237F-4240-864F-DDDDBDFEFF46}"/>
    <cellStyle name="Normal 4 2 2 3 4 5 2 5" xfId="12753" xr:uid="{D4737A71-01B6-43F5-9830-D65CBC3B3092}"/>
    <cellStyle name="Normal 4 2 2 3 4 5 3" xfId="6376" xr:uid="{00000000-0005-0000-0000-00007C120000}"/>
    <cellStyle name="Normal 4 2 2 3 4 5 3 2" xfId="31715" xr:uid="{B11D59BE-F6F4-477C-A3D6-806C17B1F327}"/>
    <cellStyle name="Normal 4 2 2 3 4 5 3 3" xfId="23274" xr:uid="{3C20E121-A721-4155-8157-1DCA3B3E7200}"/>
    <cellStyle name="Normal 4 2 2 3 4 5 3 4" xfId="14826" xr:uid="{F50646ED-BB46-4E46-AFD7-4219EB71BC5E}"/>
    <cellStyle name="Normal 4 2 2 3 4 5 4" xfId="27497" xr:uid="{DA1D590B-C80E-4D0D-BB17-21683E49CB8D}"/>
    <cellStyle name="Normal 4 2 2 3 4 5 5" xfId="19056" xr:uid="{7C5A613A-CEE6-41AC-B5AA-358CDB10C2AF}"/>
    <cellStyle name="Normal 4 2 2 3 4 5 6" xfId="10608" xr:uid="{252B7F8F-6395-4B3B-AAEF-299E8C213948}"/>
    <cellStyle name="Normal 4 2 2 3 4 6" xfId="2506" xr:uid="{00000000-0005-0000-0000-00007D120000}"/>
    <cellStyle name="Normal 4 2 2 3 4 6 2" xfId="6789" xr:uid="{00000000-0005-0000-0000-00007E120000}"/>
    <cellStyle name="Normal 4 2 2 3 4 6 2 2" xfId="32128" xr:uid="{23632F8D-4D79-4FC8-8DCE-C35D684E51CA}"/>
    <cellStyle name="Normal 4 2 2 3 4 6 2 3" xfId="23687" xr:uid="{84DBF95E-A987-4A5B-8B10-4F30DE39DC9F}"/>
    <cellStyle name="Normal 4 2 2 3 4 6 2 4" xfId="15239" xr:uid="{B40896CC-768D-4177-8DDB-8B251F687C11}"/>
    <cellStyle name="Normal 4 2 2 3 4 6 3" xfId="27910" xr:uid="{22A3A908-28E0-40BC-8224-5282B401ADA3}"/>
    <cellStyle name="Normal 4 2 2 3 4 6 4" xfId="19469" xr:uid="{D047E3BD-3E53-46EB-A059-AD08C8231415}"/>
    <cellStyle name="Normal 4 2 2 3 4 6 5" xfId="11021" xr:uid="{A7E95C9F-14EF-4E49-93B3-D40509C12BE6}"/>
    <cellStyle name="Normal 4 2 2 3 4 7" xfId="4724" xr:uid="{00000000-0005-0000-0000-00007F120000}"/>
    <cellStyle name="Normal 4 2 2 3 4 7 2" xfId="30063" xr:uid="{F53B0C7C-5531-4F9E-856C-9FF3B6A4909D}"/>
    <cellStyle name="Normal 4 2 2 3 4 7 3" xfId="21622" xr:uid="{1BBFD29A-1F27-4450-98A2-7D94BBCF4FBC}"/>
    <cellStyle name="Normal 4 2 2 3 4 7 4" xfId="13174" xr:uid="{CDF2E227-D165-4BF0-9DD3-82FF55F672E0}"/>
    <cellStyle name="Normal 4 2 2 3 4 8" xfId="25845" xr:uid="{F91F96DE-5243-4E13-93DD-D32EABB59599}"/>
    <cellStyle name="Normal 4 2 2 3 4 9" xfId="17404" xr:uid="{C39C23EA-CFC1-4224-9505-1EE07220934C}"/>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32614" xr:uid="{F449CEE7-6A77-43DE-ADF8-B5E52ED717C9}"/>
    <cellStyle name="Normal 4 2 2 3 5 2 2 3" xfId="24173" xr:uid="{CA1E4CAA-FD0B-4289-B675-D71AC0BF868C}"/>
    <cellStyle name="Normal 4 2 2 3 5 2 2 4" xfId="15725" xr:uid="{5FB2BC2E-BCF4-4A1C-9A54-15F44635053B}"/>
    <cellStyle name="Normal 4 2 2 3 5 2 3" xfId="28396" xr:uid="{88425EFA-DF6D-4A55-963C-DB6FEB16AD01}"/>
    <cellStyle name="Normal 4 2 2 3 5 2 4" xfId="19955" xr:uid="{37895DA9-27F8-4F95-9AAA-43643F7369CD}"/>
    <cellStyle name="Normal 4 2 2 3 5 2 5" xfId="11507" xr:uid="{F8833735-1724-41E3-B712-CB1947D135E6}"/>
    <cellStyle name="Normal 4 2 2 3 5 3" xfId="5130" xr:uid="{00000000-0005-0000-0000-000083120000}"/>
    <cellStyle name="Normal 4 2 2 3 5 3 2" xfId="30469" xr:uid="{E55C14F0-1DB1-478B-855F-5206C3ED49DE}"/>
    <cellStyle name="Normal 4 2 2 3 5 3 3" xfId="22028" xr:uid="{F2E9087C-9D08-49AB-B22D-55CE1986138B}"/>
    <cellStyle name="Normal 4 2 2 3 5 3 4" xfId="13580" xr:uid="{32DB21C0-A310-4C8A-A691-9A43A526FB2A}"/>
    <cellStyle name="Normal 4 2 2 3 5 4" xfId="26251" xr:uid="{845B6365-DEE9-4315-A008-0FDCC6404970}"/>
    <cellStyle name="Normal 4 2 2 3 5 5" xfId="17810" xr:uid="{8CE2D548-2757-4CE4-AF9C-62526D3AE9C5}"/>
    <cellStyle name="Normal 4 2 2 3 5 6" xfId="9362" xr:uid="{437F3BA5-D065-4D99-8505-C33E53BEB87D}"/>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33027" xr:uid="{807746AB-EA1D-4C36-A170-5037585CDEF9}"/>
    <cellStyle name="Normal 4 2 2 3 6 2 2 3" xfId="24586" xr:uid="{9E84E34B-A428-45AF-87F0-0D4476332397}"/>
    <cellStyle name="Normal 4 2 2 3 6 2 2 4" xfId="16138" xr:uid="{BB913557-2C85-4BBC-BFA9-B06E73CF7F0C}"/>
    <cellStyle name="Normal 4 2 2 3 6 2 3" xfId="28809" xr:uid="{672B1094-17D7-4111-BDE2-FC854B5A5430}"/>
    <cellStyle name="Normal 4 2 2 3 6 2 4" xfId="20368" xr:uid="{A18E541E-7112-4DF4-AE83-8A165F272609}"/>
    <cellStyle name="Normal 4 2 2 3 6 2 5" xfId="11920" xr:uid="{0E7022E9-27B4-4F39-B8E9-E7FB426CFAFE}"/>
    <cellStyle name="Normal 4 2 2 3 6 3" xfId="5543" xr:uid="{00000000-0005-0000-0000-000087120000}"/>
    <cellStyle name="Normal 4 2 2 3 6 3 2" xfId="30882" xr:uid="{6080DF64-32E5-4EF7-9972-BB324BEF80F1}"/>
    <cellStyle name="Normal 4 2 2 3 6 3 3" xfId="22441" xr:uid="{7BE1E8FE-3458-4875-9176-A5EF5BABC4EF}"/>
    <cellStyle name="Normal 4 2 2 3 6 3 4" xfId="13993" xr:uid="{2138B15E-B6A4-447A-949D-D232DA0FD902}"/>
    <cellStyle name="Normal 4 2 2 3 6 4" xfId="26664" xr:uid="{D70FC57A-7D0D-4802-A48E-018332526E1E}"/>
    <cellStyle name="Normal 4 2 2 3 6 5" xfId="18223" xr:uid="{139CC22A-D27C-4C63-B66E-449D03639B1D}"/>
    <cellStyle name="Normal 4 2 2 3 6 6" xfId="9775" xr:uid="{E9B87AC6-C8A3-4DD1-8EE6-475DFC133DD7}"/>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33440" xr:uid="{28FADA92-7729-481E-B7D9-BFC7AD66D476}"/>
    <cellStyle name="Normal 4 2 2 3 7 2 2 3" xfId="24999" xr:uid="{241997B6-486A-48FC-A877-D3C44D6EF152}"/>
    <cellStyle name="Normal 4 2 2 3 7 2 2 4" xfId="16551" xr:uid="{34E7DEF8-BB6C-482B-B90B-5A23DAE3B227}"/>
    <cellStyle name="Normal 4 2 2 3 7 2 3" xfId="29222" xr:uid="{48FBED03-53DF-48FB-BAF2-07C87EA24DB8}"/>
    <cellStyle name="Normal 4 2 2 3 7 2 4" xfId="20781" xr:uid="{9F02A52B-9343-44C5-8BFC-4553521A5901}"/>
    <cellStyle name="Normal 4 2 2 3 7 2 5" xfId="12333" xr:uid="{E2B0EA5B-4E0D-4A50-A672-F63345B608D3}"/>
    <cellStyle name="Normal 4 2 2 3 7 3" xfId="5956" xr:uid="{00000000-0005-0000-0000-00008B120000}"/>
    <cellStyle name="Normal 4 2 2 3 7 3 2" xfId="31295" xr:uid="{B913A108-3C8E-41CB-92EF-D544CC84E348}"/>
    <cellStyle name="Normal 4 2 2 3 7 3 3" xfId="22854" xr:uid="{9483C65B-792E-4586-A4E0-070887647254}"/>
    <cellStyle name="Normal 4 2 2 3 7 3 4" xfId="14406" xr:uid="{9105C9B8-F35E-4C2E-A3C3-230ECB7AE339}"/>
    <cellStyle name="Normal 4 2 2 3 7 4" xfId="27077" xr:uid="{CBBF53F7-2F77-4B05-96FD-F4BEAE750512}"/>
    <cellStyle name="Normal 4 2 2 3 7 5" xfId="18636" xr:uid="{C3E3DCFA-56A9-4BB3-80AE-F9E8534B1BFC}"/>
    <cellStyle name="Normal 4 2 2 3 7 6" xfId="10188" xr:uid="{09C1ADCA-7F25-46AF-BCA0-41477DB9CCAB}"/>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33853" xr:uid="{FE697A82-D0A3-41C5-874F-1384FEA2706E}"/>
    <cellStyle name="Normal 4 2 2 3 8 2 2 3" xfId="25412" xr:uid="{DE399DB9-25B7-4F3F-B6B9-349E43502305}"/>
    <cellStyle name="Normal 4 2 2 3 8 2 2 4" xfId="16964" xr:uid="{CE9DE42F-8240-4632-943B-289565CBD471}"/>
    <cellStyle name="Normal 4 2 2 3 8 2 3" xfId="29635" xr:uid="{0C851AEF-405E-45AD-9F0E-10C282666ED3}"/>
    <cellStyle name="Normal 4 2 2 3 8 2 4" xfId="21194" xr:uid="{529701D9-3B86-4545-A220-629230B5F99D}"/>
    <cellStyle name="Normal 4 2 2 3 8 2 5" xfId="12746" xr:uid="{CB07A1BB-6233-4545-A309-50CF5B47BB37}"/>
    <cellStyle name="Normal 4 2 2 3 8 3" xfId="6369" xr:uid="{00000000-0005-0000-0000-00008F120000}"/>
    <cellStyle name="Normal 4 2 2 3 8 3 2" xfId="31708" xr:uid="{EDB7E0CA-1C0D-4CC2-9395-BC649C5E0802}"/>
    <cellStyle name="Normal 4 2 2 3 8 3 3" xfId="23267" xr:uid="{D37459B8-B3EE-4F51-9D80-9F5F96725E7D}"/>
    <cellStyle name="Normal 4 2 2 3 8 3 4" xfId="14819" xr:uid="{21249CD5-2F38-4760-A129-E7247409B7BA}"/>
    <cellStyle name="Normal 4 2 2 3 8 4" xfId="27490" xr:uid="{5EF1F47D-3EE3-4B28-9139-F18B68558A78}"/>
    <cellStyle name="Normal 4 2 2 3 8 5" xfId="19049" xr:uid="{169CDCB0-D23A-41F8-BC9A-126E55B98B13}"/>
    <cellStyle name="Normal 4 2 2 3 8 6" xfId="10601" xr:uid="{448D4699-1FC0-4F18-92A8-9F74129DCAE7}"/>
    <cellStyle name="Normal 4 2 2 3 9" xfId="2499" xr:uid="{00000000-0005-0000-0000-000090120000}"/>
    <cellStyle name="Normal 4 2 2 3 9 2" xfId="6782" xr:uid="{00000000-0005-0000-0000-000091120000}"/>
    <cellStyle name="Normal 4 2 2 3 9 2 2" xfId="32121" xr:uid="{EE222D27-A384-4548-98F4-A63E772C4DC0}"/>
    <cellStyle name="Normal 4 2 2 3 9 2 3" xfId="23680" xr:uid="{D09060CD-29A5-406E-BF0D-BA6F43B138BB}"/>
    <cellStyle name="Normal 4 2 2 3 9 2 4" xfId="15232" xr:uid="{C1B0AB58-7C96-4C33-9FB0-3835CE6D093F}"/>
    <cellStyle name="Normal 4 2 2 3 9 3" xfId="27903" xr:uid="{20A29A97-5F73-4E66-95A8-70DFD78AA1DD}"/>
    <cellStyle name="Normal 4 2 2 3 9 4" xfId="19462" xr:uid="{2F365210-DBE1-4724-954C-D07694E85F0C}"/>
    <cellStyle name="Normal 4 2 2 3 9 5" xfId="11014" xr:uid="{1A135258-2844-4208-9A9B-FDCA4AB6F4C2}"/>
    <cellStyle name="Normal 4 2 2 4" xfId="347" xr:uid="{00000000-0005-0000-0000-000092120000}"/>
    <cellStyle name="Normal 4 2 2 4 10" xfId="25846" xr:uid="{E650F27A-8895-4EE7-8A3C-E8D633838928}"/>
    <cellStyle name="Normal 4 2 2 4 11" xfId="17405" xr:uid="{00D92317-F846-4E36-850A-182CFE86CC28}"/>
    <cellStyle name="Normal 4 2 2 4 12" xfId="8957" xr:uid="{C2F9DB1C-77B4-4849-903E-FFAE96A8E35E}"/>
    <cellStyle name="Normal 4 2 2 4 2" xfId="348" xr:uid="{00000000-0005-0000-0000-000093120000}"/>
    <cellStyle name="Normal 4 2 2 4 2 10" xfId="17406" xr:uid="{7AB6147B-349F-486A-9B2A-ABD588DA1D47}"/>
    <cellStyle name="Normal 4 2 2 4 2 11" xfId="8958" xr:uid="{62D5D851-C6C8-4F0D-A6AC-660CCF3AE7DB}"/>
    <cellStyle name="Normal 4 2 2 4 2 2" xfId="349" xr:uid="{00000000-0005-0000-0000-000094120000}"/>
    <cellStyle name="Normal 4 2 2 4 2 2 10" xfId="8959" xr:uid="{6C3AD27F-AD73-48D6-9AEE-7E5351FA6C9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32624" xr:uid="{C463FA5D-E0F9-4BB2-B32D-4DA6F77EC46C}"/>
    <cellStyle name="Normal 4 2 2 4 2 2 2 2 2 3" xfId="24183" xr:uid="{60915113-5DDD-42C1-A776-2D4DDADDA993}"/>
    <cellStyle name="Normal 4 2 2 4 2 2 2 2 2 4" xfId="15735" xr:uid="{AEDD1B41-2790-45C4-9030-BADCA26B3FCF}"/>
    <cellStyle name="Normal 4 2 2 4 2 2 2 2 3" xfId="28406" xr:uid="{459648FA-4C3C-4863-9D72-0566162E9879}"/>
    <cellStyle name="Normal 4 2 2 4 2 2 2 2 4" xfId="19965" xr:uid="{7B00EDA7-4807-4EE5-9912-7F46D94FAE50}"/>
    <cellStyle name="Normal 4 2 2 4 2 2 2 2 5" xfId="11517" xr:uid="{F85ABD05-2006-4BC7-A827-7AA376EAB28F}"/>
    <cellStyle name="Normal 4 2 2 4 2 2 2 3" xfId="5140" xr:uid="{00000000-0005-0000-0000-000098120000}"/>
    <cellStyle name="Normal 4 2 2 4 2 2 2 3 2" xfId="30479" xr:uid="{9ADB8088-B722-43BB-9603-723325DE5876}"/>
    <cellStyle name="Normal 4 2 2 4 2 2 2 3 3" xfId="22038" xr:uid="{10AF1AEF-8799-4CA1-98DD-FFC76152B966}"/>
    <cellStyle name="Normal 4 2 2 4 2 2 2 3 4" xfId="13590" xr:uid="{59520EAC-8276-4595-8C02-AC62701741A3}"/>
    <cellStyle name="Normal 4 2 2 4 2 2 2 4" xfId="26261" xr:uid="{4A35775E-CC0B-4DC4-B5D3-5FB55C02D107}"/>
    <cellStyle name="Normal 4 2 2 4 2 2 2 5" xfId="17820" xr:uid="{B40731B8-E5D0-4A7C-B7A2-5F7316DAEE66}"/>
    <cellStyle name="Normal 4 2 2 4 2 2 2 6" xfId="9372" xr:uid="{311ABD76-F9A6-4EE2-A47B-E5A799E75641}"/>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33037" xr:uid="{EB01CA18-C9EE-4843-9BC7-0648B9DB6E99}"/>
    <cellStyle name="Normal 4 2 2 4 2 2 3 2 2 3" xfId="24596" xr:uid="{4FB162A2-D8E6-4275-8FA3-7AEBE9659BCA}"/>
    <cellStyle name="Normal 4 2 2 4 2 2 3 2 2 4" xfId="16148" xr:uid="{072F9F91-C197-44A6-A948-F83FAC7ADAE9}"/>
    <cellStyle name="Normal 4 2 2 4 2 2 3 2 3" xfId="28819" xr:uid="{8000D491-5221-445E-A69F-E08C895FF1A8}"/>
    <cellStyle name="Normal 4 2 2 4 2 2 3 2 4" xfId="20378" xr:uid="{3335D1E6-E120-4CF4-B42E-C3F5CEA2CECC}"/>
    <cellStyle name="Normal 4 2 2 4 2 2 3 2 5" xfId="11930" xr:uid="{B1A07883-BDBE-4D42-BCF8-8F47E02827B7}"/>
    <cellStyle name="Normal 4 2 2 4 2 2 3 3" xfId="5553" xr:uid="{00000000-0005-0000-0000-00009C120000}"/>
    <cellStyle name="Normal 4 2 2 4 2 2 3 3 2" xfId="30892" xr:uid="{3D98FB2B-781A-4028-AE22-FA398E4BE401}"/>
    <cellStyle name="Normal 4 2 2 4 2 2 3 3 3" xfId="22451" xr:uid="{14136630-D6B7-4733-9918-4457376B96C3}"/>
    <cellStyle name="Normal 4 2 2 4 2 2 3 3 4" xfId="14003" xr:uid="{BAF0F26D-262D-45BA-96DE-35147619D0B3}"/>
    <cellStyle name="Normal 4 2 2 4 2 2 3 4" xfId="26674" xr:uid="{E8E147F4-B88F-4205-A61D-5D97E5CB27EC}"/>
    <cellStyle name="Normal 4 2 2 4 2 2 3 5" xfId="18233" xr:uid="{C3F213D5-464C-4D55-8DC7-AC073F238D10}"/>
    <cellStyle name="Normal 4 2 2 4 2 2 3 6" xfId="9785" xr:uid="{BCE56238-9D0B-428B-AF4E-C2F9E1E4D7F6}"/>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33450" xr:uid="{D067EBB0-5231-40F5-ABA7-5DF1A4CEF41E}"/>
    <cellStyle name="Normal 4 2 2 4 2 2 4 2 2 3" xfId="25009" xr:uid="{D8A96004-1F21-4B9E-848F-2A492B3DB3D4}"/>
    <cellStyle name="Normal 4 2 2 4 2 2 4 2 2 4" xfId="16561" xr:uid="{17664AA9-F904-4DD2-A95E-BFDE44154F50}"/>
    <cellStyle name="Normal 4 2 2 4 2 2 4 2 3" xfId="29232" xr:uid="{EA726673-DD26-4E02-B2DA-89D8AF7221BF}"/>
    <cellStyle name="Normal 4 2 2 4 2 2 4 2 4" xfId="20791" xr:uid="{323B9398-1C74-440D-A01B-6330B3B0D2BB}"/>
    <cellStyle name="Normal 4 2 2 4 2 2 4 2 5" xfId="12343" xr:uid="{6CCEA7CE-9D54-4B23-BCAA-2F54291620EF}"/>
    <cellStyle name="Normal 4 2 2 4 2 2 4 3" xfId="5966" xr:uid="{00000000-0005-0000-0000-0000A0120000}"/>
    <cellStyle name="Normal 4 2 2 4 2 2 4 3 2" xfId="31305" xr:uid="{3817E944-EC74-4403-9319-1A482F8C703C}"/>
    <cellStyle name="Normal 4 2 2 4 2 2 4 3 3" xfId="22864" xr:uid="{8A78FA13-AA76-491F-B848-C50965630C4B}"/>
    <cellStyle name="Normal 4 2 2 4 2 2 4 3 4" xfId="14416" xr:uid="{609ECB60-29BF-4E73-B09A-C0677576C7EF}"/>
    <cellStyle name="Normal 4 2 2 4 2 2 4 4" xfId="27087" xr:uid="{B90A19B7-D65F-4A04-BB56-3D246EE08F80}"/>
    <cellStyle name="Normal 4 2 2 4 2 2 4 5" xfId="18646" xr:uid="{B98BCBF4-2AA0-4F2F-BCE8-562E339532FC}"/>
    <cellStyle name="Normal 4 2 2 4 2 2 4 6" xfId="10198" xr:uid="{623AD265-7E17-47F9-8E10-9CDA9802F9D4}"/>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33863" xr:uid="{E8A22B36-C195-420A-96CD-767AD0419A19}"/>
    <cellStyle name="Normal 4 2 2 4 2 2 5 2 2 3" xfId="25422" xr:uid="{5A53E194-2841-4CD2-AFCA-B5D19B3D5945}"/>
    <cellStyle name="Normal 4 2 2 4 2 2 5 2 2 4" xfId="16974" xr:uid="{626DC273-E894-462D-BAB5-6AB59DB37A90}"/>
    <cellStyle name="Normal 4 2 2 4 2 2 5 2 3" xfId="29645" xr:uid="{75A78F9B-ABC0-49BF-AB70-935DB7E4CA8F}"/>
    <cellStyle name="Normal 4 2 2 4 2 2 5 2 4" xfId="21204" xr:uid="{FE0FE0CC-011A-432E-9226-0605CB58F90C}"/>
    <cellStyle name="Normal 4 2 2 4 2 2 5 2 5" xfId="12756" xr:uid="{A7C10DCC-9B30-475C-8B5A-A473759BE22D}"/>
    <cellStyle name="Normal 4 2 2 4 2 2 5 3" xfId="6379" xr:uid="{00000000-0005-0000-0000-0000A4120000}"/>
    <cellStyle name="Normal 4 2 2 4 2 2 5 3 2" xfId="31718" xr:uid="{7B165547-213E-4974-B630-6B1AD8DBAB71}"/>
    <cellStyle name="Normal 4 2 2 4 2 2 5 3 3" xfId="23277" xr:uid="{A355782D-6CFE-4AF2-B655-A114A9058E4C}"/>
    <cellStyle name="Normal 4 2 2 4 2 2 5 3 4" xfId="14829" xr:uid="{3931E200-054D-4248-BA62-198B0FAD09D4}"/>
    <cellStyle name="Normal 4 2 2 4 2 2 5 4" xfId="27500" xr:uid="{8CC36C70-5B04-4E9C-AE5B-CD8ACFCDE07C}"/>
    <cellStyle name="Normal 4 2 2 4 2 2 5 5" xfId="19059" xr:uid="{3A337B58-3AC8-468D-988B-B1935173AF59}"/>
    <cellStyle name="Normal 4 2 2 4 2 2 5 6" xfId="10611" xr:uid="{8701013F-76D8-462E-A50E-446BB01A3976}"/>
    <cellStyle name="Normal 4 2 2 4 2 2 6" xfId="2509" xr:uid="{00000000-0005-0000-0000-0000A5120000}"/>
    <cellStyle name="Normal 4 2 2 4 2 2 6 2" xfId="6792" xr:uid="{00000000-0005-0000-0000-0000A6120000}"/>
    <cellStyle name="Normal 4 2 2 4 2 2 6 2 2" xfId="32131" xr:uid="{2451AA1B-34F1-4DAD-BAC2-D88BBEC9C73D}"/>
    <cellStyle name="Normal 4 2 2 4 2 2 6 2 3" xfId="23690" xr:uid="{23CDCD14-E6F1-40BE-B2F7-82A620316890}"/>
    <cellStyle name="Normal 4 2 2 4 2 2 6 2 4" xfId="15242" xr:uid="{18B85A34-2676-49C0-9C4E-E1FEACFCD569}"/>
    <cellStyle name="Normal 4 2 2 4 2 2 6 3" xfId="27913" xr:uid="{506908C9-0B7E-4D4E-B8C2-6A199FC3875C}"/>
    <cellStyle name="Normal 4 2 2 4 2 2 6 4" xfId="19472" xr:uid="{A3B7BB73-A73D-4491-ABC1-60721E709788}"/>
    <cellStyle name="Normal 4 2 2 4 2 2 6 5" xfId="11024" xr:uid="{A5048C11-0563-4AFD-B52D-7E487579C934}"/>
    <cellStyle name="Normal 4 2 2 4 2 2 7" xfId="4727" xr:uid="{00000000-0005-0000-0000-0000A7120000}"/>
    <cellStyle name="Normal 4 2 2 4 2 2 7 2" xfId="30066" xr:uid="{FA673B2C-FFCC-4EC9-80FB-FC61A45192CA}"/>
    <cellStyle name="Normal 4 2 2 4 2 2 7 3" xfId="21625" xr:uid="{62929368-29EE-420E-99F8-10830D953C1F}"/>
    <cellStyle name="Normal 4 2 2 4 2 2 7 4" xfId="13177" xr:uid="{E7592740-E674-4E9A-895D-7276AAF6C410}"/>
    <cellStyle name="Normal 4 2 2 4 2 2 8" xfId="25848" xr:uid="{13DD866B-C8AD-408E-8879-7407186AFF4D}"/>
    <cellStyle name="Normal 4 2 2 4 2 2 9" xfId="17407" xr:uid="{6F295FD1-23AA-4DAA-8ECB-63C7D3C8253F}"/>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32623" xr:uid="{661BB590-2911-411D-BE85-73FBCA681D04}"/>
    <cellStyle name="Normal 4 2 2 4 2 3 2 2 3" xfId="24182" xr:uid="{B89DC311-C4D4-4427-923E-F1A21659BAB8}"/>
    <cellStyle name="Normal 4 2 2 4 2 3 2 2 4" xfId="15734" xr:uid="{3D4673A6-B710-489B-A02F-9388ED825E3A}"/>
    <cellStyle name="Normal 4 2 2 4 2 3 2 3" xfId="28405" xr:uid="{2519C280-7423-40A1-A3A8-009DD9FF30A9}"/>
    <cellStyle name="Normal 4 2 2 4 2 3 2 4" xfId="19964" xr:uid="{D88BDDEC-9F30-4827-B1A2-DB3915FC1339}"/>
    <cellStyle name="Normal 4 2 2 4 2 3 2 5" xfId="11516" xr:uid="{967512BC-F3CD-47B8-9D65-E835F09E5EE0}"/>
    <cellStyle name="Normal 4 2 2 4 2 3 3" xfId="5139" xr:uid="{00000000-0005-0000-0000-0000AB120000}"/>
    <cellStyle name="Normal 4 2 2 4 2 3 3 2" xfId="30478" xr:uid="{5413E41A-1E8F-4856-9BC3-6C42608CDD70}"/>
    <cellStyle name="Normal 4 2 2 4 2 3 3 3" xfId="22037" xr:uid="{684F6ADE-7BFC-45D3-95C8-6F3BD100FEE2}"/>
    <cellStyle name="Normal 4 2 2 4 2 3 3 4" xfId="13589" xr:uid="{0617A065-F070-43CF-A7BA-31B308C3DBAA}"/>
    <cellStyle name="Normal 4 2 2 4 2 3 4" xfId="26260" xr:uid="{8299177C-D604-44A4-803C-EBA2BA55649C}"/>
    <cellStyle name="Normal 4 2 2 4 2 3 5" xfId="17819" xr:uid="{2A1326BE-858C-4192-955F-6A1292820F11}"/>
    <cellStyle name="Normal 4 2 2 4 2 3 6" xfId="9371" xr:uid="{B5ED86E8-122D-492F-8599-76B0E8B1655B}"/>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33036" xr:uid="{1CBA439F-140F-49E9-9B71-27670D7C7E59}"/>
    <cellStyle name="Normal 4 2 2 4 2 4 2 2 3" xfId="24595" xr:uid="{31D69C03-8EB9-429F-96E1-DB8FD4ED9221}"/>
    <cellStyle name="Normal 4 2 2 4 2 4 2 2 4" xfId="16147" xr:uid="{0E79ECA2-EACF-4E88-B0D3-6B5516E337CE}"/>
    <cellStyle name="Normal 4 2 2 4 2 4 2 3" xfId="28818" xr:uid="{8DA774DA-3035-4DEB-B8EB-1890DF853758}"/>
    <cellStyle name="Normal 4 2 2 4 2 4 2 4" xfId="20377" xr:uid="{44677A26-1658-464A-835F-5F4BC7679325}"/>
    <cellStyle name="Normal 4 2 2 4 2 4 2 5" xfId="11929" xr:uid="{AFA39BB8-5277-4AA1-AA64-EF5D113BD196}"/>
    <cellStyle name="Normal 4 2 2 4 2 4 3" xfId="5552" xr:uid="{00000000-0005-0000-0000-0000AF120000}"/>
    <cellStyle name="Normal 4 2 2 4 2 4 3 2" xfId="30891" xr:uid="{B4646112-F505-4CB6-8D18-CEC65288F82F}"/>
    <cellStyle name="Normal 4 2 2 4 2 4 3 3" xfId="22450" xr:uid="{E0A74948-6ADF-4DDB-B84B-132521128B11}"/>
    <cellStyle name="Normal 4 2 2 4 2 4 3 4" xfId="14002" xr:uid="{A9961F20-7DE3-4039-B52B-C6655D42A282}"/>
    <cellStyle name="Normal 4 2 2 4 2 4 4" xfId="26673" xr:uid="{4946D5CF-89E7-498F-BBDA-8A6C2AF02B73}"/>
    <cellStyle name="Normal 4 2 2 4 2 4 5" xfId="18232" xr:uid="{D242B029-E36B-4316-B9B8-5685A4EE7283}"/>
    <cellStyle name="Normal 4 2 2 4 2 4 6" xfId="9784" xr:uid="{46ED1200-76F2-4AE3-B2DF-38B650316EE6}"/>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33449" xr:uid="{6D4E4158-7C58-48D8-B2B8-CE45828B7B44}"/>
    <cellStyle name="Normal 4 2 2 4 2 5 2 2 3" xfId="25008" xr:uid="{EBF7753D-7B29-4BCD-9F50-CBA182D08B81}"/>
    <cellStyle name="Normal 4 2 2 4 2 5 2 2 4" xfId="16560" xr:uid="{EFF1A8B9-9E02-436B-83AE-10C5A26A0473}"/>
    <cellStyle name="Normal 4 2 2 4 2 5 2 3" xfId="29231" xr:uid="{CF43BB8C-4943-4F5E-820F-94541216788B}"/>
    <cellStyle name="Normal 4 2 2 4 2 5 2 4" xfId="20790" xr:uid="{895FC787-20D9-43B0-937F-23E0648F892F}"/>
    <cellStyle name="Normal 4 2 2 4 2 5 2 5" xfId="12342" xr:uid="{277A0C20-B2DA-4C9E-BB60-D8C170AC604D}"/>
    <cellStyle name="Normal 4 2 2 4 2 5 3" xfId="5965" xr:uid="{00000000-0005-0000-0000-0000B3120000}"/>
    <cellStyle name="Normal 4 2 2 4 2 5 3 2" xfId="31304" xr:uid="{AED1A823-DB52-45C9-B0F5-622A1DB5C813}"/>
    <cellStyle name="Normal 4 2 2 4 2 5 3 3" xfId="22863" xr:uid="{4A2E1A32-D61E-4DE8-9A8A-D619D156FBEE}"/>
    <cellStyle name="Normal 4 2 2 4 2 5 3 4" xfId="14415" xr:uid="{F7541B05-7179-4BA2-8997-989CEEF27803}"/>
    <cellStyle name="Normal 4 2 2 4 2 5 4" xfId="27086" xr:uid="{21577FE2-22E5-4D99-9037-0D890119C3B7}"/>
    <cellStyle name="Normal 4 2 2 4 2 5 5" xfId="18645" xr:uid="{BE724135-625E-437C-BD29-ACF2984992EC}"/>
    <cellStyle name="Normal 4 2 2 4 2 5 6" xfId="10197" xr:uid="{3184B0EF-CE65-4F88-BA2F-0A22CBC692A4}"/>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33862" xr:uid="{43EA6CFA-A6EC-4DE8-9B59-AADAB745BEFA}"/>
    <cellStyle name="Normal 4 2 2 4 2 6 2 2 3" xfId="25421" xr:uid="{F86C3A7F-9262-420E-9F5E-9D1A9BE6D8C2}"/>
    <cellStyle name="Normal 4 2 2 4 2 6 2 2 4" xfId="16973" xr:uid="{E99F76BD-4573-4FDB-A246-6BBED0E6F9D8}"/>
    <cellStyle name="Normal 4 2 2 4 2 6 2 3" xfId="29644" xr:uid="{F7774B04-8DAD-492E-AC96-2BC5D1444F37}"/>
    <cellStyle name="Normal 4 2 2 4 2 6 2 4" xfId="21203" xr:uid="{4DAE27EB-CE55-475B-9FB3-C2210F52A515}"/>
    <cellStyle name="Normal 4 2 2 4 2 6 2 5" xfId="12755" xr:uid="{B6A5AB40-B8A4-4919-BA56-DA18FDC87EE7}"/>
    <cellStyle name="Normal 4 2 2 4 2 6 3" xfId="6378" xr:uid="{00000000-0005-0000-0000-0000B7120000}"/>
    <cellStyle name="Normal 4 2 2 4 2 6 3 2" xfId="31717" xr:uid="{EC9D7BE4-79F5-4E9D-8C5B-4342999C0C21}"/>
    <cellStyle name="Normal 4 2 2 4 2 6 3 3" xfId="23276" xr:uid="{085AB4B1-564F-420A-A13E-C10B13B336D1}"/>
    <cellStyle name="Normal 4 2 2 4 2 6 3 4" xfId="14828" xr:uid="{136669DC-5713-4911-974A-71FBD3820EBA}"/>
    <cellStyle name="Normal 4 2 2 4 2 6 4" xfId="27499" xr:uid="{E7B4E930-7477-40EE-89D6-EBA705AD3998}"/>
    <cellStyle name="Normal 4 2 2 4 2 6 5" xfId="19058" xr:uid="{E0D994D7-0B94-45A6-B569-CE1DFB1C5D1D}"/>
    <cellStyle name="Normal 4 2 2 4 2 6 6" xfId="10610" xr:uid="{0035A486-FE87-43CC-8C30-AFF0A8F6B021}"/>
    <cellStyle name="Normal 4 2 2 4 2 7" xfId="2508" xr:uid="{00000000-0005-0000-0000-0000B8120000}"/>
    <cellStyle name="Normal 4 2 2 4 2 7 2" xfId="6791" xr:uid="{00000000-0005-0000-0000-0000B9120000}"/>
    <cellStyle name="Normal 4 2 2 4 2 7 2 2" xfId="32130" xr:uid="{2EBF7545-CFF1-4DEA-9661-AAB6464EF9EA}"/>
    <cellStyle name="Normal 4 2 2 4 2 7 2 3" xfId="23689" xr:uid="{A047EC24-C8A6-4C7C-AE01-19CBA0411EA0}"/>
    <cellStyle name="Normal 4 2 2 4 2 7 2 4" xfId="15241" xr:uid="{6E0DD352-083D-4AD6-9459-F5614B54243E}"/>
    <cellStyle name="Normal 4 2 2 4 2 7 3" xfId="27912" xr:uid="{EA993B2A-5C68-4E4C-A35A-00C2AFA3F468}"/>
    <cellStyle name="Normal 4 2 2 4 2 7 4" xfId="19471" xr:uid="{A4FDC332-5878-4284-A0FC-9230B084B4E2}"/>
    <cellStyle name="Normal 4 2 2 4 2 7 5" xfId="11023" xr:uid="{F7C5DC6A-4B6F-4CA3-9701-D699C8B599D6}"/>
    <cellStyle name="Normal 4 2 2 4 2 8" xfId="4726" xr:uid="{00000000-0005-0000-0000-0000BA120000}"/>
    <cellStyle name="Normal 4 2 2 4 2 8 2" xfId="30065" xr:uid="{157CA144-C457-4D0E-A8E6-8DCAB86C6CDF}"/>
    <cellStyle name="Normal 4 2 2 4 2 8 3" xfId="21624" xr:uid="{5FFA4D9A-6242-4DD8-AF56-F78A0E0387E1}"/>
    <cellStyle name="Normal 4 2 2 4 2 8 4" xfId="13176" xr:uid="{A525C48E-605F-4D42-A589-1D79AE526009}"/>
    <cellStyle name="Normal 4 2 2 4 2 9" xfId="25847" xr:uid="{4F1071FF-7BC2-45E6-9D68-9F61602A1064}"/>
    <cellStyle name="Normal 4 2 2 4 3" xfId="350" xr:uid="{00000000-0005-0000-0000-0000BB120000}"/>
    <cellStyle name="Normal 4 2 2 4 3 10" xfId="8960" xr:uid="{33D31C09-4FB0-4F88-A759-8F75754059C9}"/>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32625" xr:uid="{D3A19575-F6B5-4294-9B63-71B8E1E3B8A2}"/>
    <cellStyle name="Normal 4 2 2 4 3 2 2 2 3" xfId="24184" xr:uid="{67E42CB2-6E56-42BE-BA73-AA32AC0DA70F}"/>
    <cellStyle name="Normal 4 2 2 4 3 2 2 2 4" xfId="15736" xr:uid="{C5093EA3-EA61-4043-B660-FEC2CF44B2BD}"/>
    <cellStyle name="Normal 4 2 2 4 3 2 2 3" xfId="28407" xr:uid="{1DA42208-09B3-47A9-B734-F69E9E8F741B}"/>
    <cellStyle name="Normal 4 2 2 4 3 2 2 4" xfId="19966" xr:uid="{51EB2AC8-DA7F-4DEB-BFBC-1987265083B0}"/>
    <cellStyle name="Normal 4 2 2 4 3 2 2 5" xfId="11518" xr:uid="{24843440-7089-4F1F-B865-B43DEAA2FBD1}"/>
    <cellStyle name="Normal 4 2 2 4 3 2 3" xfId="5141" xr:uid="{00000000-0005-0000-0000-0000BF120000}"/>
    <cellStyle name="Normal 4 2 2 4 3 2 3 2" xfId="30480" xr:uid="{B9B0CE8A-BB9E-46C8-95AB-20A1FE83265D}"/>
    <cellStyle name="Normal 4 2 2 4 3 2 3 3" xfId="22039" xr:uid="{B82A7D69-620A-4D65-AAF3-9E61893E2910}"/>
    <cellStyle name="Normal 4 2 2 4 3 2 3 4" xfId="13591" xr:uid="{568FF35C-2B0C-409C-B7B9-078631BE8EE9}"/>
    <cellStyle name="Normal 4 2 2 4 3 2 4" xfId="26262" xr:uid="{97A60991-2146-497E-9CC8-E5FD1C0937EC}"/>
    <cellStyle name="Normal 4 2 2 4 3 2 5" xfId="17821" xr:uid="{DB35C6C9-ADA5-4576-82A2-3342972415A6}"/>
    <cellStyle name="Normal 4 2 2 4 3 2 6" xfId="9373" xr:uid="{6DA3DD21-1FDA-4136-B68F-88101D7FA905}"/>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33038" xr:uid="{344D12F8-8E04-487F-9FA3-86DB3C4145D6}"/>
    <cellStyle name="Normal 4 2 2 4 3 3 2 2 3" xfId="24597" xr:uid="{EA3F7D8D-C537-437C-9373-617F3FFA356E}"/>
    <cellStyle name="Normal 4 2 2 4 3 3 2 2 4" xfId="16149" xr:uid="{E80C6443-7922-4AA1-8B2E-577E34897CF7}"/>
    <cellStyle name="Normal 4 2 2 4 3 3 2 3" xfId="28820" xr:uid="{D92989E3-48FF-40CA-80C2-3ED101D542AE}"/>
    <cellStyle name="Normal 4 2 2 4 3 3 2 4" xfId="20379" xr:uid="{FE901CD0-20D8-4B1C-ABF5-46AB8E05D80E}"/>
    <cellStyle name="Normal 4 2 2 4 3 3 2 5" xfId="11931" xr:uid="{F2D022D1-D6E7-4B26-A5BF-3C09ACC582C0}"/>
    <cellStyle name="Normal 4 2 2 4 3 3 3" xfId="5554" xr:uid="{00000000-0005-0000-0000-0000C3120000}"/>
    <cellStyle name="Normal 4 2 2 4 3 3 3 2" xfId="30893" xr:uid="{0D7CDE82-0142-48BB-AC17-1012F420CA8D}"/>
    <cellStyle name="Normal 4 2 2 4 3 3 3 3" xfId="22452" xr:uid="{9BCEB1BD-2C71-4D21-BF3A-D6F145281C7A}"/>
    <cellStyle name="Normal 4 2 2 4 3 3 3 4" xfId="14004" xr:uid="{45860224-0550-4B4C-A082-78A847A0CFD8}"/>
    <cellStyle name="Normal 4 2 2 4 3 3 4" xfId="26675" xr:uid="{0F39880F-C033-46D0-98E8-BE63AE551FE7}"/>
    <cellStyle name="Normal 4 2 2 4 3 3 5" xfId="18234" xr:uid="{9F7D5F80-B60B-474F-BD17-1610AE1C3590}"/>
    <cellStyle name="Normal 4 2 2 4 3 3 6" xfId="9786" xr:uid="{D0201F2C-5EF0-4EB5-AD97-FFD250C47B9F}"/>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33451" xr:uid="{214F3E5C-21F5-480F-AB7D-AE3B1A5BDF06}"/>
    <cellStyle name="Normal 4 2 2 4 3 4 2 2 3" xfId="25010" xr:uid="{F42558D1-2D9C-4958-A1C2-C68B9BDD01B5}"/>
    <cellStyle name="Normal 4 2 2 4 3 4 2 2 4" xfId="16562" xr:uid="{FF07F2A4-925B-4A96-B5B6-AC6FCDC49352}"/>
    <cellStyle name="Normal 4 2 2 4 3 4 2 3" xfId="29233" xr:uid="{324D68C2-F2C9-4EEF-B517-2A16B59937E2}"/>
    <cellStyle name="Normal 4 2 2 4 3 4 2 4" xfId="20792" xr:uid="{74010482-EB4A-47AF-B28E-78EF775A1AE7}"/>
    <cellStyle name="Normal 4 2 2 4 3 4 2 5" xfId="12344" xr:uid="{756BB5B1-425B-409C-A0A0-F4198E968DAC}"/>
    <cellStyle name="Normal 4 2 2 4 3 4 3" xfId="5967" xr:uid="{00000000-0005-0000-0000-0000C7120000}"/>
    <cellStyle name="Normal 4 2 2 4 3 4 3 2" xfId="31306" xr:uid="{0F816528-2156-424B-AECC-CF97DE004346}"/>
    <cellStyle name="Normal 4 2 2 4 3 4 3 3" xfId="22865" xr:uid="{4764DC20-2261-47C3-A9E3-4611F4DC07E0}"/>
    <cellStyle name="Normal 4 2 2 4 3 4 3 4" xfId="14417" xr:uid="{C1870EF3-FCCF-4E3D-AB68-4C28E1D44278}"/>
    <cellStyle name="Normal 4 2 2 4 3 4 4" xfId="27088" xr:uid="{C6461286-8300-4A5F-8B09-60D01ECB45BD}"/>
    <cellStyle name="Normal 4 2 2 4 3 4 5" xfId="18647" xr:uid="{1EDF8DDB-C366-467A-89E2-E454F5C92EA1}"/>
    <cellStyle name="Normal 4 2 2 4 3 4 6" xfId="10199" xr:uid="{033557A9-138B-4D64-9D15-4446B69C40E6}"/>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33864" xr:uid="{B16C5C63-BC71-48F5-BF62-F152740F32CC}"/>
    <cellStyle name="Normal 4 2 2 4 3 5 2 2 3" xfId="25423" xr:uid="{EF99E268-BA68-4E0A-8687-546056394E79}"/>
    <cellStyle name="Normal 4 2 2 4 3 5 2 2 4" xfId="16975" xr:uid="{8198ED06-13C5-4EB6-99C2-26489B3E9E2C}"/>
    <cellStyle name="Normal 4 2 2 4 3 5 2 3" xfId="29646" xr:uid="{66D206FC-C0C1-48A9-921C-276259F18FB8}"/>
    <cellStyle name="Normal 4 2 2 4 3 5 2 4" xfId="21205" xr:uid="{3658F3B8-6537-49F5-B1AB-03CC5A902D68}"/>
    <cellStyle name="Normal 4 2 2 4 3 5 2 5" xfId="12757" xr:uid="{D2A7340F-426D-45DE-BE4C-DE244B4E0461}"/>
    <cellStyle name="Normal 4 2 2 4 3 5 3" xfId="6380" xr:uid="{00000000-0005-0000-0000-0000CB120000}"/>
    <cellStyle name="Normal 4 2 2 4 3 5 3 2" xfId="31719" xr:uid="{21243D4F-1703-4D07-B935-0BB1462E83AA}"/>
    <cellStyle name="Normal 4 2 2 4 3 5 3 3" xfId="23278" xr:uid="{93A7A82E-AF2A-4524-8D07-198DAABFBA6A}"/>
    <cellStyle name="Normal 4 2 2 4 3 5 3 4" xfId="14830" xr:uid="{8795451B-A901-47B3-924F-BDFBA15B1A29}"/>
    <cellStyle name="Normal 4 2 2 4 3 5 4" xfId="27501" xr:uid="{5B9C9C3A-1E32-489D-87F0-7D6FCAD515B5}"/>
    <cellStyle name="Normal 4 2 2 4 3 5 5" xfId="19060" xr:uid="{0F778098-E3DB-4EE5-941B-E3E6ACC2BFBC}"/>
    <cellStyle name="Normal 4 2 2 4 3 5 6" xfId="10612" xr:uid="{2B7B0647-4FE2-4D40-8F6C-7178F16E30B2}"/>
    <cellStyle name="Normal 4 2 2 4 3 6" xfId="2510" xr:uid="{00000000-0005-0000-0000-0000CC120000}"/>
    <cellStyle name="Normal 4 2 2 4 3 6 2" xfId="6793" xr:uid="{00000000-0005-0000-0000-0000CD120000}"/>
    <cellStyle name="Normal 4 2 2 4 3 6 2 2" xfId="32132" xr:uid="{09A9A1CF-3DE4-4375-A79E-20AA63B80ECB}"/>
    <cellStyle name="Normal 4 2 2 4 3 6 2 3" xfId="23691" xr:uid="{15A42F22-B7D2-46E1-9DA3-0984196F9D33}"/>
    <cellStyle name="Normal 4 2 2 4 3 6 2 4" xfId="15243" xr:uid="{5555EDA8-79C5-4391-80F1-5677298C3E4E}"/>
    <cellStyle name="Normal 4 2 2 4 3 6 3" xfId="27914" xr:uid="{368AAE12-FC4B-49B3-9BBA-56304982245B}"/>
    <cellStyle name="Normal 4 2 2 4 3 6 4" xfId="19473" xr:uid="{DD785EF9-46A6-412F-B301-0ABF4819B81F}"/>
    <cellStyle name="Normal 4 2 2 4 3 6 5" xfId="11025" xr:uid="{D0657403-D738-4377-9A19-080DB47FF204}"/>
    <cellStyle name="Normal 4 2 2 4 3 7" xfId="4728" xr:uid="{00000000-0005-0000-0000-0000CE120000}"/>
    <cellStyle name="Normal 4 2 2 4 3 7 2" xfId="30067" xr:uid="{BE086ADD-E4EC-4B58-A3C4-8122BE0ACE54}"/>
    <cellStyle name="Normal 4 2 2 4 3 7 3" xfId="21626" xr:uid="{D86F2BCE-0AA7-4FE6-9FE9-1966BB07AFA5}"/>
    <cellStyle name="Normal 4 2 2 4 3 7 4" xfId="13178" xr:uid="{838A82B8-9879-47AA-8ABC-854188D39CFD}"/>
    <cellStyle name="Normal 4 2 2 4 3 8" xfId="25849" xr:uid="{FCA7B29F-F25D-4527-BBAF-6BF43FD2A203}"/>
    <cellStyle name="Normal 4 2 2 4 3 9" xfId="17408" xr:uid="{8A8F9A31-DB54-4E09-80B9-2069B7A7F64C}"/>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32622" xr:uid="{2746D255-812B-43D4-A3A5-14C2FBA8E263}"/>
    <cellStyle name="Normal 4 2 2 4 4 2 2 3" xfId="24181" xr:uid="{532968E2-FE39-4EB3-85E8-D3D70B24EF3E}"/>
    <cellStyle name="Normal 4 2 2 4 4 2 2 4" xfId="15733" xr:uid="{9AA7D9E4-F8BE-4046-9483-5208A95E40DC}"/>
    <cellStyle name="Normal 4 2 2 4 4 2 3" xfId="28404" xr:uid="{593E4739-8760-476E-BFDB-7CB180A1710D}"/>
    <cellStyle name="Normal 4 2 2 4 4 2 4" xfId="19963" xr:uid="{1CB84D46-00F7-48E7-849B-31A4D52D9AAF}"/>
    <cellStyle name="Normal 4 2 2 4 4 2 5" xfId="11515" xr:uid="{B23386EB-C8DF-41A6-9A9B-7BAB118034E8}"/>
    <cellStyle name="Normal 4 2 2 4 4 3" xfId="5138" xr:uid="{00000000-0005-0000-0000-0000D2120000}"/>
    <cellStyle name="Normal 4 2 2 4 4 3 2" xfId="30477" xr:uid="{5CCFEB93-A85A-43FB-9CB6-573E5EF4B7C5}"/>
    <cellStyle name="Normal 4 2 2 4 4 3 3" xfId="22036" xr:uid="{AA7D00FC-55B6-4DB3-A2A0-5596AF4FAFEF}"/>
    <cellStyle name="Normal 4 2 2 4 4 3 4" xfId="13588" xr:uid="{58FDDA71-DD61-4BF3-96B4-B60F5AB9CECE}"/>
    <cellStyle name="Normal 4 2 2 4 4 4" xfId="26259" xr:uid="{88047C8D-B3DD-4BE9-A302-63C68442E7C5}"/>
    <cellStyle name="Normal 4 2 2 4 4 5" xfId="17818" xr:uid="{2C39EAD4-1715-436A-A8CF-4085EF981387}"/>
    <cellStyle name="Normal 4 2 2 4 4 6" xfId="9370" xr:uid="{D4A21903-CF9D-448A-930E-C5B4837771E2}"/>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33035" xr:uid="{45BB8437-7C12-4783-A43E-C92E4945FD2A}"/>
    <cellStyle name="Normal 4 2 2 4 5 2 2 3" xfId="24594" xr:uid="{6A9C53DA-61F0-4048-8DAC-F8E9C6381F9B}"/>
    <cellStyle name="Normal 4 2 2 4 5 2 2 4" xfId="16146" xr:uid="{6B03AC98-DD35-47BD-AE44-07F556ACD2AC}"/>
    <cellStyle name="Normal 4 2 2 4 5 2 3" xfId="28817" xr:uid="{15D3866D-0610-4B38-AD5E-C45081A57C7C}"/>
    <cellStyle name="Normal 4 2 2 4 5 2 4" xfId="20376" xr:uid="{79F1FB15-E16F-41F7-97B7-A62A6D52FD93}"/>
    <cellStyle name="Normal 4 2 2 4 5 2 5" xfId="11928" xr:uid="{E5942679-8EC5-48D0-830D-83FB1A3F7A08}"/>
    <cellStyle name="Normal 4 2 2 4 5 3" xfId="5551" xr:uid="{00000000-0005-0000-0000-0000D6120000}"/>
    <cellStyle name="Normal 4 2 2 4 5 3 2" xfId="30890" xr:uid="{BA8D1D69-998F-4EA7-BED0-0AB3120B05E0}"/>
    <cellStyle name="Normal 4 2 2 4 5 3 3" xfId="22449" xr:uid="{96B33E19-D4B1-4743-859D-6C6FFB199833}"/>
    <cellStyle name="Normal 4 2 2 4 5 3 4" xfId="14001" xr:uid="{DDAEAC41-4011-4E80-B024-044EE3797E13}"/>
    <cellStyle name="Normal 4 2 2 4 5 4" xfId="26672" xr:uid="{BD975551-98E2-4C38-9D11-692373B3DF6B}"/>
    <cellStyle name="Normal 4 2 2 4 5 5" xfId="18231" xr:uid="{328AEF18-AA43-4FF1-94E0-DB55076FDC08}"/>
    <cellStyle name="Normal 4 2 2 4 5 6" xfId="9783" xr:uid="{D486015C-CEF8-49AF-9C53-FF74CD6B8BB4}"/>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33448" xr:uid="{ACC2C4B5-C4F5-4A70-9C56-08D5913CEBCE}"/>
    <cellStyle name="Normal 4 2 2 4 6 2 2 3" xfId="25007" xr:uid="{33070075-EF27-4BBF-83CC-0C5B99DCEB0B}"/>
    <cellStyle name="Normal 4 2 2 4 6 2 2 4" xfId="16559" xr:uid="{1957E1FA-5904-44CA-8F02-29E1B9749690}"/>
    <cellStyle name="Normal 4 2 2 4 6 2 3" xfId="29230" xr:uid="{5445941A-48C6-4D68-9C01-09C1C4FF8106}"/>
    <cellStyle name="Normal 4 2 2 4 6 2 4" xfId="20789" xr:uid="{46AAF20D-1DDB-4148-8330-D1F736F01DB3}"/>
    <cellStyle name="Normal 4 2 2 4 6 2 5" xfId="12341" xr:uid="{60C61F08-82C9-4746-956C-C75DE159B6D4}"/>
    <cellStyle name="Normal 4 2 2 4 6 3" xfId="5964" xr:uid="{00000000-0005-0000-0000-0000DA120000}"/>
    <cellStyle name="Normal 4 2 2 4 6 3 2" xfId="31303" xr:uid="{2BDF8560-461B-4238-8409-976697DF98CF}"/>
    <cellStyle name="Normal 4 2 2 4 6 3 3" xfId="22862" xr:uid="{C1360B5B-DD2D-44EB-A54F-0E9E4F95BDA8}"/>
    <cellStyle name="Normal 4 2 2 4 6 3 4" xfId="14414" xr:uid="{794F4384-6521-494E-9668-46814C8D4007}"/>
    <cellStyle name="Normal 4 2 2 4 6 4" xfId="27085" xr:uid="{2A84BA8E-E0C8-426C-A2FD-9BD07C48BD2D}"/>
    <cellStyle name="Normal 4 2 2 4 6 5" xfId="18644" xr:uid="{28DC9CD0-C3AD-4096-B4A8-FC7AC935AE02}"/>
    <cellStyle name="Normal 4 2 2 4 6 6" xfId="10196" xr:uid="{C132FA6B-F384-4224-B4F6-493C6B7829CC}"/>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33861" xr:uid="{CF5B389D-EF18-48CA-8E3F-5F0C89849800}"/>
    <cellStyle name="Normal 4 2 2 4 7 2 2 3" xfId="25420" xr:uid="{92C8A40A-6BAD-41F0-83F8-354507778208}"/>
    <cellStyle name="Normal 4 2 2 4 7 2 2 4" xfId="16972" xr:uid="{1C874112-8CE9-4396-BAE6-538CCCC78BEB}"/>
    <cellStyle name="Normal 4 2 2 4 7 2 3" xfId="29643" xr:uid="{D0543280-0692-440E-846F-1C8F53690DC4}"/>
    <cellStyle name="Normal 4 2 2 4 7 2 4" xfId="21202" xr:uid="{CCFAC5B2-9F46-4F85-B2C6-5E2ABF91F7D9}"/>
    <cellStyle name="Normal 4 2 2 4 7 2 5" xfId="12754" xr:uid="{50403E11-F241-4021-B84D-E48CEC6898A6}"/>
    <cellStyle name="Normal 4 2 2 4 7 3" xfId="6377" xr:uid="{00000000-0005-0000-0000-0000DE120000}"/>
    <cellStyle name="Normal 4 2 2 4 7 3 2" xfId="31716" xr:uid="{E5483AF5-B617-4217-B0D5-9E8D3F2D1482}"/>
    <cellStyle name="Normal 4 2 2 4 7 3 3" xfId="23275" xr:uid="{34214C18-AFB0-4C92-A9A4-C67CADCDF4B9}"/>
    <cellStyle name="Normal 4 2 2 4 7 3 4" xfId="14827" xr:uid="{24DB6960-AED0-46C1-949E-877338B00369}"/>
    <cellStyle name="Normal 4 2 2 4 7 4" xfId="27498" xr:uid="{7026F4D6-0A68-435B-BE1D-8235287C9BE0}"/>
    <cellStyle name="Normal 4 2 2 4 7 5" xfId="19057" xr:uid="{219080A7-6055-45E2-8E1A-6462AAA363DB}"/>
    <cellStyle name="Normal 4 2 2 4 7 6" xfId="10609" xr:uid="{B722CA4C-8CB8-49A5-839F-B10111A02515}"/>
    <cellStyle name="Normal 4 2 2 4 8" xfId="2507" xr:uid="{00000000-0005-0000-0000-0000DF120000}"/>
    <cellStyle name="Normal 4 2 2 4 8 2" xfId="6790" xr:uid="{00000000-0005-0000-0000-0000E0120000}"/>
    <cellStyle name="Normal 4 2 2 4 8 2 2" xfId="32129" xr:uid="{0C2BD889-578F-41F5-8027-EDFA2223A376}"/>
    <cellStyle name="Normal 4 2 2 4 8 2 3" xfId="23688" xr:uid="{8F17F010-C8FD-4320-B867-D1E94B7A88FC}"/>
    <cellStyle name="Normal 4 2 2 4 8 2 4" xfId="15240" xr:uid="{98410723-9A5D-44C5-BAAF-9CCED7BBF37E}"/>
    <cellStyle name="Normal 4 2 2 4 8 3" xfId="27911" xr:uid="{3617FC5A-FFF8-4A45-8BC8-A5BE6CC95196}"/>
    <cellStyle name="Normal 4 2 2 4 8 4" xfId="19470" xr:uid="{0C40B6C2-F2CE-4A23-A011-DAD3888BCB57}"/>
    <cellStyle name="Normal 4 2 2 4 8 5" xfId="11022" xr:uid="{ECC33C02-1D65-4179-8464-9833788E9960}"/>
    <cellStyle name="Normal 4 2 2 4 9" xfId="4725" xr:uid="{00000000-0005-0000-0000-0000E1120000}"/>
    <cellStyle name="Normal 4 2 2 4 9 2" xfId="30064" xr:uid="{AB8FDACF-2C61-43A5-96AB-4F53752DF376}"/>
    <cellStyle name="Normal 4 2 2 4 9 3" xfId="21623" xr:uid="{C79C3999-01A1-48A3-ADE2-6ACC8B1D5C79}"/>
    <cellStyle name="Normal 4 2 2 4 9 4" xfId="13175" xr:uid="{0D43BE55-52D8-4513-BEBF-B5EC39E7ED8E}"/>
    <cellStyle name="Normal 4 2 2 5" xfId="351" xr:uid="{00000000-0005-0000-0000-0000E2120000}"/>
    <cellStyle name="Normal 4 2 2 5 10" xfId="17409" xr:uid="{091FBD02-E440-4EC4-9FA3-A4C4066EF588}"/>
    <cellStyle name="Normal 4 2 2 5 11" xfId="8961" xr:uid="{40BD5BC4-8A25-49E0-A454-10A606B12F8F}"/>
    <cellStyle name="Normal 4 2 2 5 2" xfId="352" xr:uid="{00000000-0005-0000-0000-0000E3120000}"/>
    <cellStyle name="Normal 4 2 2 5 2 10" xfId="8962" xr:uid="{14058D0E-1D5B-49AF-B194-7D56B2C43AEC}"/>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32627" xr:uid="{604BB324-79D6-4BE6-B9F5-3639D4DBDA75}"/>
    <cellStyle name="Normal 4 2 2 5 2 2 2 2 3" xfId="24186" xr:uid="{9BA64D44-B61C-4B33-AD53-144C6FD51AA0}"/>
    <cellStyle name="Normal 4 2 2 5 2 2 2 2 4" xfId="15738" xr:uid="{5B5488C9-D1C5-4007-8308-1DD0026769D8}"/>
    <cellStyle name="Normal 4 2 2 5 2 2 2 3" xfId="28409" xr:uid="{6E934709-4433-4EF9-A4F7-C0EE1BA26043}"/>
    <cellStyle name="Normal 4 2 2 5 2 2 2 4" xfId="19968" xr:uid="{175E8107-2FB0-4142-ABA7-6F9B9327E74F}"/>
    <cellStyle name="Normal 4 2 2 5 2 2 2 5" xfId="11520" xr:uid="{79AAA3EB-04EB-43C3-B680-E1751FDC9286}"/>
    <cellStyle name="Normal 4 2 2 5 2 2 3" xfId="5143" xr:uid="{00000000-0005-0000-0000-0000E7120000}"/>
    <cellStyle name="Normal 4 2 2 5 2 2 3 2" xfId="30482" xr:uid="{5468F0F5-83DF-436A-B034-84283F870CBB}"/>
    <cellStyle name="Normal 4 2 2 5 2 2 3 3" xfId="22041" xr:uid="{A49E0A6F-1493-4845-9093-FA07D03696E2}"/>
    <cellStyle name="Normal 4 2 2 5 2 2 3 4" xfId="13593" xr:uid="{7930D073-C378-416C-B6C8-1653AB62EF6D}"/>
    <cellStyle name="Normal 4 2 2 5 2 2 4" xfId="26264" xr:uid="{E69DD0FF-0CD5-4DFE-A215-65DCAF145295}"/>
    <cellStyle name="Normal 4 2 2 5 2 2 5" xfId="17823" xr:uid="{7B45E4EA-9441-4B58-A823-461834AB55D6}"/>
    <cellStyle name="Normal 4 2 2 5 2 2 6" xfId="9375" xr:uid="{709B3E12-1AB3-444C-9530-3D2A645697D8}"/>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33040" xr:uid="{D00956AD-EF5A-4A73-BFA8-C18C92E9AE74}"/>
    <cellStyle name="Normal 4 2 2 5 2 3 2 2 3" xfId="24599" xr:uid="{9FC90B50-6B36-413F-812F-E0449A020436}"/>
    <cellStyle name="Normal 4 2 2 5 2 3 2 2 4" xfId="16151" xr:uid="{E9A716B0-CD18-4795-BC5B-32C848B2EA01}"/>
    <cellStyle name="Normal 4 2 2 5 2 3 2 3" xfId="28822" xr:uid="{9F6E71CB-A9C3-4274-BE66-B5D35EE79C66}"/>
    <cellStyle name="Normal 4 2 2 5 2 3 2 4" xfId="20381" xr:uid="{C28ED072-D882-4C28-A267-DA0AAB843AE9}"/>
    <cellStyle name="Normal 4 2 2 5 2 3 2 5" xfId="11933" xr:uid="{C308B8DF-8223-443A-9F5A-25C2AACF10F5}"/>
    <cellStyle name="Normal 4 2 2 5 2 3 3" xfId="5556" xr:uid="{00000000-0005-0000-0000-0000EB120000}"/>
    <cellStyle name="Normal 4 2 2 5 2 3 3 2" xfId="30895" xr:uid="{AFF1DFC1-E647-4DD6-8CF8-D963BFFA956D}"/>
    <cellStyle name="Normal 4 2 2 5 2 3 3 3" xfId="22454" xr:uid="{44BD81F0-A5DF-4F68-9196-6613160D008E}"/>
    <cellStyle name="Normal 4 2 2 5 2 3 3 4" xfId="14006" xr:uid="{A15618D2-E07B-4034-978C-1E1B464B83DC}"/>
    <cellStyle name="Normal 4 2 2 5 2 3 4" xfId="26677" xr:uid="{A5D36378-4C61-4260-B38B-5AA9A1AE8DDE}"/>
    <cellStyle name="Normal 4 2 2 5 2 3 5" xfId="18236" xr:uid="{5C5A5021-8D59-4A9D-88EF-7F5946B04BA5}"/>
    <cellStyle name="Normal 4 2 2 5 2 3 6" xfId="9788" xr:uid="{BA10BC74-97F4-4549-9539-D6268EFFB55A}"/>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33453" xr:uid="{B61FAB24-5A31-457A-A12D-8E367C3D227F}"/>
    <cellStyle name="Normal 4 2 2 5 2 4 2 2 3" xfId="25012" xr:uid="{DAFE3C1E-018C-43F9-88A4-08DF753645C9}"/>
    <cellStyle name="Normal 4 2 2 5 2 4 2 2 4" xfId="16564" xr:uid="{FA255981-4469-44B3-A311-EB04C19E3EC2}"/>
    <cellStyle name="Normal 4 2 2 5 2 4 2 3" xfId="29235" xr:uid="{8ECA35EF-A075-4F56-9539-BCD6F50D9DB9}"/>
    <cellStyle name="Normal 4 2 2 5 2 4 2 4" xfId="20794" xr:uid="{031F05C0-D6CA-413A-BC5E-2DAAD1ACD020}"/>
    <cellStyle name="Normal 4 2 2 5 2 4 2 5" xfId="12346" xr:uid="{7018CD0E-8B5C-4ABE-97D9-6AD5183A6FF6}"/>
    <cellStyle name="Normal 4 2 2 5 2 4 3" xfId="5969" xr:uid="{00000000-0005-0000-0000-0000EF120000}"/>
    <cellStyle name="Normal 4 2 2 5 2 4 3 2" xfId="31308" xr:uid="{6555A47C-4993-4E57-A2C8-1D447E9E27BB}"/>
    <cellStyle name="Normal 4 2 2 5 2 4 3 3" xfId="22867" xr:uid="{C64BE198-54A8-45BD-BCCD-144A73ACCDF1}"/>
    <cellStyle name="Normal 4 2 2 5 2 4 3 4" xfId="14419" xr:uid="{B5EAFF56-0FB8-4646-817C-B312DCC361C6}"/>
    <cellStyle name="Normal 4 2 2 5 2 4 4" xfId="27090" xr:uid="{7870F61B-6B3E-41AD-A38D-2238BAC66DB9}"/>
    <cellStyle name="Normal 4 2 2 5 2 4 5" xfId="18649" xr:uid="{C090178C-A5BA-4FF8-BEE7-50A3E595EF9A}"/>
    <cellStyle name="Normal 4 2 2 5 2 4 6" xfId="10201" xr:uid="{258018A1-02E5-4B6A-8038-4F37DC41B3FB}"/>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33866" xr:uid="{688E3D77-9C35-4044-8973-73979D95CD41}"/>
    <cellStyle name="Normal 4 2 2 5 2 5 2 2 3" xfId="25425" xr:uid="{71D523FD-81B1-4D6A-B23D-FA76CBAF730E}"/>
    <cellStyle name="Normal 4 2 2 5 2 5 2 2 4" xfId="16977" xr:uid="{DECA8104-6F42-45EC-A220-BED05C780B46}"/>
    <cellStyle name="Normal 4 2 2 5 2 5 2 3" xfId="29648" xr:uid="{DD6FE2F5-2547-4732-8702-9DE4D4D46E10}"/>
    <cellStyle name="Normal 4 2 2 5 2 5 2 4" xfId="21207" xr:uid="{F5EC3967-8146-4796-886C-A1AC294CFA0A}"/>
    <cellStyle name="Normal 4 2 2 5 2 5 2 5" xfId="12759" xr:uid="{4E023429-D676-4899-8F9E-B9069859054A}"/>
    <cellStyle name="Normal 4 2 2 5 2 5 3" xfId="6382" xr:uid="{00000000-0005-0000-0000-0000F3120000}"/>
    <cellStyle name="Normal 4 2 2 5 2 5 3 2" xfId="31721" xr:uid="{03C49120-2A57-4087-9872-4995BDE8AC60}"/>
    <cellStyle name="Normal 4 2 2 5 2 5 3 3" xfId="23280" xr:uid="{0B84D684-33DC-477A-A20B-F98020DB381C}"/>
    <cellStyle name="Normal 4 2 2 5 2 5 3 4" xfId="14832" xr:uid="{116E59EE-0C3F-4396-AF5D-BE84EF4B95F9}"/>
    <cellStyle name="Normal 4 2 2 5 2 5 4" xfId="27503" xr:uid="{DD77D428-04F7-426A-B9F5-F295CA792CCF}"/>
    <cellStyle name="Normal 4 2 2 5 2 5 5" xfId="19062" xr:uid="{A73450C5-DEA1-4A84-8C7A-D68B8F453A2E}"/>
    <cellStyle name="Normal 4 2 2 5 2 5 6" xfId="10614" xr:uid="{BD533C85-9B3E-4BD3-B9F3-F527BBF35AD1}"/>
    <cellStyle name="Normal 4 2 2 5 2 6" xfId="2512" xr:uid="{00000000-0005-0000-0000-0000F4120000}"/>
    <cellStyle name="Normal 4 2 2 5 2 6 2" xfId="6795" xr:uid="{00000000-0005-0000-0000-0000F5120000}"/>
    <cellStyle name="Normal 4 2 2 5 2 6 2 2" xfId="32134" xr:uid="{F0CD549C-AF15-476C-AC22-F3BED2F3E06A}"/>
    <cellStyle name="Normal 4 2 2 5 2 6 2 3" xfId="23693" xr:uid="{F96DDD88-9AD7-4C47-9E43-09A0A00FD9F4}"/>
    <cellStyle name="Normal 4 2 2 5 2 6 2 4" xfId="15245" xr:uid="{EE999F06-C2BB-407E-AF39-351B4FBE6049}"/>
    <cellStyle name="Normal 4 2 2 5 2 6 3" xfId="27916" xr:uid="{F295B57C-5148-4F7B-BD31-DF89ED34A1AE}"/>
    <cellStyle name="Normal 4 2 2 5 2 6 4" xfId="19475" xr:uid="{0744C2E0-1701-489E-B779-9E98BA4C077F}"/>
    <cellStyle name="Normal 4 2 2 5 2 6 5" xfId="11027" xr:uid="{FC8E4225-4B02-4510-A14C-44043D3B65FD}"/>
    <cellStyle name="Normal 4 2 2 5 2 7" xfId="4730" xr:uid="{00000000-0005-0000-0000-0000F6120000}"/>
    <cellStyle name="Normal 4 2 2 5 2 7 2" xfId="30069" xr:uid="{84FEDADB-A8F1-4F32-B47C-B27F18D63873}"/>
    <cellStyle name="Normal 4 2 2 5 2 7 3" xfId="21628" xr:uid="{8FFFAEDD-2220-4B00-B012-532D3C6BFE93}"/>
    <cellStyle name="Normal 4 2 2 5 2 7 4" xfId="13180" xr:uid="{92DCDBCC-B789-41B5-A79F-D5BDBEE874FB}"/>
    <cellStyle name="Normal 4 2 2 5 2 8" xfId="25851" xr:uid="{87C2ECEE-5791-42E6-82FD-C7ADEE9C6CB3}"/>
    <cellStyle name="Normal 4 2 2 5 2 9" xfId="17410" xr:uid="{5DB08E98-DFD2-4273-82D4-0DD9BB8BF4FA}"/>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32626" xr:uid="{3A219CD7-05B6-4337-8B06-62F17CD8021D}"/>
    <cellStyle name="Normal 4 2 2 5 3 2 2 3" xfId="24185" xr:uid="{FFE6776F-7F7D-4F95-A704-2D2AFE98DFD4}"/>
    <cellStyle name="Normal 4 2 2 5 3 2 2 4" xfId="15737" xr:uid="{5E2F27B5-BFA5-468E-B661-5991ED9DA501}"/>
    <cellStyle name="Normal 4 2 2 5 3 2 3" xfId="28408" xr:uid="{21847762-AF38-4941-AA6D-9CE3DC7204B4}"/>
    <cellStyle name="Normal 4 2 2 5 3 2 4" xfId="19967" xr:uid="{AF5488E1-A4CB-4406-B2B5-F3ED3C8D08D6}"/>
    <cellStyle name="Normal 4 2 2 5 3 2 5" xfId="11519" xr:uid="{E94DB89A-7604-4423-8C06-CA742FF9AB85}"/>
    <cellStyle name="Normal 4 2 2 5 3 3" xfId="5142" xr:uid="{00000000-0005-0000-0000-0000FA120000}"/>
    <cellStyle name="Normal 4 2 2 5 3 3 2" xfId="30481" xr:uid="{A235D7DC-7F02-4B73-8C2B-AF18663259DB}"/>
    <cellStyle name="Normal 4 2 2 5 3 3 3" xfId="22040" xr:uid="{6BA1B55E-2458-43C6-9EA3-2C406CE24AB6}"/>
    <cellStyle name="Normal 4 2 2 5 3 3 4" xfId="13592" xr:uid="{8320058A-8608-4ED6-82C9-7E5121F6635E}"/>
    <cellStyle name="Normal 4 2 2 5 3 4" xfId="26263" xr:uid="{20E2405B-6865-4911-8665-B91E4EA6B81D}"/>
    <cellStyle name="Normal 4 2 2 5 3 5" xfId="17822" xr:uid="{8B8FD288-CF13-44BB-A32C-54C854F5ED44}"/>
    <cellStyle name="Normal 4 2 2 5 3 6" xfId="9374" xr:uid="{558A9E44-DFBB-4A4A-9E27-D6A8E20CA4AF}"/>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33039" xr:uid="{58576916-535C-49DF-AE65-963C3DC08A04}"/>
    <cellStyle name="Normal 4 2 2 5 4 2 2 3" xfId="24598" xr:uid="{C9772D24-595C-4186-8303-AD0FC84B09B9}"/>
    <cellStyle name="Normal 4 2 2 5 4 2 2 4" xfId="16150" xr:uid="{55650248-EF57-4124-AB0F-E7093120C20C}"/>
    <cellStyle name="Normal 4 2 2 5 4 2 3" xfId="28821" xr:uid="{3126BF62-0DF4-445D-B92E-43F1EC993B0F}"/>
    <cellStyle name="Normal 4 2 2 5 4 2 4" xfId="20380" xr:uid="{0902F4D9-AA1E-4705-8E81-CD308CB6CC4A}"/>
    <cellStyle name="Normal 4 2 2 5 4 2 5" xfId="11932" xr:uid="{D3D3C83A-F516-4D7C-8F04-83C84EC9BAD6}"/>
    <cellStyle name="Normal 4 2 2 5 4 3" xfId="5555" xr:uid="{00000000-0005-0000-0000-0000FE120000}"/>
    <cellStyle name="Normal 4 2 2 5 4 3 2" xfId="30894" xr:uid="{6638E795-C215-4316-93AD-0A83948C9663}"/>
    <cellStyle name="Normal 4 2 2 5 4 3 3" xfId="22453" xr:uid="{A1F23D3C-273F-4BE7-8A70-5E2EB356A4DA}"/>
    <cellStyle name="Normal 4 2 2 5 4 3 4" xfId="14005" xr:uid="{7C780AD2-5181-4740-A57C-C5D6618EC716}"/>
    <cellStyle name="Normal 4 2 2 5 4 4" xfId="26676" xr:uid="{46BCB9AD-CCC0-41C7-868B-C9BB2FBA52F0}"/>
    <cellStyle name="Normal 4 2 2 5 4 5" xfId="18235" xr:uid="{BD447E27-02A5-4853-8F78-E6302EC10C1A}"/>
    <cellStyle name="Normal 4 2 2 5 4 6" xfId="9787" xr:uid="{F3523C7B-1D2E-464D-973A-743D5AEF9D6F}"/>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33452" xr:uid="{0FCC5CB7-718F-42D7-9D73-8753062D4D9F}"/>
    <cellStyle name="Normal 4 2 2 5 5 2 2 3" xfId="25011" xr:uid="{F3A23755-CB43-4E59-BAC5-1477ED825190}"/>
    <cellStyle name="Normal 4 2 2 5 5 2 2 4" xfId="16563" xr:uid="{31847D40-D5F3-49E6-B66D-F18B7129CE0A}"/>
    <cellStyle name="Normal 4 2 2 5 5 2 3" xfId="29234" xr:uid="{BB3CAE8B-E5F8-4CC3-87FF-C63F42EF9FD2}"/>
    <cellStyle name="Normal 4 2 2 5 5 2 4" xfId="20793" xr:uid="{CAD1E4D4-6F93-4C28-8315-AFBC12795257}"/>
    <cellStyle name="Normal 4 2 2 5 5 2 5" xfId="12345" xr:uid="{7EDB30F3-DD65-4DD8-A5AC-F7561B455AD7}"/>
    <cellStyle name="Normal 4 2 2 5 5 3" xfId="5968" xr:uid="{00000000-0005-0000-0000-000002130000}"/>
    <cellStyle name="Normal 4 2 2 5 5 3 2" xfId="31307" xr:uid="{18E25617-5FDA-42BD-98CF-D3D40BE0598F}"/>
    <cellStyle name="Normal 4 2 2 5 5 3 3" xfId="22866" xr:uid="{A440709D-B3ED-4BA9-8404-2A2098041F64}"/>
    <cellStyle name="Normal 4 2 2 5 5 3 4" xfId="14418" xr:uid="{7DB23B99-88B4-45E1-A204-120928404D34}"/>
    <cellStyle name="Normal 4 2 2 5 5 4" xfId="27089" xr:uid="{17AFEFA5-7FD4-4867-8C4F-E1F0F3923B5B}"/>
    <cellStyle name="Normal 4 2 2 5 5 5" xfId="18648" xr:uid="{C33ED93E-1EC7-4B8B-9973-CD833746F0DC}"/>
    <cellStyle name="Normal 4 2 2 5 5 6" xfId="10200" xr:uid="{E60E49D9-868D-49DB-9ECB-202FC5397AFE}"/>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33865" xr:uid="{995F5F87-F9ED-4811-B352-2E8A40C8DB4A}"/>
    <cellStyle name="Normal 4 2 2 5 6 2 2 3" xfId="25424" xr:uid="{0D50F93D-2D03-444B-B8C8-1B5EB50625CF}"/>
    <cellStyle name="Normal 4 2 2 5 6 2 2 4" xfId="16976" xr:uid="{529575E1-B084-4C90-B685-C283AF6D04D8}"/>
    <cellStyle name="Normal 4 2 2 5 6 2 3" xfId="29647" xr:uid="{BF8141F3-2250-4FC9-A29B-621DE1ACEC76}"/>
    <cellStyle name="Normal 4 2 2 5 6 2 4" xfId="21206" xr:uid="{E7924027-8F4C-4916-BF38-937BB04E3F1B}"/>
    <cellStyle name="Normal 4 2 2 5 6 2 5" xfId="12758" xr:uid="{426A7992-CE75-4A08-806F-DA33E39BBEF8}"/>
    <cellStyle name="Normal 4 2 2 5 6 3" xfId="6381" xr:uid="{00000000-0005-0000-0000-000006130000}"/>
    <cellStyle name="Normal 4 2 2 5 6 3 2" xfId="31720" xr:uid="{9C4C1E46-E86A-4312-BA09-E4DE88923232}"/>
    <cellStyle name="Normal 4 2 2 5 6 3 3" xfId="23279" xr:uid="{FB20811B-F4B8-440E-9AD1-A4CE40A02377}"/>
    <cellStyle name="Normal 4 2 2 5 6 3 4" xfId="14831" xr:uid="{59CC7773-5116-4710-A75D-73E572030AA7}"/>
    <cellStyle name="Normal 4 2 2 5 6 4" xfId="27502" xr:uid="{66285C12-B330-4BA6-9F7B-CC0F91A9223E}"/>
    <cellStyle name="Normal 4 2 2 5 6 5" xfId="19061" xr:uid="{133C1669-8F15-4D33-A8FF-057098332E56}"/>
    <cellStyle name="Normal 4 2 2 5 6 6" xfId="10613" xr:uid="{31E982D6-F52A-473D-8F0C-751BB1EA3AA4}"/>
    <cellStyle name="Normal 4 2 2 5 7" xfId="2511" xr:uid="{00000000-0005-0000-0000-000007130000}"/>
    <cellStyle name="Normal 4 2 2 5 7 2" xfId="6794" xr:uid="{00000000-0005-0000-0000-000008130000}"/>
    <cellStyle name="Normal 4 2 2 5 7 2 2" xfId="32133" xr:uid="{3CABCC74-D86C-4722-95EA-2EA15ABD023D}"/>
    <cellStyle name="Normal 4 2 2 5 7 2 3" xfId="23692" xr:uid="{C8989A3B-2515-4690-BC5E-363BDB0759F1}"/>
    <cellStyle name="Normal 4 2 2 5 7 2 4" xfId="15244" xr:uid="{E23FB625-4DBD-47C4-9D7D-22396309C844}"/>
    <cellStyle name="Normal 4 2 2 5 7 3" xfId="27915" xr:uid="{E6AF8935-7313-453B-ADD2-01E3681B3F85}"/>
    <cellStyle name="Normal 4 2 2 5 7 4" xfId="19474" xr:uid="{0C00DB63-69E6-4B90-A136-27596468A13E}"/>
    <cellStyle name="Normal 4 2 2 5 7 5" xfId="11026" xr:uid="{6E7970B2-FAB5-4220-88D4-DEE42274D64E}"/>
    <cellStyle name="Normal 4 2 2 5 8" xfId="4729" xr:uid="{00000000-0005-0000-0000-000009130000}"/>
    <cellStyle name="Normal 4 2 2 5 8 2" xfId="30068" xr:uid="{AD481E9F-945F-4799-A642-8B516CCEBE80}"/>
    <cellStyle name="Normal 4 2 2 5 8 3" xfId="21627" xr:uid="{C54E99F6-1D47-4746-B15A-CD52D437764B}"/>
    <cellStyle name="Normal 4 2 2 5 8 4" xfId="13179" xr:uid="{2B0B7421-A856-4632-80DD-DE9B8A754897}"/>
    <cellStyle name="Normal 4 2 2 5 9" xfId="25850" xr:uid="{46C7789B-198A-4639-B704-CB785CD0CB65}"/>
    <cellStyle name="Normal 4 2 2 6" xfId="353" xr:uid="{00000000-0005-0000-0000-00000A130000}"/>
    <cellStyle name="Normal 4 2 2 6 10" xfId="8963" xr:uid="{878858F2-E2E8-47D5-A0B6-C5A0AECB8C8A}"/>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32628" xr:uid="{3A2183E7-1EE7-4CBE-BD40-16A17164C595}"/>
    <cellStyle name="Normal 4 2 2 6 2 2 2 3" xfId="24187" xr:uid="{863818C4-9F59-41BB-8EC5-5C79B8DE1576}"/>
    <cellStyle name="Normal 4 2 2 6 2 2 2 4" xfId="15739" xr:uid="{189ECFF0-C5F5-496E-9819-93582F394653}"/>
    <cellStyle name="Normal 4 2 2 6 2 2 3" xfId="28410" xr:uid="{9391335C-F02D-4000-B807-CFE2AE6F8388}"/>
    <cellStyle name="Normal 4 2 2 6 2 2 4" xfId="19969" xr:uid="{7ED4C4AA-D65A-4CE0-8825-B6AB0D73DD36}"/>
    <cellStyle name="Normal 4 2 2 6 2 2 5" xfId="11521" xr:uid="{7AAAC80C-A00C-4322-B2A3-115CC5329A2D}"/>
    <cellStyle name="Normal 4 2 2 6 2 3" xfId="5144" xr:uid="{00000000-0005-0000-0000-00000E130000}"/>
    <cellStyle name="Normal 4 2 2 6 2 3 2" xfId="30483" xr:uid="{B1FBC121-039A-4B32-BE63-B696CD70B733}"/>
    <cellStyle name="Normal 4 2 2 6 2 3 3" xfId="22042" xr:uid="{33607576-00BE-4AF9-A6DA-2385D09A064C}"/>
    <cellStyle name="Normal 4 2 2 6 2 3 4" xfId="13594" xr:uid="{1285BA3F-53ED-4509-8E1C-420C2D352C6A}"/>
    <cellStyle name="Normal 4 2 2 6 2 4" xfId="26265" xr:uid="{4779CE43-5D45-4BFA-A96C-8C3C1110C28E}"/>
    <cellStyle name="Normal 4 2 2 6 2 5" xfId="17824" xr:uid="{9D79FC33-8993-4FD8-BA48-574B67DBC84D}"/>
    <cellStyle name="Normal 4 2 2 6 2 6" xfId="9376" xr:uid="{31EB82AD-637A-4BB9-882B-C08D8829FF10}"/>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33041" xr:uid="{C4B2DCF2-A8F2-43F1-8CBD-388AF4764139}"/>
    <cellStyle name="Normal 4 2 2 6 3 2 2 3" xfId="24600" xr:uid="{B30C86F8-E1D8-4B2D-9673-EA474C4F1622}"/>
    <cellStyle name="Normal 4 2 2 6 3 2 2 4" xfId="16152" xr:uid="{9982AEF4-71D7-472C-A993-497C153BBACC}"/>
    <cellStyle name="Normal 4 2 2 6 3 2 3" xfId="28823" xr:uid="{4D309F87-6868-47F8-A32B-1A2C67E44C8F}"/>
    <cellStyle name="Normal 4 2 2 6 3 2 4" xfId="20382" xr:uid="{B103CA8E-B480-4667-B826-010CE6E24325}"/>
    <cellStyle name="Normal 4 2 2 6 3 2 5" xfId="11934" xr:uid="{6E9B2A65-21D8-466D-9344-18E2B2021CFA}"/>
    <cellStyle name="Normal 4 2 2 6 3 3" xfId="5557" xr:uid="{00000000-0005-0000-0000-000012130000}"/>
    <cellStyle name="Normal 4 2 2 6 3 3 2" xfId="30896" xr:uid="{DD535AB1-389C-4D0A-B100-790B94F3A6C6}"/>
    <cellStyle name="Normal 4 2 2 6 3 3 3" xfId="22455" xr:uid="{0B85A5D6-5CF3-42A2-9927-FED097646654}"/>
    <cellStyle name="Normal 4 2 2 6 3 3 4" xfId="14007" xr:uid="{6EC1E5A4-AAFF-4FAA-AC2A-F3E2AAF0D379}"/>
    <cellStyle name="Normal 4 2 2 6 3 4" xfId="26678" xr:uid="{0D22D33C-15A8-4CC8-8250-8107E70E1660}"/>
    <cellStyle name="Normal 4 2 2 6 3 5" xfId="18237" xr:uid="{81545554-562C-4BCD-8408-CAC8B0CD395B}"/>
    <cellStyle name="Normal 4 2 2 6 3 6" xfId="9789" xr:uid="{212DB646-0AC8-49B6-BAD2-63D8C3A8DFB2}"/>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33454" xr:uid="{0BFC2205-B47E-4A4F-8511-050932F3C225}"/>
    <cellStyle name="Normal 4 2 2 6 4 2 2 3" xfId="25013" xr:uid="{F6749D41-FFC6-48DE-ADC3-B869C096C054}"/>
    <cellStyle name="Normal 4 2 2 6 4 2 2 4" xfId="16565" xr:uid="{BAF213E1-673E-44F6-A190-F13077747722}"/>
    <cellStyle name="Normal 4 2 2 6 4 2 3" xfId="29236" xr:uid="{4048F005-4D4B-401D-A7B6-0EF14833ED2F}"/>
    <cellStyle name="Normal 4 2 2 6 4 2 4" xfId="20795" xr:uid="{A0CBB25B-D414-4595-8ADD-FEDCD056DA32}"/>
    <cellStyle name="Normal 4 2 2 6 4 2 5" xfId="12347" xr:uid="{4FB1A104-E842-4D24-811F-961E2B4FAD15}"/>
    <cellStyle name="Normal 4 2 2 6 4 3" xfId="5970" xr:uid="{00000000-0005-0000-0000-000016130000}"/>
    <cellStyle name="Normal 4 2 2 6 4 3 2" xfId="31309" xr:uid="{08465FD9-6ADE-4AB1-9FB1-AA4D4F42AE3A}"/>
    <cellStyle name="Normal 4 2 2 6 4 3 3" xfId="22868" xr:uid="{9BA85778-699A-4851-A60C-C034A43E2B79}"/>
    <cellStyle name="Normal 4 2 2 6 4 3 4" xfId="14420" xr:uid="{A4CFD02F-C78D-4CCA-96FD-3E09B29CBE24}"/>
    <cellStyle name="Normal 4 2 2 6 4 4" xfId="27091" xr:uid="{EDA9E169-28A8-4578-B931-B779E9E581B5}"/>
    <cellStyle name="Normal 4 2 2 6 4 5" xfId="18650" xr:uid="{05E89459-790E-4F9C-ADB5-A930CBF4776F}"/>
    <cellStyle name="Normal 4 2 2 6 4 6" xfId="10202" xr:uid="{069FEFE9-E59F-4B32-B27B-650C54AA9189}"/>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33867" xr:uid="{B2D664CC-D074-4295-9DBD-3DC3609A3D74}"/>
    <cellStyle name="Normal 4 2 2 6 5 2 2 3" xfId="25426" xr:uid="{9229DFAD-A7EF-442B-BF86-917B578A1417}"/>
    <cellStyle name="Normal 4 2 2 6 5 2 2 4" xfId="16978" xr:uid="{8B7F28D0-768F-47D8-8994-EC179F9D8A3C}"/>
    <cellStyle name="Normal 4 2 2 6 5 2 3" xfId="29649" xr:uid="{751A8AB9-404A-4647-9445-180FABEE8F99}"/>
    <cellStyle name="Normal 4 2 2 6 5 2 4" xfId="21208" xr:uid="{C53CCC64-9B09-480F-8017-EFFADA94499F}"/>
    <cellStyle name="Normal 4 2 2 6 5 2 5" xfId="12760" xr:uid="{3AA89484-CB6C-42B4-931D-3B4163AD9C32}"/>
    <cellStyle name="Normal 4 2 2 6 5 3" xfId="6383" xr:uid="{00000000-0005-0000-0000-00001A130000}"/>
    <cellStyle name="Normal 4 2 2 6 5 3 2" xfId="31722" xr:uid="{CA297EF7-39EB-4D8B-B26C-64F4C9368B4F}"/>
    <cellStyle name="Normal 4 2 2 6 5 3 3" xfId="23281" xr:uid="{A04086D1-C28D-4FF5-A753-0EA3A988DA01}"/>
    <cellStyle name="Normal 4 2 2 6 5 3 4" xfId="14833" xr:uid="{93763DED-6D52-4AD7-A291-E6B44B16B2B5}"/>
    <cellStyle name="Normal 4 2 2 6 5 4" xfId="27504" xr:uid="{A37327B9-50B6-40A8-9025-2D77EDB4FDF9}"/>
    <cellStyle name="Normal 4 2 2 6 5 5" xfId="19063" xr:uid="{4BC63271-6A55-4AED-88B5-DD3D7EA9C7EE}"/>
    <cellStyle name="Normal 4 2 2 6 5 6" xfId="10615" xr:uid="{D6D5CD43-F831-4D26-AEF3-385559F48E2E}"/>
    <cellStyle name="Normal 4 2 2 6 6" xfId="2513" xr:uid="{00000000-0005-0000-0000-00001B130000}"/>
    <cellStyle name="Normal 4 2 2 6 6 2" xfId="6796" xr:uid="{00000000-0005-0000-0000-00001C130000}"/>
    <cellStyle name="Normal 4 2 2 6 6 2 2" xfId="32135" xr:uid="{566BA16A-D219-4491-9880-B77B7F44C689}"/>
    <cellStyle name="Normal 4 2 2 6 6 2 3" xfId="23694" xr:uid="{1F1DBF7A-7DB2-46BB-AEBB-799369B46EFC}"/>
    <cellStyle name="Normal 4 2 2 6 6 2 4" xfId="15246" xr:uid="{18DBE06C-B1C9-4B4A-8A5D-CBCBAFE076CB}"/>
    <cellStyle name="Normal 4 2 2 6 6 3" xfId="27917" xr:uid="{80377E91-EF07-4DE4-A48C-FE98A343947E}"/>
    <cellStyle name="Normal 4 2 2 6 6 4" xfId="19476" xr:uid="{C5B82CB2-EAA6-4375-8B27-5758ECB7D7B8}"/>
    <cellStyle name="Normal 4 2 2 6 6 5" xfId="11028" xr:uid="{01E31432-B511-4031-8300-E3917FE58A7D}"/>
    <cellStyle name="Normal 4 2 2 6 7" xfId="4731" xr:uid="{00000000-0005-0000-0000-00001D130000}"/>
    <cellStyle name="Normal 4 2 2 6 7 2" xfId="30070" xr:uid="{9BFA848F-0F4E-4D3D-BE08-8948A855244E}"/>
    <cellStyle name="Normal 4 2 2 6 7 3" xfId="21629" xr:uid="{5685E138-34EF-4C0F-97EB-14D7C69F0AC6}"/>
    <cellStyle name="Normal 4 2 2 6 7 4" xfId="13181" xr:uid="{40433F42-B778-43D6-BC41-EF6992D5C6C1}"/>
    <cellStyle name="Normal 4 2 2 6 8" xfId="25852" xr:uid="{076E6DFA-0BD6-45BE-80A0-249B907BA44B}"/>
    <cellStyle name="Normal 4 2 2 6 9" xfId="17411" xr:uid="{A452A490-4C51-4DC3-983E-1DC87635AEB1}"/>
    <cellStyle name="Normal 4 2 2 7" xfId="815" xr:uid="{00000000-0005-0000-0000-00001E130000}"/>
    <cellStyle name="Normal 4 2 2 7 2" xfId="3052" xr:uid="{00000000-0005-0000-0000-00001F130000}"/>
    <cellStyle name="Normal 4 2 2 7 2 2" xfId="7274" xr:uid="{00000000-0005-0000-0000-000020130000}"/>
    <cellStyle name="Normal 4 2 2 7 2 2 2" xfId="32613" xr:uid="{6E79E6F1-4647-42E0-ABF7-E39F896A6C61}"/>
    <cellStyle name="Normal 4 2 2 7 2 2 3" xfId="24172" xr:uid="{7FE12BFC-5BC7-4DFC-BD6C-5665EC21D9A4}"/>
    <cellStyle name="Normal 4 2 2 7 2 2 4" xfId="15724" xr:uid="{8192CE0F-0892-4D8F-98C1-A0F428E3BBDE}"/>
    <cellStyle name="Normal 4 2 2 7 2 3" xfId="28395" xr:uid="{EAF0A427-2747-41E7-96C2-D4115B5C3D0F}"/>
    <cellStyle name="Normal 4 2 2 7 2 4" xfId="19954" xr:uid="{F11B9B5A-CA2E-478A-84F5-55031813C562}"/>
    <cellStyle name="Normal 4 2 2 7 2 5" xfId="11506" xr:uid="{8740225F-D817-4A8E-B161-32F894B1FB57}"/>
    <cellStyle name="Normal 4 2 2 7 3" xfId="5129" xr:uid="{00000000-0005-0000-0000-000021130000}"/>
    <cellStyle name="Normal 4 2 2 7 3 2" xfId="30468" xr:uid="{2BCF4CB0-C6A3-4A72-9A70-BA22B7869A38}"/>
    <cellStyle name="Normal 4 2 2 7 3 3" xfId="22027" xr:uid="{5B3493F8-5CAF-40A4-A729-5B6E4296B252}"/>
    <cellStyle name="Normal 4 2 2 7 3 4" xfId="13579" xr:uid="{7BB4994E-1677-4921-B233-9CB9FF8EA64C}"/>
    <cellStyle name="Normal 4 2 2 7 4" xfId="26250" xr:uid="{8224F35A-0B8E-40C3-99AD-E1FCEBBE218E}"/>
    <cellStyle name="Normal 4 2 2 7 5" xfId="17809" xr:uid="{C45EB863-2C5D-4D49-8E6B-C29A2C4C6645}"/>
    <cellStyle name="Normal 4 2 2 7 6" xfId="9361" xr:uid="{14CE1651-4B44-4D10-A918-23D25BFFC879}"/>
    <cellStyle name="Normal 4 2 2 8" xfId="1235" xr:uid="{00000000-0005-0000-0000-000022130000}"/>
    <cellStyle name="Normal 4 2 2 8 2" xfId="3465" xr:uid="{00000000-0005-0000-0000-000023130000}"/>
    <cellStyle name="Normal 4 2 2 8 2 2" xfId="7687" xr:uid="{00000000-0005-0000-0000-000024130000}"/>
    <cellStyle name="Normal 4 2 2 8 2 2 2" xfId="33026" xr:uid="{7EB61341-54DD-4A3D-97C4-9422A11B5304}"/>
    <cellStyle name="Normal 4 2 2 8 2 2 3" xfId="24585" xr:uid="{91415BB7-296F-44A3-9E61-BB77B6082EB6}"/>
    <cellStyle name="Normal 4 2 2 8 2 2 4" xfId="16137" xr:uid="{53FA881B-367F-4922-A240-A99E71ABF8D5}"/>
    <cellStyle name="Normal 4 2 2 8 2 3" xfId="28808" xr:uid="{5FFEC51B-7996-4266-952B-FDEB3A20D3F0}"/>
    <cellStyle name="Normal 4 2 2 8 2 4" xfId="20367" xr:uid="{EA72FD02-6863-4488-8F73-83CEBE1F8606}"/>
    <cellStyle name="Normal 4 2 2 8 2 5" xfId="11919" xr:uid="{7ECE2D75-4ACC-400F-AFD6-12EBBF9C417A}"/>
    <cellStyle name="Normal 4 2 2 8 3" xfId="5542" xr:uid="{00000000-0005-0000-0000-000025130000}"/>
    <cellStyle name="Normal 4 2 2 8 3 2" xfId="30881" xr:uid="{C74F730A-33C4-480B-96C0-191BB97CF7BC}"/>
    <cellStyle name="Normal 4 2 2 8 3 3" xfId="22440" xr:uid="{5BF43DED-4364-4865-9A3C-36FC88D7BC28}"/>
    <cellStyle name="Normal 4 2 2 8 3 4" xfId="13992" xr:uid="{5034851D-4D29-47FE-8CE9-49DC428D2F7C}"/>
    <cellStyle name="Normal 4 2 2 8 4" xfId="26663" xr:uid="{CE6259F3-640D-4826-B4D4-7CD22690F1EB}"/>
    <cellStyle name="Normal 4 2 2 8 5" xfId="18222" xr:uid="{CCDDC3A1-1466-46A8-A1BC-39491DF9E5EB}"/>
    <cellStyle name="Normal 4 2 2 8 6" xfId="9774" xr:uid="{DEB84169-71B3-4769-91F2-605DD154E5B4}"/>
    <cellStyle name="Normal 4 2 2 9" xfId="1648" xr:uid="{00000000-0005-0000-0000-000026130000}"/>
    <cellStyle name="Normal 4 2 2 9 2" xfId="3878" xr:uid="{00000000-0005-0000-0000-000027130000}"/>
    <cellStyle name="Normal 4 2 2 9 2 2" xfId="8100" xr:uid="{00000000-0005-0000-0000-000028130000}"/>
    <cellStyle name="Normal 4 2 2 9 2 2 2" xfId="33439" xr:uid="{E6F44973-C55B-4224-AB23-25CADC4A6AEA}"/>
    <cellStyle name="Normal 4 2 2 9 2 2 3" xfId="24998" xr:uid="{C0459A70-1E17-4565-B68A-4F274622F435}"/>
    <cellStyle name="Normal 4 2 2 9 2 2 4" xfId="16550" xr:uid="{10169539-0EAA-4ABC-A3ED-B8DB07C4E5D5}"/>
    <cellStyle name="Normal 4 2 2 9 2 3" xfId="29221" xr:uid="{99DD3EFE-4A1F-4497-98B2-FFB6C6C5415F}"/>
    <cellStyle name="Normal 4 2 2 9 2 4" xfId="20780" xr:uid="{F0ACFF2C-810B-4FD6-8083-3962AC0593AA}"/>
    <cellStyle name="Normal 4 2 2 9 2 5" xfId="12332" xr:uid="{CA849690-D13D-4AA9-9EE7-DC352454D960}"/>
    <cellStyle name="Normal 4 2 2 9 3" xfId="5955" xr:uid="{00000000-0005-0000-0000-000029130000}"/>
    <cellStyle name="Normal 4 2 2 9 3 2" xfId="31294" xr:uid="{9CFB90A1-9706-4463-B858-5D589F9901EA}"/>
    <cellStyle name="Normal 4 2 2 9 3 3" xfId="22853" xr:uid="{95F42994-E6E6-42D7-A011-2682A4770E02}"/>
    <cellStyle name="Normal 4 2 2 9 3 4" xfId="14405" xr:uid="{BB95C8EB-76EC-439C-9660-C389CC7292DB}"/>
    <cellStyle name="Normal 4 2 2 9 4" xfId="27076" xr:uid="{E2DC4C42-804C-4985-9E22-6D29E26EE5C1}"/>
    <cellStyle name="Normal 4 2 2 9 5" xfId="18635" xr:uid="{15126E2B-B4BA-4CB9-AA32-B70D06D450A9}"/>
    <cellStyle name="Normal 4 2 2 9 6" xfId="10187" xr:uid="{4234D38F-EBAA-4AF0-9558-6AA8533AA983}"/>
    <cellStyle name="Normal 4 2 3" xfId="354" xr:uid="{00000000-0005-0000-0000-00002A130000}"/>
    <cellStyle name="Normal 4 2 4" xfId="355" xr:uid="{00000000-0005-0000-0000-00002B130000}"/>
    <cellStyle name="Normal 4 2 4 10" xfId="4732" xr:uid="{00000000-0005-0000-0000-00002C130000}"/>
    <cellStyle name="Normal 4 2 4 10 2" xfId="30071" xr:uid="{FE25F584-B9AD-4E74-AFB2-0769EAE198EE}"/>
    <cellStyle name="Normal 4 2 4 10 3" xfId="21630" xr:uid="{14C84501-6FDA-47FA-BE36-D229A217ECBC}"/>
    <cellStyle name="Normal 4 2 4 10 4" xfId="13182" xr:uid="{93E30A45-681B-46A7-9417-0AFA0E5CA52C}"/>
    <cellStyle name="Normal 4 2 4 11" xfId="25853" xr:uid="{5D343491-247B-4527-B967-80FA5C6F30FB}"/>
    <cellStyle name="Normal 4 2 4 12" xfId="17412" xr:uid="{B711AD69-1530-49B1-8808-90E21FDB562A}"/>
    <cellStyle name="Normal 4 2 4 13" xfId="8964" xr:uid="{F32A6851-63AA-447A-B7BD-AB29C33A6484}"/>
    <cellStyle name="Normal 4 2 4 2" xfId="356" xr:uid="{00000000-0005-0000-0000-00002D130000}"/>
    <cellStyle name="Normal 4 2 4 2 10" xfId="25854" xr:uid="{6FFAFBAF-3353-4E28-9C54-CC1110260245}"/>
    <cellStyle name="Normal 4 2 4 2 11" xfId="17413" xr:uid="{43486324-F107-4443-AEFB-5AD2B8359B86}"/>
    <cellStyle name="Normal 4 2 4 2 12" xfId="8965" xr:uid="{A73308C7-C335-493B-8AD7-919EF24E52C9}"/>
    <cellStyle name="Normal 4 2 4 2 2" xfId="357" xr:uid="{00000000-0005-0000-0000-00002E130000}"/>
    <cellStyle name="Normal 4 2 4 2 2 10" xfId="17414" xr:uid="{1AD40249-7A51-42FB-B4DE-A477392A06AC}"/>
    <cellStyle name="Normal 4 2 4 2 2 11" xfId="8966" xr:uid="{C0344D9F-B702-4DB2-B9D9-EB1F18414D2E}"/>
    <cellStyle name="Normal 4 2 4 2 2 2" xfId="358" xr:uid="{00000000-0005-0000-0000-00002F130000}"/>
    <cellStyle name="Normal 4 2 4 2 2 2 10" xfId="8967" xr:uid="{98498DCC-B6B6-432C-A49A-4D487DA831E2}"/>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32632" xr:uid="{C63FC719-BD06-4EE6-891A-2753488F25E7}"/>
    <cellStyle name="Normal 4 2 4 2 2 2 2 2 2 3" xfId="24191" xr:uid="{4028A38A-EF2D-4AE4-92F3-6E98330A2EDE}"/>
    <cellStyle name="Normal 4 2 4 2 2 2 2 2 2 4" xfId="15743" xr:uid="{AF0A656F-9D86-4837-B712-071BC56A1F56}"/>
    <cellStyle name="Normal 4 2 4 2 2 2 2 2 3" xfId="28414" xr:uid="{DCD12FAE-57C4-41A2-B6EB-3945359B9110}"/>
    <cellStyle name="Normal 4 2 4 2 2 2 2 2 4" xfId="19973" xr:uid="{2B2F4F65-D318-44DA-BE29-05C792E136CF}"/>
    <cellStyle name="Normal 4 2 4 2 2 2 2 2 5" xfId="11525" xr:uid="{94255BB5-95DE-4421-ADBB-338FB440867F}"/>
    <cellStyle name="Normal 4 2 4 2 2 2 2 3" xfId="5148" xr:uid="{00000000-0005-0000-0000-000033130000}"/>
    <cellStyle name="Normal 4 2 4 2 2 2 2 3 2" xfId="30487" xr:uid="{85A170CA-902B-49E0-AB7B-0DB144AB5396}"/>
    <cellStyle name="Normal 4 2 4 2 2 2 2 3 3" xfId="22046" xr:uid="{55EEC480-AFAF-4F88-BA3A-53333C24C137}"/>
    <cellStyle name="Normal 4 2 4 2 2 2 2 3 4" xfId="13598" xr:uid="{28A1AEAC-54D1-4CA1-AC5A-62FC68125598}"/>
    <cellStyle name="Normal 4 2 4 2 2 2 2 4" xfId="26269" xr:uid="{FAF60100-AFDD-41AB-887D-D3FAFB571F85}"/>
    <cellStyle name="Normal 4 2 4 2 2 2 2 5" xfId="17828" xr:uid="{BD3FB8EA-34B8-461F-B44E-18460F9A0057}"/>
    <cellStyle name="Normal 4 2 4 2 2 2 2 6" xfId="9380" xr:uid="{3CD88B31-528E-4E4E-B6D9-6603916F5B66}"/>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33045" xr:uid="{013BBE4F-4027-4940-83CA-66012E3D97DE}"/>
    <cellStyle name="Normal 4 2 4 2 2 2 3 2 2 3" xfId="24604" xr:uid="{98ABD394-8FB3-4CB8-B9CE-71691881C963}"/>
    <cellStyle name="Normal 4 2 4 2 2 2 3 2 2 4" xfId="16156" xr:uid="{DD72810B-C33D-4422-A6B4-AFA78CF71CC9}"/>
    <cellStyle name="Normal 4 2 4 2 2 2 3 2 3" xfId="28827" xr:uid="{89ACBC7A-2FA8-4CA0-A611-2F4967A0B72C}"/>
    <cellStyle name="Normal 4 2 4 2 2 2 3 2 4" xfId="20386" xr:uid="{40AE298B-16C2-43D2-B73D-43214F1B73B1}"/>
    <cellStyle name="Normal 4 2 4 2 2 2 3 2 5" xfId="11938" xr:uid="{1F7E3A04-0A7B-47DD-ADC4-25E4F69A4DD9}"/>
    <cellStyle name="Normal 4 2 4 2 2 2 3 3" xfId="5561" xr:uid="{00000000-0005-0000-0000-000037130000}"/>
    <cellStyle name="Normal 4 2 4 2 2 2 3 3 2" xfId="30900" xr:uid="{BDDD6A7B-9C57-4D58-9535-591262F26BDF}"/>
    <cellStyle name="Normal 4 2 4 2 2 2 3 3 3" xfId="22459" xr:uid="{ABD32B0E-381D-47C2-BA33-F59D26CACB9A}"/>
    <cellStyle name="Normal 4 2 4 2 2 2 3 3 4" xfId="14011" xr:uid="{1A6FF43B-FA52-4369-9DA5-E24DFFA8607D}"/>
    <cellStyle name="Normal 4 2 4 2 2 2 3 4" xfId="26682" xr:uid="{2453939F-A0C3-4570-A8B2-794A83A71118}"/>
    <cellStyle name="Normal 4 2 4 2 2 2 3 5" xfId="18241" xr:uid="{A58421E8-B505-4B46-8258-41342B31BAFE}"/>
    <cellStyle name="Normal 4 2 4 2 2 2 3 6" xfId="9793" xr:uid="{299913BF-E09F-4F6A-B7B2-6CA9F0EF504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33458" xr:uid="{92B24A29-CA2A-4119-B166-20431E5D25E6}"/>
    <cellStyle name="Normal 4 2 4 2 2 2 4 2 2 3" xfId="25017" xr:uid="{1F20B25E-5A7E-4A38-B6D7-3EC4DA9103D6}"/>
    <cellStyle name="Normal 4 2 4 2 2 2 4 2 2 4" xfId="16569" xr:uid="{36FB26AD-44AE-4383-90C4-9AFC73BA505D}"/>
    <cellStyle name="Normal 4 2 4 2 2 2 4 2 3" xfId="29240" xr:uid="{AA403CBF-BF5F-4AC7-9805-CC7E563BFFBC}"/>
    <cellStyle name="Normal 4 2 4 2 2 2 4 2 4" xfId="20799" xr:uid="{F24E161C-4809-4837-BACD-9D8ADD36A5F6}"/>
    <cellStyle name="Normal 4 2 4 2 2 2 4 2 5" xfId="12351" xr:uid="{79FBDBE1-BD56-4AA4-B6F4-42249BBB8398}"/>
    <cellStyle name="Normal 4 2 4 2 2 2 4 3" xfId="5974" xr:uid="{00000000-0005-0000-0000-00003B130000}"/>
    <cellStyle name="Normal 4 2 4 2 2 2 4 3 2" xfId="31313" xr:uid="{BEA8E59A-D38E-44DB-836C-7A5EF7476D4B}"/>
    <cellStyle name="Normal 4 2 4 2 2 2 4 3 3" xfId="22872" xr:uid="{A7BE4084-F037-4744-A95E-62AB91649FDE}"/>
    <cellStyle name="Normal 4 2 4 2 2 2 4 3 4" xfId="14424" xr:uid="{3DEBAF56-B511-40C3-AE77-920198D156AB}"/>
    <cellStyle name="Normal 4 2 4 2 2 2 4 4" xfId="27095" xr:uid="{2572EE7B-48BC-415E-8943-1BC007494132}"/>
    <cellStyle name="Normal 4 2 4 2 2 2 4 5" xfId="18654" xr:uid="{19A09AB9-00D5-43F3-9517-D3B4803099D8}"/>
    <cellStyle name="Normal 4 2 4 2 2 2 4 6" xfId="10206" xr:uid="{184FF4A8-EA73-4908-BE49-7AD092ACE6F5}"/>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33871" xr:uid="{F8FE9DBB-A505-4942-BF0A-A9F86E210E85}"/>
    <cellStyle name="Normal 4 2 4 2 2 2 5 2 2 3" xfId="25430" xr:uid="{D06F66B9-748D-48FE-BF0E-298CE2CF3257}"/>
    <cellStyle name="Normal 4 2 4 2 2 2 5 2 2 4" xfId="16982" xr:uid="{553E18BF-9F0F-4D94-9E57-8E560727B23F}"/>
    <cellStyle name="Normal 4 2 4 2 2 2 5 2 3" xfId="29653" xr:uid="{201A6285-61D3-4A30-8CC4-41D55A38B638}"/>
    <cellStyle name="Normal 4 2 4 2 2 2 5 2 4" xfId="21212" xr:uid="{442342D2-3377-4C60-AF8E-45255B1EB546}"/>
    <cellStyle name="Normal 4 2 4 2 2 2 5 2 5" xfId="12764" xr:uid="{AC309FB6-D0C6-4B6C-98E8-CE31E6505814}"/>
    <cellStyle name="Normal 4 2 4 2 2 2 5 3" xfId="6387" xr:uid="{00000000-0005-0000-0000-00003F130000}"/>
    <cellStyle name="Normal 4 2 4 2 2 2 5 3 2" xfId="31726" xr:uid="{C44102D1-0480-41F9-8F40-E4C49BE3DC56}"/>
    <cellStyle name="Normal 4 2 4 2 2 2 5 3 3" xfId="23285" xr:uid="{EE96E8FE-86AD-4B26-BEA7-27A709903970}"/>
    <cellStyle name="Normal 4 2 4 2 2 2 5 3 4" xfId="14837" xr:uid="{D71FFDBD-BAFD-41CA-9427-3A84F51C6ED9}"/>
    <cellStyle name="Normal 4 2 4 2 2 2 5 4" xfId="27508" xr:uid="{E41EA19E-0C76-4A75-ABC0-12BE7FDA4CDC}"/>
    <cellStyle name="Normal 4 2 4 2 2 2 5 5" xfId="19067" xr:uid="{AD3F29CD-52D3-4A53-A364-9C3E9E21826C}"/>
    <cellStyle name="Normal 4 2 4 2 2 2 5 6" xfId="10619" xr:uid="{7C9966CC-C521-4048-ADA0-76ED4DB6C56E}"/>
    <cellStyle name="Normal 4 2 4 2 2 2 6" xfId="2517" xr:uid="{00000000-0005-0000-0000-000040130000}"/>
    <cellStyle name="Normal 4 2 4 2 2 2 6 2" xfId="6800" xr:uid="{00000000-0005-0000-0000-000041130000}"/>
    <cellStyle name="Normal 4 2 4 2 2 2 6 2 2" xfId="32139" xr:uid="{71E4EA08-1B5B-4859-B40B-E52955725CD9}"/>
    <cellStyle name="Normal 4 2 4 2 2 2 6 2 3" xfId="23698" xr:uid="{E8BA77BC-90C2-489E-8E49-4D43F2B9D4CE}"/>
    <cellStyle name="Normal 4 2 4 2 2 2 6 2 4" xfId="15250" xr:uid="{235C28FF-06A7-4D40-8325-E3F817AF21AE}"/>
    <cellStyle name="Normal 4 2 4 2 2 2 6 3" xfId="27921" xr:uid="{87B0658C-75A5-403A-B5F4-2B4D9E8299E9}"/>
    <cellStyle name="Normal 4 2 4 2 2 2 6 4" xfId="19480" xr:uid="{A83EFDF1-D005-4B98-8F5B-4A272997EA59}"/>
    <cellStyle name="Normal 4 2 4 2 2 2 6 5" xfId="11032" xr:uid="{2FBA15F2-94CC-436A-9EE5-94508A7A4EAE}"/>
    <cellStyle name="Normal 4 2 4 2 2 2 7" xfId="4735" xr:uid="{00000000-0005-0000-0000-000042130000}"/>
    <cellStyle name="Normal 4 2 4 2 2 2 7 2" xfId="30074" xr:uid="{158F98BE-C3B5-40D5-BA06-5F6448FC59FC}"/>
    <cellStyle name="Normal 4 2 4 2 2 2 7 3" xfId="21633" xr:uid="{F35EF7E9-0C8D-45B6-A054-DA61164AFBF1}"/>
    <cellStyle name="Normal 4 2 4 2 2 2 7 4" xfId="13185" xr:uid="{85CC360C-7C42-4542-B36C-71A2E80DCB34}"/>
    <cellStyle name="Normal 4 2 4 2 2 2 8" xfId="25856" xr:uid="{D76F6768-11E8-4578-9878-890347AA2799}"/>
    <cellStyle name="Normal 4 2 4 2 2 2 9" xfId="17415" xr:uid="{0A99C629-B4E8-4FBB-87D4-E9E0774E23C3}"/>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32631" xr:uid="{2DBFE32F-0683-4093-A569-DFFB9299809A}"/>
    <cellStyle name="Normal 4 2 4 2 2 3 2 2 3" xfId="24190" xr:uid="{532F228D-30E8-4CC1-8CFA-4BD84E5FCFBC}"/>
    <cellStyle name="Normal 4 2 4 2 2 3 2 2 4" xfId="15742" xr:uid="{2B4C2522-5678-48CD-B2B5-D19C1FD7BDE5}"/>
    <cellStyle name="Normal 4 2 4 2 2 3 2 3" xfId="28413" xr:uid="{D5CCAD9F-3F7D-41B9-B9D1-51822C4DF4FC}"/>
    <cellStyle name="Normal 4 2 4 2 2 3 2 4" xfId="19972" xr:uid="{9B6C929C-90FE-4245-A668-930C3E456815}"/>
    <cellStyle name="Normal 4 2 4 2 2 3 2 5" xfId="11524" xr:uid="{6AC48669-994D-4437-9515-38F1FEFFA2F7}"/>
    <cellStyle name="Normal 4 2 4 2 2 3 3" xfId="5147" xr:uid="{00000000-0005-0000-0000-000046130000}"/>
    <cellStyle name="Normal 4 2 4 2 2 3 3 2" xfId="30486" xr:uid="{841250BF-626E-4D5E-A1FE-31188DC2C290}"/>
    <cellStyle name="Normal 4 2 4 2 2 3 3 3" xfId="22045" xr:uid="{189EE637-99F8-460A-8E4A-05336202BDFF}"/>
    <cellStyle name="Normal 4 2 4 2 2 3 3 4" xfId="13597" xr:uid="{AC9DAC30-63AC-46C2-AF18-49F931CFCCE4}"/>
    <cellStyle name="Normal 4 2 4 2 2 3 4" xfId="26268" xr:uid="{7DEFF7EF-2EDD-4978-B09D-9294F377FF4A}"/>
    <cellStyle name="Normal 4 2 4 2 2 3 5" xfId="17827" xr:uid="{1239A92A-7A14-442B-BB72-C0644FF16B33}"/>
    <cellStyle name="Normal 4 2 4 2 2 3 6" xfId="9379" xr:uid="{37DB27EB-055F-43FB-B954-B52A9495D95C}"/>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33044" xr:uid="{F403FE3E-E7CF-42DB-A96D-940DBAD284FE}"/>
    <cellStyle name="Normal 4 2 4 2 2 4 2 2 3" xfId="24603" xr:uid="{8A41955E-CC6C-4597-90D5-9589A6D6846C}"/>
    <cellStyle name="Normal 4 2 4 2 2 4 2 2 4" xfId="16155" xr:uid="{5B2DFADB-7395-4BF1-99B6-428E0DB5EFF5}"/>
    <cellStyle name="Normal 4 2 4 2 2 4 2 3" xfId="28826" xr:uid="{AFC58380-0DD8-431B-89DC-C9A162CE35D1}"/>
    <cellStyle name="Normal 4 2 4 2 2 4 2 4" xfId="20385" xr:uid="{83C1A4D3-50DC-4579-B263-E50DD240599D}"/>
    <cellStyle name="Normal 4 2 4 2 2 4 2 5" xfId="11937" xr:uid="{8C1343F9-8D52-42DD-B938-F73C254FAA31}"/>
    <cellStyle name="Normal 4 2 4 2 2 4 3" xfId="5560" xr:uid="{00000000-0005-0000-0000-00004A130000}"/>
    <cellStyle name="Normal 4 2 4 2 2 4 3 2" xfId="30899" xr:uid="{CDE3FB07-0714-4CD2-9F8E-7C23E854FB43}"/>
    <cellStyle name="Normal 4 2 4 2 2 4 3 3" xfId="22458" xr:uid="{B226CA0B-7F4B-4B6F-9B0F-7CB5CF53905B}"/>
    <cellStyle name="Normal 4 2 4 2 2 4 3 4" xfId="14010" xr:uid="{8310CBEE-E135-482F-9F5A-D0F70252531F}"/>
    <cellStyle name="Normal 4 2 4 2 2 4 4" xfId="26681" xr:uid="{8FD716B2-EA10-4409-BB5B-E4539A34ED2B}"/>
    <cellStyle name="Normal 4 2 4 2 2 4 5" xfId="18240" xr:uid="{FC2FB012-BD7E-47B7-9892-A7D4D2CCF109}"/>
    <cellStyle name="Normal 4 2 4 2 2 4 6" xfId="9792" xr:uid="{F38AF1FC-8357-4142-A20F-8F03800918DE}"/>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33457" xr:uid="{814F4DD1-DD01-4D02-8BEE-50F4F11B0F62}"/>
    <cellStyle name="Normal 4 2 4 2 2 5 2 2 3" xfId="25016" xr:uid="{4DF16F42-6551-4095-8A1C-DFBF033C0D72}"/>
    <cellStyle name="Normal 4 2 4 2 2 5 2 2 4" xfId="16568" xr:uid="{77DA0FD3-536A-48AB-AB75-C773365FD50D}"/>
    <cellStyle name="Normal 4 2 4 2 2 5 2 3" xfId="29239" xr:uid="{20A323A6-BEEE-4AE4-A9C6-A3FC9A00D86D}"/>
    <cellStyle name="Normal 4 2 4 2 2 5 2 4" xfId="20798" xr:uid="{92D9DBF8-F07E-4B93-BB01-B0F24787251E}"/>
    <cellStyle name="Normal 4 2 4 2 2 5 2 5" xfId="12350" xr:uid="{B01F6ADC-B9CB-4472-8D1C-169C1A24D1B2}"/>
    <cellStyle name="Normal 4 2 4 2 2 5 3" xfId="5973" xr:uid="{00000000-0005-0000-0000-00004E130000}"/>
    <cellStyle name="Normal 4 2 4 2 2 5 3 2" xfId="31312" xr:uid="{A8BEA9AE-1FAA-4029-AF82-3A64CE694588}"/>
    <cellStyle name="Normal 4 2 4 2 2 5 3 3" xfId="22871" xr:uid="{5E34DCEE-181B-4047-81D4-A7238BA849F0}"/>
    <cellStyle name="Normal 4 2 4 2 2 5 3 4" xfId="14423" xr:uid="{BCC66348-EC3E-4873-A8ED-670D122AD5CE}"/>
    <cellStyle name="Normal 4 2 4 2 2 5 4" xfId="27094" xr:uid="{19CD7BC9-2963-47EE-9D97-D6C6A5B8E29F}"/>
    <cellStyle name="Normal 4 2 4 2 2 5 5" xfId="18653" xr:uid="{27CFDBD7-60E3-420F-9035-86B04E1A2509}"/>
    <cellStyle name="Normal 4 2 4 2 2 5 6" xfId="10205" xr:uid="{91FAC1FC-62B6-4D1D-9353-5E8B4A1FC5AD}"/>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33870" xr:uid="{164D8853-D36F-47A7-86A6-53ADE691F076}"/>
    <cellStyle name="Normal 4 2 4 2 2 6 2 2 3" xfId="25429" xr:uid="{49433BCF-C431-464A-BF2B-2612A518DD7E}"/>
    <cellStyle name="Normal 4 2 4 2 2 6 2 2 4" xfId="16981" xr:uid="{31DB64A5-3C42-4A69-ACAA-352B32BF1522}"/>
    <cellStyle name="Normal 4 2 4 2 2 6 2 3" xfId="29652" xr:uid="{20D65E9C-09EB-416E-8EA8-F990A9581B87}"/>
    <cellStyle name="Normal 4 2 4 2 2 6 2 4" xfId="21211" xr:uid="{D9A0FE2F-0DE5-49B8-BF46-CCECCC815BE5}"/>
    <cellStyle name="Normal 4 2 4 2 2 6 2 5" xfId="12763" xr:uid="{9C744281-7AA3-496B-AACB-F0A470433537}"/>
    <cellStyle name="Normal 4 2 4 2 2 6 3" xfId="6386" xr:uid="{00000000-0005-0000-0000-000052130000}"/>
    <cellStyle name="Normal 4 2 4 2 2 6 3 2" xfId="31725" xr:uid="{80474EFA-AA75-4CE3-A338-AEDC58AC2473}"/>
    <cellStyle name="Normal 4 2 4 2 2 6 3 3" xfId="23284" xr:uid="{371D7B43-A6E9-490E-9D6C-092697B2B6C1}"/>
    <cellStyle name="Normal 4 2 4 2 2 6 3 4" xfId="14836" xr:uid="{440ECBED-B7F0-4F6D-BD35-FE9D7DD477B7}"/>
    <cellStyle name="Normal 4 2 4 2 2 6 4" xfId="27507" xr:uid="{3566155B-812F-496A-9C04-F64FDF08A165}"/>
    <cellStyle name="Normal 4 2 4 2 2 6 5" xfId="19066" xr:uid="{F1BDBB03-1BB9-40FD-9358-F599D0756A5F}"/>
    <cellStyle name="Normal 4 2 4 2 2 6 6" xfId="10618" xr:uid="{C27DF23A-C88B-4974-939D-429D8A7E9444}"/>
    <cellStyle name="Normal 4 2 4 2 2 7" xfId="2516" xr:uid="{00000000-0005-0000-0000-000053130000}"/>
    <cellStyle name="Normal 4 2 4 2 2 7 2" xfId="6799" xr:uid="{00000000-0005-0000-0000-000054130000}"/>
    <cellStyle name="Normal 4 2 4 2 2 7 2 2" xfId="32138" xr:uid="{CC20D6C5-86B9-4056-AC81-6792A7C71689}"/>
    <cellStyle name="Normal 4 2 4 2 2 7 2 3" xfId="23697" xr:uid="{FF8D2BEA-EF5B-4A16-AAF1-4F268652D11B}"/>
    <cellStyle name="Normal 4 2 4 2 2 7 2 4" xfId="15249" xr:uid="{8D923E34-7DAD-49C3-A2CA-6E33C2C4BA67}"/>
    <cellStyle name="Normal 4 2 4 2 2 7 3" xfId="27920" xr:uid="{72D0DEDF-5B80-4645-9AAA-22E152A2B8D1}"/>
    <cellStyle name="Normal 4 2 4 2 2 7 4" xfId="19479" xr:uid="{E29F1936-D325-417E-89B9-DF96C4735384}"/>
    <cellStyle name="Normal 4 2 4 2 2 7 5" xfId="11031" xr:uid="{CC6490C3-FF02-4283-9ACA-FD686FC99FD7}"/>
    <cellStyle name="Normal 4 2 4 2 2 8" xfId="4734" xr:uid="{00000000-0005-0000-0000-000055130000}"/>
    <cellStyle name="Normal 4 2 4 2 2 8 2" xfId="30073" xr:uid="{9ABF0DD5-5F70-46C3-A743-7FE952F5A7B9}"/>
    <cellStyle name="Normal 4 2 4 2 2 8 3" xfId="21632" xr:uid="{6CEB2765-41FE-49E0-BAB1-918FE4BAE162}"/>
    <cellStyle name="Normal 4 2 4 2 2 8 4" xfId="13184" xr:uid="{2E751D2A-442F-4BD2-A33B-E0E64557A3A7}"/>
    <cellStyle name="Normal 4 2 4 2 2 9" xfId="25855" xr:uid="{229D5DE0-64A0-45CB-804B-6D852ACC8D02}"/>
    <cellStyle name="Normal 4 2 4 2 3" xfId="359" xr:uid="{00000000-0005-0000-0000-000056130000}"/>
    <cellStyle name="Normal 4 2 4 2 3 10" xfId="8968" xr:uid="{0673E7F1-1AB2-44C5-A1DA-930FBD71ECBC}"/>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32633" xr:uid="{F5EC728D-6046-48D2-B2DB-1F7EB261DEE4}"/>
    <cellStyle name="Normal 4 2 4 2 3 2 2 2 3" xfId="24192" xr:uid="{6EE1A75E-E9DD-4948-A912-64F904708DAE}"/>
    <cellStyle name="Normal 4 2 4 2 3 2 2 2 4" xfId="15744" xr:uid="{83861B6E-1E47-494F-8F08-9BCDA3E440D2}"/>
    <cellStyle name="Normal 4 2 4 2 3 2 2 3" xfId="28415" xr:uid="{A7D164DC-2959-4F62-AA5F-7B1245B0B830}"/>
    <cellStyle name="Normal 4 2 4 2 3 2 2 4" xfId="19974" xr:uid="{C80C0E45-E925-4902-AA1E-5818974449DD}"/>
    <cellStyle name="Normal 4 2 4 2 3 2 2 5" xfId="11526" xr:uid="{E4F6D84F-345D-4C77-9789-8B8383D3E0C4}"/>
    <cellStyle name="Normal 4 2 4 2 3 2 3" xfId="5149" xr:uid="{00000000-0005-0000-0000-00005A130000}"/>
    <cellStyle name="Normal 4 2 4 2 3 2 3 2" xfId="30488" xr:uid="{EE54F643-07D9-4EA4-AD60-2B8A90BB1E18}"/>
    <cellStyle name="Normal 4 2 4 2 3 2 3 3" xfId="22047" xr:uid="{4569130F-CEC5-45D1-8F17-BC69AD22506F}"/>
    <cellStyle name="Normal 4 2 4 2 3 2 3 4" xfId="13599" xr:uid="{7DB234AE-AED3-4F0A-9F56-D5F516ECD44E}"/>
    <cellStyle name="Normal 4 2 4 2 3 2 4" xfId="26270" xr:uid="{0329031B-18C2-42CE-A195-C13F95621E77}"/>
    <cellStyle name="Normal 4 2 4 2 3 2 5" xfId="17829" xr:uid="{C9891F51-AC44-460B-83BF-373FF514DB9B}"/>
    <cellStyle name="Normal 4 2 4 2 3 2 6" xfId="9381" xr:uid="{2E45D04D-F616-48AA-91B0-6DA566D7D24B}"/>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33046" xr:uid="{224864CB-9B8E-4497-A18B-F7ACB2A67DD0}"/>
    <cellStyle name="Normal 4 2 4 2 3 3 2 2 3" xfId="24605" xr:uid="{10E4F2E2-DB07-4DD2-AA1A-54BCDE98DFAE}"/>
    <cellStyle name="Normal 4 2 4 2 3 3 2 2 4" xfId="16157" xr:uid="{69C18159-934E-4DA5-8A0D-80543898E3D6}"/>
    <cellStyle name="Normal 4 2 4 2 3 3 2 3" xfId="28828" xr:uid="{9B62D8AA-5B07-4BF2-B143-56776132B959}"/>
    <cellStyle name="Normal 4 2 4 2 3 3 2 4" xfId="20387" xr:uid="{F57EA283-0193-4202-AE90-C6D8440E3879}"/>
    <cellStyle name="Normal 4 2 4 2 3 3 2 5" xfId="11939" xr:uid="{E99E9AC4-9EB9-4AF9-BBFD-315DC1835C4F}"/>
    <cellStyle name="Normal 4 2 4 2 3 3 3" xfId="5562" xr:uid="{00000000-0005-0000-0000-00005E130000}"/>
    <cellStyle name="Normal 4 2 4 2 3 3 3 2" xfId="30901" xr:uid="{BCBBAECE-4544-45DE-B51C-2D868E7D871E}"/>
    <cellStyle name="Normal 4 2 4 2 3 3 3 3" xfId="22460" xr:uid="{DA7F7990-C0F1-4B17-8A52-E7E48FC418AD}"/>
    <cellStyle name="Normal 4 2 4 2 3 3 3 4" xfId="14012" xr:uid="{64E2402B-F2FB-4D3F-97CC-BC6175C9AF68}"/>
    <cellStyle name="Normal 4 2 4 2 3 3 4" xfId="26683" xr:uid="{E668B108-B1F6-4A48-B698-1CD2549D9896}"/>
    <cellStyle name="Normal 4 2 4 2 3 3 5" xfId="18242" xr:uid="{8833ECFE-63FE-412A-84CE-8FCAE48FDD37}"/>
    <cellStyle name="Normal 4 2 4 2 3 3 6" xfId="9794" xr:uid="{AA7F66B9-9A8F-4A4D-BFA7-39AF4C424269}"/>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33459" xr:uid="{162B7ACB-19B3-4A93-B3AE-3A130208FE8C}"/>
    <cellStyle name="Normal 4 2 4 2 3 4 2 2 3" xfId="25018" xr:uid="{B1026733-B97A-4AE4-BC98-D2DB6134CE8A}"/>
    <cellStyle name="Normal 4 2 4 2 3 4 2 2 4" xfId="16570" xr:uid="{D63D6E1F-214D-4ACE-A7C2-DE6A5D742ACA}"/>
    <cellStyle name="Normal 4 2 4 2 3 4 2 3" xfId="29241" xr:uid="{1FDEEAF5-739E-4335-BDC8-D5A799DD344E}"/>
    <cellStyle name="Normal 4 2 4 2 3 4 2 4" xfId="20800" xr:uid="{D7EF7468-246A-4650-AC32-47D90F3B68BC}"/>
    <cellStyle name="Normal 4 2 4 2 3 4 2 5" xfId="12352" xr:uid="{D0602591-A3AB-4BFF-9243-6618D5D958DA}"/>
    <cellStyle name="Normal 4 2 4 2 3 4 3" xfId="5975" xr:uid="{00000000-0005-0000-0000-000062130000}"/>
    <cellStyle name="Normal 4 2 4 2 3 4 3 2" xfId="31314" xr:uid="{EF7A9BCD-CD79-40F2-ABD7-C8762A521BB4}"/>
    <cellStyle name="Normal 4 2 4 2 3 4 3 3" xfId="22873" xr:uid="{92B8D484-3221-4C26-ABB6-03D8ABCB8422}"/>
    <cellStyle name="Normal 4 2 4 2 3 4 3 4" xfId="14425" xr:uid="{7AD6AA12-4C71-47EE-B393-0C7EFA1DA84A}"/>
    <cellStyle name="Normal 4 2 4 2 3 4 4" xfId="27096" xr:uid="{6205951D-1224-4430-8256-809651BF0B8B}"/>
    <cellStyle name="Normal 4 2 4 2 3 4 5" xfId="18655" xr:uid="{9C7AA050-BDAB-47E0-B669-29B5BF1DC4D3}"/>
    <cellStyle name="Normal 4 2 4 2 3 4 6" xfId="10207" xr:uid="{C5D98CCF-7A15-444E-9AB4-80028B48182A}"/>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33872" xr:uid="{86D6BEB1-6D26-4452-AB20-D9D653225F87}"/>
    <cellStyle name="Normal 4 2 4 2 3 5 2 2 3" xfId="25431" xr:uid="{E4E1F579-89AC-40AC-A315-AD6CC65957D5}"/>
    <cellStyle name="Normal 4 2 4 2 3 5 2 2 4" xfId="16983" xr:uid="{0E2DB0F4-02AB-42BE-AAC7-588E17712DD9}"/>
    <cellStyle name="Normal 4 2 4 2 3 5 2 3" xfId="29654" xr:uid="{3CA25B24-0C40-4879-AE05-48E26E0060F3}"/>
    <cellStyle name="Normal 4 2 4 2 3 5 2 4" xfId="21213" xr:uid="{66758E00-05CE-4500-8C0A-D6D1DC8E5977}"/>
    <cellStyle name="Normal 4 2 4 2 3 5 2 5" xfId="12765" xr:uid="{0519520D-A676-4AB4-B75F-60156F711A1B}"/>
    <cellStyle name="Normal 4 2 4 2 3 5 3" xfId="6388" xr:uid="{00000000-0005-0000-0000-000066130000}"/>
    <cellStyle name="Normal 4 2 4 2 3 5 3 2" xfId="31727" xr:uid="{7130FDC8-8857-4CE5-AA02-82E198EA8F1C}"/>
    <cellStyle name="Normal 4 2 4 2 3 5 3 3" xfId="23286" xr:uid="{DB86F313-D32A-4EC7-928A-CACA6951FCB0}"/>
    <cellStyle name="Normal 4 2 4 2 3 5 3 4" xfId="14838" xr:uid="{F8721522-1F05-4436-90FC-88869EFCC8B3}"/>
    <cellStyle name="Normal 4 2 4 2 3 5 4" xfId="27509" xr:uid="{005D25EA-9F52-43D8-94C6-EDB5035B8735}"/>
    <cellStyle name="Normal 4 2 4 2 3 5 5" xfId="19068" xr:uid="{F26A2A1D-6D3B-4A09-B8ED-86F28C9F3152}"/>
    <cellStyle name="Normal 4 2 4 2 3 5 6" xfId="10620" xr:uid="{2BF5627C-4199-4F81-9A0F-2A75234FB838}"/>
    <cellStyle name="Normal 4 2 4 2 3 6" xfId="2518" xr:uid="{00000000-0005-0000-0000-000067130000}"/>
    <cellStyle name="Normal 4 2 4 2 3 6 2" xfId="6801" xr:uid="{00000000-0005-0000-0000-000068130000}"/>
    <cellStyle name="Normal 4 2 4 2 3 6 2 2" xfId="32140" xr:uid="{5231ACAD-94D3-439A-BE90-1F9733DCC998}"/>
    <cellStyle name="Normal 4 2 4 2 3 6 2 3" xfId="23699" xr:uid="{494865B5-AAE1-4F2F-B815-7E9E17B43F65}"/>
    <cellStyle name="Normal 4 2 4 2 3 6 2 4" xfId="15251" xr:uid="{7158D34D-93EF-4595-9D67-9C1154336487}"/>
    <cellStyle name="Normal 4 2 4 2 3 6 3" xfId="27922" xr:uid="{8043300A-1507-4249-81F6-75916E0E70D2}"/>
    <cellStyle name="Normal 4 2 4 2 3 6 4" xfId="19481" xr:uid="{FC90BA0F-B85A-41B9-8C3B-E0BE0C3F05D1}"/>
    <cellStyle name="Normal 4 2 4 2 3 6 5" xfId="11033" xr:uid="{5F0AEFD5-1C24-4673-A185-040C001C3C4B}"/>
    <cellStyle name="Normal 4 2 4 2 3 7" xfId="4736" xr:uid="{00000000-0005-0000-0000-000069130000}"/>
    <cellStyle name="Normal 4 2 4 2 3 7 2" xfId="30075" xr:uid="{6849EE32-558F-4B72-AC47-66F639EBCA52}"/>
    <cellStyle name="Normal 4 2 4 2 3 7 3" xfId="21634" xr:uid="{B36C0BB6-518F-4F62-9E81-5CF395F446AA}"/>
    <cellStyle name="Normal 4 2 4 2 3 7 4" xfId="13186" xr:uid="{2E8A12A9-1DF6-4205-A2B1-B485EC13B86A}"/>
    <cellStyle name="Normal 4 2 4 2 3 8" xfId="25857" xr:uid="{4D6FAA98-E58F-4A8F-84BE-CE4CC6DB28C5}"/>
    <cellStyle name="Normal 4 2 4 2 3 9" xfId="17416" xr:uid="{FB82F94A-05E0-4D5C-A4C9-50AE1975A2EC}"/>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32630" xr:uid="{E56E3174-70D9-4127-B017-2CC143A16CC6}"/>
    <cellStyle name="Normal 4 2 4 2 4 2 2 3" xfId="24189" xr:uid="{D3863D67-1195-411F-B114-A2604AF719E3}"/>
    <cellStyle name="Normal 4 2 4 2 4 2 2 4" xfId="15741" xr:uid="{FD125309-6A24-4997-82B0-88DACA729618}"/>
    <cellStyle name="Normal 4 2 4 2 4 2 3" xfId="28412" xr:uid="{34077B84-AC68-4CCB-B5D3-EB7C80779D36}"/>
    <cellStyle name="Normal 4 2 4 2 4 2 4" xfId="19971" xr:uid="{CE719E21-0973-4793-88DC-88F0B2E54E43}"/>
    <cellStyle name="Normal 4 2 4 2 4 2 5" xfId="11523" xr:uid="{F9626947-E781-4FFF-8A65-EA4A340B4F9E}"/>
    <cellStyle name="Normal 4 2 4 2 4 3" xfId="5146" xr:uid="{00000000-0005-0000-0000-00006D130000}"/>
    <cellStyle name="Normal 4 2 4 2 4 3 2" xfId="30485" xr:uid="{EF771910-048C-4BFE-A0D1-83462DDA38F7}"/>
    <cellStyle name="Normal 4 2 4 2 4 3 3" xfId="22044" xr:uid="{C48588A4-0318-4F9D-9D67-2AEA7FA19D14}"/>
    <cellStyle name="Normal 4 2 4 2 4 3 4" xfId="13596" xr:uid="{CFE19A53-12B1-40AD-BC5B-CF39CCCA8BA7}"/>
    <cellStyle name="Normal 4 2 4 2 4 4" xfId="26267" xr:uid="{B887F2E5-C795-41DA-ACAC-654F47977393}"/>
    <cellStyle name="Normal 4 2 4 2 4 5" xfId="17826" xr:uid="{F8150486-247B-4401-8175-1A5922BF5720}"/>
    <cellStyle name="Normal 4 2 4 2 4 6" xfId="9378" xr:uid="{B0BF2C22-5C3B-47A3-B06F-8671247A6E1A}"/>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33043" xr:uid="{B6262751-15CF-47FD-A8D6-AE00314AB83D}"/>
    <cellStyle name="Normal 4 2 4 2 5 2 2 3" xfId="24602" xr:uid="{07A430BF-31E5-4D9E-AFB4-5CC70F868789}"/>
    <cellStyle name="Normal 4 2 4 2 5 2 2 4" xfId="16154" xr:uid="{10ED725D-0E5E-4E49-8882-C435241DD6AE}"/>
    <cellStyle name="Normal 4 2 4 2 5 2 3" xfId="28825" xr:uid="{7AE6D9EF-6C16-422D-9A5C-73AAEFCE5402}"/>
    <cellStyle name="Normal 4 2 4 2 5 2 4" xfId="20384" xr:uid="{A0CF93B1-7491-467F-BD05-C302AD9CC47E}"/>
    <cellStyle name="Normal 4 2 4 2 5 2 5" xfId="11936" xr:uid="{C07C5F43-E755-4F5E-8FBD-A23415C2CD57}"/>
    <cellStyle name="Normal 4 2 4 2 5 3" xfId="5559" xr:uid="{00000000-0005-0000-0000-000071130000}"/>
    <cellStyle name="Normal 4 2 4 2 5 3 2" xfId="30898" xr:uid="{DDFC7E16-DBF8-48FC-88C7-1075BCFBC9C6}"/>
    <cellStyle name="Normal 4 2 4 2 5 3 3" xfId="22457" xr:uid="{B4321BF6-3FBB-4321-8F56-76ED2E0C13A4}"/>
    <cellStyle name="Normal 4 2 4 2 5 3 4" xfId="14009" xr:uid="{55388E28-069C-4D21-897B-E7628905DEB9}"/>
    <cellStyle name="Normal 4 2 4 2 5 4" xfId="26680" xr:uid="{20525A32-416B-4BBB-B178-8944FFCA93DB}"/>
    <cellStyle name="Normal 4 2 4 2 5 5" xfId="18239" xr:uid="{6DD6FA22-0B00-4014-8F16-99C2223DF717}"/>
    <cellStyle name="Normal 4 2 4 2 5 6" xfId="9791" xr:uid="{34B155AF-5669-4D65-8EF8-991448F78821}"/>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33456" xr:uid="{A5D09E7E-A0B1-4326-ABF6-20E059A82614}"/>
    <cellStyle name="Normal 4 2 4 2 6 2 2 3" xfId="25015" xr:uid="{4CF5DD53-4CFC-407F-8EA5-5A9B0A67703C}"/>
    <cellStyle name="Normal 4 2 4 2 6 2 2 4" xfId="16567" xr:uid="{C0DE0A84-D45B-440C-A8B0-5BC7B72B1C73}"/>
    <cellStyle name="Normal 4 2 4 2 6 2 3" xfId="29238" xr:uid="{72BF1219-FD3F-496A-AB9B-140A99A5CA96}"/>
    <cellStyle name="Normal 4 2 4 2 6 2 4" xfId="20797" xr:uid="{4A4853D8-B6C6-4BF3-81EB-7EB833495A8A}"/>
    <cellStyle name="Normal 4 2 4 2 6 2 5" xfId="12349" xr:uid="{74A4C153-4109-48B9-B955-5DA47AE83FA1}"/>
    <cellStyle name="Normal 4 2 4 2 6 3" xfId="5972" xr:uid="{00000000-0005-0000-0000-000075130000}"/>
    <cellStyle name="Normal 4 2 4 2 6 3 2" xfId="31311" xr:uid="{DA8CB633-EB29-4A0F-8D45-00E8CA72D4EC}"/>
    <cellStyle name="Normal 4 2 4 2 6 3 3" xfId="22870" xr:uid="{0845D4CF-2605-410F-814C-C7487E385FCA}"/>
    <cellStyle name="Normal 4 2 4 2 6 3 4" xfId="14422" xr:uid="{F6254B5B-B30B-4057-990D-7B1D6D2D0150}"/>
    <cellStyle name="Normal 4 2 4 2 6 4" xfId="27093" xr:uid="{FA3DF1C9-14A9-4252-91EB-BC8517BB4D8B}"/>
    <cellStyle name="Normal 4 2 4 2 6 5" xfId="18652" xr:uid="{43FDAC8C-3919-43DC-9CA9-D71A81FB236C}"/>
    <cellStyle name="Normal 4 2 4 2 6 6" xfId="10204" xr:uid="{4B1AF40C-7008-402F-BBFA-1B8491A1F541}"/>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33869" xr:uid="{A30CC786-848C-4A0E-9E7A-0DF7FC67DFF6}"/>
    <cellStyle name="Normal 4 2 4 2 7 2 2 3" xfId="25428" xr:uid="{AD4DC0EE-B8A2-4A57-AB1E-B00F97AD2719}"/>
    <cellStyle name="Normal 4 2 4 2 7 2 2 4" xfId="16980" xr:uid="{16F15F9F-0F87-45E2-8E41-2ED9E896401D}"/>
    <cellStyle name="Normal 4 2 4 2 7 2 3" xfId="29651" xr:uid="{FE4F4F52-420C-4F74-9226-21BC966B661D}"/>
    <cellStyle name="Normal 4 2 4 2 7 2 4" xfId="21210" xr:uid="{569CB66F-DC81-4FB2-8FCE-F9F4251F1D17}"/>
    <cellStyle name="Normal 4 2 4 2 7 2 5" xfId="12762" xr:uid="{BE47A747-B7BE-46FD-AA0A-F7BDEEBA57D3}"/>
    <cellStyle name="Normal 4 2 4 2 7 3" xfId="6385" xr:uid="{00000000-0005-0000-0000-000079130000}"/>
    <cellStyle name="Normal 4 2 4 2 7 3 2" xfId="31724" xr:uid="{24D22A8B-F805-44C9-A560-A3D96F5D7FC8}"/>
    <cellStyle name="Normal 4 2 4 2 7 3 3" xfId="23283" xr:uid="{F0D9310E-8C9B-4B0B-B66D-4D64F9A4D00E}"/>
    <cellStyle name="Normal 4 2 4 2 7 3 4" xfId="14835" xr:uid="{5C1325B3-55CB-48D0-B856-7EA9637FD1FE}"/>
    <cellStyle name="Normal 4 2 4 2 7 4" xfId="27506" xr:uid="{47C5AA83-4C4B-42F4-A0F4-CCD45C587BA7}"/>
    <cellStyle name="Normal 4 2 4 2 7 5" xfId="19065" xr:uid="{85840EDD-84DE-4C5B-BB1D-308EF5334AD3}"/>
    <cellStyle name="Normal 4 2 4 2 7 6" xfId="10617" xr:uid="{28BA0CD8-B9D8-44CC-9DB5-F7AB1D748C96}"/>
    <cellStyle name="Normal 4 2 4 2 8" xfId="2515" xr:uid="{00000000-0005-0000-0000-00007A130000}"/>
    <cellStyle name="Normal 4 2 4 2 8 2" xfId="6798" xr:uid="{00000000-0005-0000-0000-00007B130000}"/>
    <cellStyle name="Normal 4 2 4 2 8 2 2" xfId="32137" xr:uid="{2C751412-A86D-4417-8901-C7ACF6B7896F}"/>
    <cellStyle name="Normal 4 2 4 2 8 2 3" xfId="23696" xr:uid="{26646137-3DF6-4C57-BF57-88BD87CEBF32}"/>
    <cellStyle name="Normal 4 2 4 2 8 2 4" xfId="15248" xr:uid="{F080E277-1500-4132-B00F-92A1D01BA4C7}"/>
    <cellStyle name="Normal 4 2 4 2 8 3" xfId="27919" xr:uid="{86E6578C-8679-45F7-8012-0B34B2A86EE9}"/>
    <cellStyle name="Normal 4 2 4 2 8 4" xfId="19478" xr:uid="{5F1E9117-EFA6-47A6-8A9E-61DBCF006775}"/>
    <cellStyle name="Normal 4 2 4 2 8 5" xfId="11030" xr:uid="{9F64D5D1-C8E3-4435-ADC6-76F0D3A203C6}"/>
    <cellStyle name="Normal 4 2 4 2 9" xfId="4733" xr:uid="{00000000-0005-0000-0000-00007C130000}"/>
    <cellStyle name="Normal 4 2 4 2 9 2" xfId="30072" xr:uid="{74F92DF8-43AB-4C8C-9E9A-102BE2FCBECA}"/>
    <cellStyle name="Normal 4 2 4 2 9 3" xfId="21631" xr:uid="{4E4C349B-943D-459A-9DFA-C7B8DACB3B4E}"/>
    <cellStyle name="Normal 4 2 4 2 9 4" xfId="13183" xr:uid="{78E6CA2E-C4C1-40DF-96F8-237936C26C0E}"/>
    <cellStyle name="Normal 4 2 4 3" xfId="360" xr:uid="{00000000-0005-0000-0000-00007D130000}"/>
    <cellStyle name="Normal 4 2 4 3 10" xfId="17417" xr:uid="{8F1390E1-99E6-4C5D-835E-FBB8F735E5B3}"/>
    <cellStyle name="Normal 4 2 4 3 11" xfId="8969" xr:uid="{D7EFF55B-D21D-4AF4-98F8-9FC992EC85D1}"/>
    <cellStyle name="Normal 4 2 4 3 2" xfId="361" xr:uid="{00000000-0005-0000-0000-00007E130000}"/>
    <cellStyle name="Normal 4 2 4 3 2 10" xfId="8970" xr:uid="{272F753C-314B-49BD-8379-916DC527BA87}"/>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32635" xr:uid="{9A659AF8-7F5E-46DD-AC08-7B5428521B00}"/>
    <cellStyle name="Normal 4 2 4 3 2 2 2 2 3" xfId="24194" xr:uid="{1BA8020A-0F2A-4F74-B1D2-0C322234BBB0}"/>
    <cellStyle name="Normal 4 2 4 3 2 2 2 2 4" xfId="15746" xr:uid="{21F6185C-B9AB-44C1-9083-41E3D9340CE4}"/>
    <cellStyle name="Normal 4 2 4 3 2 2 2 3" xfId="28417" xr:uid="{64208E4B-C1F1-41EF-A611-503066F54E02}"/>
    <cellStyle name="Normal 4 2 4 3 2 2 2 4" xfId="19976" xr:uid="{DC5E83D0-B3C7-4F4B-9905-EEB54B72746D}"/>
    <cellStyle name="Normal 4 2 4 3 2 2 2 5" xfId="11528" xr:uid="{87965A80-E1E2-49D2-99BE-87AE12274189}"/>
    <cellStyle name="Normal 4 2 4 3 2 2 3" xfId="5151" xr:uid="{00000000-0005-0000-0000-000082130000}"/>
    <cellStyle name="Normal 4 2 4 3 2 2 3 2" xfId="30490" xr:uid="{FE52A7AF-1099-4C93-93C5-F202611C9C3D}"/>
    <cellStyle name="Normal 4 2 4 3 2 2 3 3" xfId="22049" xr:uid="{3484013C-21E6-4C85-9918-8AC74FABD928}"/>
    <cellStyle name="Normal 4 2 4 3 2 2 3 4" xfId="13601" xr:uid="{A9464809-B88D-41E8-93C7-C500A2D158F8}"/>
    <cellStyle name="Normal 4 2 4 3 2 2 4" xfId="26272" xr:uid="{7D27ED49-8A9A-4596-977E-F14C81A29DEA}"/>
    <cellStyle name="Normal 4 2 4 3 2 2 5" xfId="17831" xr:uid="{9281D3F3-D23F-41F7-A9D5-C7BB07DD3E42}"/>
    <cellStyle name="Normal 4 2 4 3 2 2 6" xfId="9383" xr:uid="{6D3F8A1B-C668-43C1-84DA-EA11F9DE3344}"/>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33048" xr:uid="{F67E585A-89C1-4255-9BA5-104341B17C56}"/>
    <cellStyle name="Normal 4 2 4 3 2 3 2 2 3" xfId="24607" xr:uid="{19BDFF92-E6B9-43E5-9BF5-C7E41556116A}"/>
    <cellStyle name="Normal 4 2 4 3 2 3 2 2 4" xfId="16159" xr:uid="{F9EE039B-10C8-4DA5-BA67-DBA497EB2C2A}"/>
    <cellStyle name="Normal 4 2 4 3 2 3 2 3" xfId="28830" xr:uid="{1061BD48-8872-4A2E-8981-5D2941B4C91A}"/>
    <cellStyle name="Normal 4 2 4 3 2 3 2 4" xfId="20389" xr:uid="{22065824-EA0D-4205-BD50-472879E75A0B}"/>
    <cellStyle name="Normal 4 2 4 3 2 3 2 5" xfId="11941" xr:uid="{51B248DF-ACF2-4BD1-AA82-AA89013C5340}"/>
    <cellStyle name="Normal 4 2 4 3 2 3 3" xfId="5564" xr:uid="{00000000-0005-0000-0000-000086130000}"/>
    <cellStyle name="Normal 4 2 4 3 2 3 3 2" xfId="30903" xr:uid="{B7D56641-0659-4A2B-805B-71859A453D9B}"/>
    <cellStyle name="Normal 4 2 4 3 2 3 3 3" xfId="22462" xr:uid="{1AB16BFD-8E2E-4174-8DF3-2FEAA0168A34}"/>
    <cellStyle name="Normal 4 2 4 3 2 3 3 4" xfId="14014" xr:uid="{71C90A29-BEF5-4881-8C03-BAB8806F6628}"/>
    <cellStyle name="Normal 4 2 4 3 2 3 4" xfId="26685" xr:uid="{CDDEF90A-6205-48DA-8979-5889320E8911}"/>
    <cellStyle name="Normal 4 2 4 3 2 3 5" xfId="18244" xr:uid="{73243C54-EF6E-4352-B7F7-5525A6A48852}"/>
    <cellStyle name="Normal 4 2 4 3 2 3 6" xfId="9796" xr:uid="{06D016F5-8530-4C3E-9DE6-F3846A2CED33}"/>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33461" xr:uid="{286BFC9A-69EF-4A02-BF24-749A605FEF8C}"/>
    <cellStyle name="Normal 4 2 4 3 2 4 2 2 3" xfId="25020" xr:uid="{B0B3681D-9C39-49B3-BB47-377A85247A2E}"/>
    <cellStyle name="Normal 4 2 4 3 2 4 2 2 4" xfId="16572" xr:uid="{6063F43B-5ED8-4088-A5AF-A92962CA58C1}"/>
    <cellStyle name="Normal 4 2 4 3 2 4 2 3" xfId="29243" xr:uid="{3233589A-8C3A-44C0-ACDB-D0A28242C445}"/>
    <cellStyle name="Normal 4 2 4 3 2 4 2 4" xfId="20802" xr:uid="{2F40C63B-30DA-44DE-8498-61FA90E4CCFA}"/>
    <cellStyle name="Normal 4 2 4 3 2 4 2 5" xfId="12354" xr:uid="{29BE5F3E-CC07-411C-801E-1452CFE23F3C}"/>
    <cellStyle name="Normal 4 2 4 3 2 4 3" xfId="5977" xr:uid="{00000000-0005-0000-0000-00008A130000}"/>
    <cellStyle name="Normal 4 2 4 3 2 4 3 2" xfId="31316" xr:uid="{37639ED2-0160-4364-8510-042754ECEF49}"/>
    <cellStyle name="Normal 4 2 4 3 2 4 3 3" xfId="22875" xr:uid="{6282082D-36DE-4D4B-847B-D07C2E95F24E}"/>
    <cellStyle name="Normal 4 2 4 3 2 4 3 4" xfId="14427" xr:uid="{4EA06FD4-1A71-4F91-9A4F-CC49F8495862}"/>
    <cellStyle name="Normal 4 2 4 3 2 4 4" xfId="27098" xr:uid="{A1E41FD8-F883-4A25-B0A6-3CED009507BD}"/>
    <cellStyle name="Normal 4 2 4 3 2 4 5" xfId="18657" xr:uid="{B1127E29-3F02-4B29-BED9-17CA85468D58}"/>
    <cellStyle name="Normal 4 2 4 3 2 4 6" xfId="10209" xr:uid="{85347B06-720F-480D-B9E3-51448F02A29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33874" xr:uid="{47DE04BC-B106-437B-B288-171BBF80A15F}"/>
    <cellStyle name="Normal 4 2 4 3 2 5 2 2 3" xfId="25433" xr:uid="{7702DA1C-DC6B-4D75-9C61-EC130A058484}"/>
    <cellStyle name="Normal 4 2 4 3 2 5 2 2 4" xfId="16985" xr:uid="{216171D4-97D1-498F-A098-C37C571D2764}"/>
    <cellStyle name="Normal 4 2 4 3 2 5 2 3" xfId="29656" xr:uid="{2D7CCFBB-847B-4653-8BB3-68735342A110}"/>
    <cellStyle name="Normal 4 2 4 3 2 5 2 4" xfId="21215" xr:uid="{7AAF4E6C-7D8D-426F-A5DD-0C3E112E594C}"/>
    <cellStyle name="Normal 4 2 4 3 2 5 2 5" xfId="12767" xr:uid="{7BFBE0A5-DA50-4CFD-84D3-E6EE0ABEBE7B}"/>
    <cellStyle name="Normal 4 2 4 3 2 5 3" xfId="6390" xr:uid="{00000000-0005-0000-0000-00008E130000}"/>
    <cellStyle name="Normal 4 2 4 3 2 5 3 2" xfId="31729" xr:uid="{31EB5688-815B-44DC-8114-41E20D186D7B}"/>
    <cellStyle name="Normal 4 2 4 3 2 5 3 3" xfId="23288" xr:uid="{E36CB6A5-1FF5-4C90-992A-0FCCD614F56F}"/>
    <cellStyle name="Normal 4 2 4 3 2 5 3 4" xfId="14840" xr:uid="{A90958F7-F7F7-45BE-8069-D113BF9A94F6}"/>
    <cellStyle name="Normal 4 2 4 3 2 5 4" xfId="27511" xr:uid="{8506A6E4-C115-4202-85E4-61E9197D539B}"/>
    <cellStyle name="Normal 4 2 4 3 2 5 5" xfId="19070" xr:uid="{5FFD56F0-1F58-49B7-BD83-0C51D6BBC658}"/>
    <cellStyle name="Normal 4 2 4 3 2 5 6" xfId="10622" xr:uid="{9080B3A8-5B4B-4DEB-98F2-249FB9B59323}"/>
    <cellStyle name="Normal 4 2 4 3 2 6" xfId="2520" xr:uid="{00000000-0005-0000-0000-00008F130000}"/>
    <cellStyle name="Normal 4 2 4 3 2 6 2" xfId="6803" xr:uid="{00000000-0005-0000-0000-000090130000}"/>
    <cellStyle name="Normal 4 2 4 3 2 6 2 2" xfId="32142" xr:uid="{61C738E4-16DA-4678-A162-4D894D3C469F}"/>
    <cellStyle name="Normal 4 2 4 3 2 6 2 3" xfId="23701" xr:uid="{A6EAF25F-FF67-4F69-805C-FAA9492D9DC7}"/>
    <cellStyle name="Normal 4 2 4 3 2 6 2 4" xfId="15253" xr:uid="{AF7DAB21-6E0C-4D70-82BF-915B8F11A133}"/>
    <cellStyle name="Normal 4 2 4 3 2 6 3" xfId="27924" xr:uid="{F68BEC9A-7D2C-4DA0-935E-34E4F03D60D2}"/>
    <cellStyle name="Normal 4 2 4 3 2 6 4" xfId="19483" xr:uid="{09898F9C-B0AC-46CF-9381-7403AF1085D6}"/>
    <cellStyle name="Normal 4 2 4 3 2 6 5" xfId="11035" xr:uid="{2FB25713-509C-4852-BEA3-F728D365F874}"/>
    <cellStyle name="Normal 4 2 4 3 2 7" xfId="4738" xr:uid="{00000000-0005-0000-0000-000091130000}"/>
    <cellStyle name="Normal 4 2 4 3 2 7 2" xfId="30077" xr:uid="{7CB1AD96-2676-4ED6-B300-CBA04E768028}"/>
    <cellStyle name="Normal 4 2 4 3 2 7 3" xfId="21636" xr:uid="{27E5CA91-3A15-483C-B9A2-2C7069FA20E7}"/>
    <cellStyle name="Normal 4 2 4 3 2 7 4" xfId="13188" xr:uid="{0F44EA97-89FA-46DD-8A14-BF503229FB13}"/>
    <cellStyle name="Normal 4 2 4 3 2 8" xfId="25859" xr:uid="{6962C016-BE3A-4164-A421-6427EFA5D033}"/>
    <cellStyle name="Normal 4 2 4 3 2 9" xfId="17418" xr:uid="{DED73D8C-4F8E-4F25-945C-EB0A881B6C21}"/>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32634" xr:uid="{D55BCE0C-3C57-4FDC-A0F4-189592BDB8B1}"/>
    <cellStyle name="Normal 4 2 4 3 3 2 2 3" xfId="24193" xr:uid="{1C3A0638-170F-471A-A85D-9A0340B5AE1C}"/>
    <cellStyle name="Normal 4 2 4 3 3 2 2 4" xfId="15745" xr:uid="{2E95D51E-23B4-40CD-ACD7-900EE716C600}"/>
    <cellStyle name="Normal 4 2 4 3 3 2 3" xfId="28416" xr:uid="{84306204-07EE-40C1-88A7-66223608AD51}"/>
    <cellStyle name="Normal 4 2 4 3 3 2 4" xfId="19975" xr:uid="{0B95C868-5295-447B-9CF3-B445D04436B9}"/>
    <cellStyle name="Normal 4 2 4 3 3 2 5" xfId="11527" xr:uid="{277FCC73-1C1C-4FE3-AA6F-55CED0B98BF6}"/>
    <cellStyle name="Normal 4 2 4 3 3 3" xfId="5150" xr:uid="{00000000-0005-0000-0000-000095130000}"/>
    <cellStyle name="Normal 4 2 4 3 3 3 2" xfId="30489" xr:uid="{6AEE2AE0-EB81-4B06-838B-3A53CD01FBAE}"/>
    <cellStyle name="Normal 4 2 4 3 3 3 3" xfId="22048" xr:uid="{F4206A7D-DAD8-4B9B-8E68-8D29AF8EB6A4}"/>
    <cellStyle name="Normal 4 2 4 3 3 3 4" xfId="13600" xr:uid="{FE902868-A6E6-47AF-920C-98F6DD15F95A}"/>
    <cellStyle name="Normal 4 2 4 3 3 4" xfId="26271" xr:uid="{FA74944D-13AC-43D1-A8EF-46A1F5FFFED2}"/>
    <cellStyle name="Normal 4 2 4 3 3 5" xfId="17830" xr:uid="{E4E36664-711B-4DA1-ABDA-A20AF44278D4}"/>
    <cellStyle name="Normal 4 2 4 3 3 6" xfId="9382" xr:uid="{0537CF99-DBF6-42FA-A504-B3F4E9CA0A11}"/>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33047" xr:uid="{9D4AD5B2-612C-4A25-A463-05652B279129}"/>
    <cellStyle name="Normal 4 2 4 3 4 2 2 3" xfId="24606" xr:uid="{5AFBA471-313A-4FD7-8D2D-C2A902E8ABE3}"/>
    <cellStyle name="Normal 4 2 4 3 4 2 2 4" xfId="16158" xr:uid="{5746C48A-9D22-4DC0-A533-DD3108A80D8D}"/>
    <cellStyle name="Normal 4 2 4 3 4 2 3" xfId="28829" xr:uid="{C11323F9-6BF8-4625-93B6-C659DA774A40}"/>
    <cellStyle name="Normal 4 2 4 3 4 2 4" xfId="20388" xr:uid="{E30A4E48-DB5C-4843-9E52-0BC69CF00E7B}"/>
    <cellStyle name="Normal 4 2 4 3 4 2 5" xfId="11940" xr:uid="{AE8F5DE9-1EC2-4408-A660-C001898511B9}"/>
    <cellStyle name="Normal 4 2 4 3 4 3" xfId="5563" xr:uid="{00000000-0005-0000-0000-000099130000}"/>
    <cellStyle name="Normal 4 2 4 3 4 3 2" xfId="30902" xr:uid="{3F313426-2792-4936-B404-CA41052A11AE}"/>
    <cellStyle name="Normal 4 2 4 3 4 3 3" xfId="22461" xr:uid="{8AC67C80-AA9E-4388-A934-6EE68887728D}"/>
    <cellStyle name="Normal 4 2 4 3 4 3 4" xfId="14013" xr:uid="{22507592-62D8-49D6-AA38-814DFBC98208}"/>
    <cellStyle name="Normal 4 2 4 3 4 4" xfId="26684" xr:uid="{69FE6C00-4966-4066-A2BE-BF6157B8865B}"/>
    <cellStyle name="Normal 4 2 4 3 4 5" xfId="18243" xr:uid="{8C893E9F-F8E7-4D8F-8602-F2ABD1A5ECBC}"/>
    <cellStyle name="Normal 4 2 4 3 4 6" xfId="9795" xr:uid="{75511D23-1F97-42C2-964A-8A3FAB3EA5AB}"/>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33460" xr:uid="{26700C64-2ED1-4B7C-A065-47BCD57A86A5}"/>
    <cellStyle name="Normal 4 2 4 3 5 2 2 3" xfId="25019" xr:uid="{8448AA6A-D14F-4382-A242-25AAF0CFB993}"/>
    <cellStyle name="Normal 4 2 4 3 5 2 2 4" xfId="16571" xr:uid="{54B26F1C-2517-4708-B518-14892910E1B2}"/>
    <cellStyle name="Normal 4 2 4 3 5 2 3" xfId="29242" xr:uid="{2C067DDA-51E6-4A83-AF53-B2C726D86526}"/>
    <cellStyle name="Normal 4 2 4 3 5 2 4" xfId="20801" xr:uid="{0415CF47-0BC1-4FF3-8E38-BFB5AA5ED07C}"/>
    <cellStyle name="Normal 4 2 4 3 5 2 5" xfId="12353" xr:uid="{5AF38026-84D3-417E-9227-6DAA45CE3921}"/>
    <cellStyle name="Normal 4 2 4 3 5 3" xfId="5976" xr:uid="{00000000-0005-0000-0000-00009D130000}"/>
    <cellStyle name="Normal 4 2 4 3 5 3 2" xfId="31315" xr:uid="{F74137B4-03A6-4374-958D-86D574277C37}"/>
    <cellStyle name="Normal 4 2 4 3 5 3 3" xfId="22874" xr:uid="{98B4EAF6-BC2A-448F-A0B6-EA22DD4D37A5}"/>
    <cellStyle name="Normal 4 2 4 3 5 3 4" xfId="14426" xr:uid="{FF4A90E7-9ECD-4D1A-A612-EEA7CFCBF385}"/>
    <cellStyle name="Normal 4 2 4 3 5 4" xfId="27097" xr:uid="{A114FE20-7C38-4083-A24E-A936218EDA70}"/>
    <cellStyle name="Normal 4 2 4 3 5 5" xfId="18656" xr:uid="{F2A965CC-15A4-4856-B54E-4CE8262104F6}"/>
    <cellStyle name="Normal 4 2 4 3 5 6" xfId="10208" xr:uid="{488CEEC1-2467-4381-AABD-12C8A4ABFB54}"/>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33873" xr:uid="{4C53E1FA-9C9A-4A8D-BDEB-D6F40F4B2268}"/>
    <cellStyle name="Normal 4 2 4 3 6 2 2 3" xfId="25432" xr:uid="{87742A34-8A7F-4276-8DAF-C57DEC04E4C0}"/>
    <cellStyle name="Normal 4 2 4 3 6 2 2 4" xfId="16984" xr:uid="{74EB7839-9A81-4E9B-8440-F36D11AD1E67}"/>
    <cellStyle name="Normal 4 2 4 3 6 2 3" xfId="29655" xr:uid="{1AFE3249-0A78-460C-BCA0-6B843B6CA6BB}"/>
    <cellStyle name="Normal 4 2 4 3 6 2 4" xfId="21214" xr:uid="{ECD176FB-A7C0-4F2D-B0F1-4736D824D5F4}"/>
    <cellStyle name="Normal 4 2 4 3 6 2 5" xfId="12766" xr:uid="{3F264293-B24B-4F51-AA6B-EBBF5E7A993E}"/>
    <cellStyle name="Normal 4 2 4 3 6 3" xfId="6389" xr:uid="{00000000-0005-0000-0000-0000A1130000}"/>
    <cellStyle name="Normal 4 2 4 3 6 3 2" xfId="31728" xr:uid="{104E927E-4CD5-4639-AFFD-B47A4F1CF910}"/>
    <cellStyle name="Normal 4 2 4 3 6 3 3" xfId="23287" xr:uid="{4D4E64DB-1BFF-4888-81C4-271497F933E1}"/>
    <cellStyle name="Normal 4 2 4 3 6 3 4" xfId="14839" xr:uid="{9A7ED5AC-8331-4418-B739-FD96EEB2F2CE}"/>
    <cellStyle name="Normal 4 2 4 3 6 4" xfId="27510" xr:uid="{112224D0-7695-46CE-9D81-1E6EFCBA407E}"/>
    <cellStyle name="Normal 4 2 4 3 6 5" xfId="19069" xr:uid="{4FC8D796-3508-4C92-A9FB-15BF583F1788}"/>
    <cellStyle name="Normal 4 2 4 3 6 6" xfId="10621" xr:uid="{A1253C68-495D-4DDE-AD4D-BC21BEDCDAB2}"/>
    <cellStyle name="Normal 4 2 4 3 7" xfId="2519" xr:uid="{00000000-0005-0000-0000-0000A2130000}"/>
    <cellStyle name="Normal 4 2 4 3 7 2" xfId="6802" xr:uid="{00000000-0005-0000-0000-0000A3130000}"/>
    <cellStyle name="Normal 4 2 4 3 7 2 2" xfId="32141" xr:uid="{E6EC69E2-7215-4B9F-8EF4-6246ACBA24A8}"/>
    <cellStyle name="Normal 4 2 4 3 7 2 3" xfId="23700" xr:uid="{5822930E-7D5F-4122-96AE-FF8D414D487E}"/>
    <cellStyle name="Normal 4 2 4 3 7 2 4" xfId="15252" xr:uid="{A0CCEAFB-2638-43FE-A95F-81FB5F6E9C20}"/>
    <cellStyle name="Normal 4 2 4 3 7 3" xfId="27923" xr:uid="{EE9E10FE-DEAF-4E7C-B6BD-8ADD92946692}"/>
    <cellStyle name="Normal 4 2 4 3 7 4" xfId="19482" xr:uid="{6AC6C71B-7376-4115-8DCE-B045BD76A283}"/>
    <cellStyle name="Normal 4 2 4 3 7 5" xfId="11034" xr:uid="{A6B2D049-B35B-4A34-B2C8-B9883BCB6CA1}"/>
    <cellStyle name="Normal 4 2 4 3 8" xfId="4737" xr:uid="{00000000-0005-0000-0000-0000A4130000}"/>
    <cellStyle name="Normal 4 2 4 3 8 2" xfId="30076" xr:uid="{B4E4519C-A0DF-455A-83C8-064487391851}"/>
    <cellStyle name="Normal 4 2 4 3 8 3" xfId="21635" xr:uid="{C45AF0B5-7733-45E0-BEF1-7326A9FD7E2D}"/>
    <cellStyle name="Normal 4 2 4 3 8 4" xfId="13187" xr:uid="{7D09D9C4-964F-48EA-96B9-5A087252FC21}"/>
    <cellStyle name="Normal 4 2 4 3 9" xfId="25858" xr:uid="{D6BC79B4-9FF8-48CB-85AF-7AA685A2639F}"/>
    <cellStyle name="Normal 4 2 4 4" xfId="362" xr:uid="{00000000-0005-0000-0000-0000A5130000}"/>
    <cellStyle name="Normal 4 2 4 4 10" xfId="8971" xr:uid="{9E15D6B0-22B0-419E-8343-CBBBC5A1A7F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32636" xr:uid="{8A167476-7252-431E-94F2-AB610E773D03}"/>
    <cellStyle name="Normal 4 2 4 4 2 2 2 3" xfId="24195" xr:uid="{ADC2C149-6E81-4CC9-A419-C4149355A1AF}"/>
    <cellStyle name="Normal 4 2 4 4 2 2 2 4" xfId="15747" xr:uid="{8394D02E-AB0E-4B1F-B622-97D7F2BBFD90}"/>
    <cellStyle name="Normal 4 2 4 4 2 2 3" xfId="28418" xr:uid="{1AD40AB6-DA48-4CCA-B697-29ED74985522}"/>
    <cellStyle name="Normal 4 2 4 4 2 2 4" xfId="19977" xr:uid="{D66B1CCC-1D47-4831-950B-8D2F886F992F}"/>
    <cellStyle name="Normal 4 2 4 4 2 2 5" xfId="11529" xr:uid="{4870DFE1-974A-42C5-B784-3035B011CEF4}"/>
    <cellStyle name="Normal 4 2 4 4 2 3" xfId="5152" xr:uid="{00000000-0005-0000-0000-0000A9130000}"/>
    <cellStyle name="Normal 4 2 4 4 2 3 2" xfId="30491" xr:uid="{70A0C11F-2810-4379-AF34-3C249F9B0657}"/>
    <cellStyle name="Normal 4 2 4 4 2 3 3" xfId="22050" xr:uid="{425D6904-0109-4A98-AB34-C3EC2BE3289B}"/>
    <cellStyle name="Normal 4 2 4 4 2 3 4" xfId="13602" xr:uid="{BAAC27C5-7F5A-4049-ADBA-8B7B39D51FA2}"/>
    <cellStyle name="Normal 4 2 4 4 2 4" xfId="26273" xr:uid="{72E8233E-9A25-449A-BCD3-0FAF866442A9}"/>
    <cellStyle name="Normal 4 2 4 4 2 5" xfId="17832" xr:uid="{799D8DAB-A255-4A83-98B8-D6B9DC9131F9}"/>
    <cellStyle name="Normal 4 2 4 4 2 6" xfId="9384" xr:uid="{7BA6B9A4-8465-4B09-A183-BE87F942002E}"/>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33049" xr:uid="{719572C3-8954-49D3-A38C-7F843FB0432F}"/>
    <cellStyle name="Normal 4 2 4 4 3 2 2 3" xfId="24608" xr:uid="{0B6CFAB6-9A33-4439-B26D-495A8D590464}"/>
    <cellStyle name="Normal 4 2 4 4 3 2 2 4" xfId="16160" xr:uid="{B7E24684-1D3F-46BD-B5B3-0AFD4BD10972}"/>
    <cellStyle name="Normal 4 2 4 4 3 2 3" xfId="28831" xr:uid="{322FB469-FB7A-44FA-ABFD-41E8A7F7E1B7}"/>
    <cellStyle name="Normal 4 2 4 4 3 2 4" xfId="20390" xr:uid="{A1D18140-556E-4576-84A6-45A9AE3C4350}"/>
    <cellStyle name="Normal 4 2 4 4 3 2 5" xfId="11942" xr:uid="{47B3836B-C599-42B5-B8F9-6FB55A75C911}"/>
    <cellStyle name="Normal 4 2 4 4 3 3" xfId="5565" xr:uid="{00000000-0005-0000-0000-0000AD130000}"/>
    <cellStyle name="Normal 4 2 4 4 3 3 2" xfId="30904" xr:uid="{AB8C8BA1-7477-43B8-90EF-A3928F7A077C}"/>
    <cellStyle name="Normal 4 2 4 4 3 3 3" xfId="22463" xr:uid="{B5D02129-B8CA-47D1-B7B2-50693C3C9741}"/>
    <cellStyle name="Normal 4 2 4 4 3 3 4" xfId="14015" xr:uid="{F34396C1-925C-4171-A059-34AB7294BCAC}"/>
    <cellStyle name="Normal 4 2 4 4 3 4" xfId="26686" xr:uid="{76C94693-7445-4F2E-A8B7-82BC4533C654}"/>
    <cellStyle name="Normal 4 2 4 4 3 5" xfId="18245" xr:uid="{9283D619-DA32-4B47-82C3-F53D0B52EA19}"/>
    <cellStyle name="Normal 4 2 4 4 3 6" xfId="9797" xr:uid="{47132ED3-1F6D-4216-A269-FDF1E35F862E}"/>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33462" xr:uid="{893EDBC5-FD29-4431-9F3F-191A58F317BB}"/>
    <cellStyle name="Normal 4 2 4 4 4 2 2 3" xfId="25021" xr:uid="{6F513E79-0FA7-4602-8A5E-C660948543F4}"/>
    <cellStyle name="Normal 4 2 4 4 4 2 2 4" xfId="16573" xr:uid="{B94969CE-DBD2-4A11-885E-A26B2304E791}"/>
    <cellStyle name="Normal 4 2 4 4 4 2 3" xfId="29244" xr:uid="{779F96A9-B2CE-43B7-B8AC-4C7C77EA2413}"/>
    <cellStyle name="Normal 4 2 4 4 4 2 4" xfId="20803" xr:uid="{A89FACBF-45AB-49AF-BFB4-11C8A50A8F79}"/>
    <cellStyle name="Normal 4 2 4 4 4 2 5" xfId="12355" xr:uid="{E1EA83B3-7073-4A0F-9749-E1AA2D4E3E78}"/>
    <cellStyle name="Normal 4 2 4 4 4 3" xfId="5978" xr:uid="{00000000-0005-0000-0000-0000B1130000}"/>
    <cellStyle name="Normal 4 2 4 4 4 3 2" xfId="31317" xr:uid="{F71FDCAA-AC60-4628-A99A-89D76524D3DF}"/>
    <cellStyle name="Normal 4 2 4 4 4 3 3" xfId="22876" xr:uid="{B41BAFC6-EDD4-4A77-8922-8A5E8C4B8A6A}"/>
    <cellStyle name="Normal 4 2 4 4 4 3 4" xfId="14428" xr:uid="{50F62439-4A6D-4128-842B-C708FD8A3607}"/>
    <cellStyle name="Normal 4 2 4 4 4 4" xfId="27099" xr:uid="{1565BB26-8229-443C-B76B-4E039A9CF062}"/>
    <cellStyle name="Normal 4 2 4 4 4 5" xfId="18658" xr:uid="{825A9645-2A45-495C-9EE7-912C0F43EABF}"/>
    <cellStyle name="Normal 4 2 4 4 4 6" xfId="10210" xr:uid="{9F92FAC8-A059-484E-AE29-45FCCDE302F3}"/>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33875" xr:uid="{1BC91329-7F20-4C93-BA25-DD9AE4BFA115}"/>
    <cellStyle name="Normal 4 2 4 4 5 2 2 3" xfId="25434" xr:uid="{528F646A-8854-4C1B-A1FC-946DCB7C93A7}"/>
    <cellStyle name="Normal 4 2 4 4 5 2 2 4" xfId="16986" xr:uid="{7873746D-914C-4005-A008-668DA1074397}"/>
    <cellStyle name="Normal 4 2 4 4 5 2 3" xfId="29657" xr:uid="{FDF600CD-73DD-4DFC-AFFE-F2EFACD9B190}"/>
    <cellStyle name="Normal 4 2 4 4 5 2 4" xfId="21216" xr:uid="{20D2E19E-06BA-43D3-A2FB-48040511131E}"/>
    <cellStyle name="Normal 4 2 4 4 5 2 5" xfId="12768" xr:uid="{CB9F732D-39B3-45FA-8CFB-2373306C723C}"/>
    <cellStyle name="Normal 4 2 4 4 5 3" xfId="6391" xr:uid="{00000000-0005-0000-0000-0000B5130000}"/>
    <cellStyle name="Normal 4 2 4 4 5 3 2" xfId="31730" xr:uid="{F2D34EC3-6A31-4E5E-89E5-22B77150CDAE}"/>
    <cellStyle name="Normal 4 2 4 4 5 3 3" xfId="23289" xr:uid="{AA305FAD-7F84-47B2-83AF-F8D0AC375DB2}"/>
    <cellStyle name="Normal 4 2 4 4 5 3 4" xfId="14841" xr:uid="{55B66769-8803-4E3B-84FE-C454AF0DBD0E}"/>
    <cellStyle name="Normal 4 2 4 4 5 4" xfId="27512" xr:uid="{10351190-547A-478B-A5AC-31A031906C70}"/>
    <cellStyle name="Normal 4 2 4 4 5 5" xfId="19071" xr:uid="{7BA4615D-1F85-4056-8735-6C0734D7E7D0}"/>
    <cellStyle name="Normal 4 2 4 4 5 6" xfId="10623" xr:uid="{46BE652B-18DE-4F68-99A1-DE35B4CF395E}"/>
    <cellStyle name="Normal 4 2 4 4 6" xfId="2521" xr:uid="{00000000-0005-0000-0000-0000B6130000}"/>
    <cellStyle name="Normal 4 2 4 4 6 2" xfId="6804" xr:uid="{00000000-0005-0000-0000-0000B7130000}"/>
    <cellStyle name="Normal 4 2 4 4 6 2 2" xfId="32143" xr:uid="{BBF0CFA4-3582-4D7B-8591-D5F1CA490B5C}"/>
    <cellStyle name="Normal 4 2 4 4 6 2 3" xfId="23702" xr:uid="{19B30209-EECC-4AC4-B27C-1B4EDF94A164}"/>
    <cellStyle name="Normal 4 2 4 4 6 2 4" xfId="15254" xr:uid="{2EA0CAAE-9ED0-4886-8F68-A6A80C343B87}"/>
    <cellStyle name="Normal 4 2 4 4 6 3" xfId="27925" xr:uid="{54208469-A7A9-4B31-B78D-52C935149AC4}"/>
    <cellStyle name="Normal 4 2 4 4 6 4" xfId="19484" xr:uid="{45C3D907-C1D6-42FE-AB7D-7364019F1363}"/>
    <cellStyle name="Normal 4 2 4 4 6 5" xfId="11036" xr:uid="{181F7B7F-7283-4CF0-BE97-C87F392CAC68}"/>
    <cellStyle name="Normal 4 2 4 4 7" xfId="4739" xr:uid="{00000000-0005-0000-0000-0000B8130000}"/>
    <cellStyle name="Normal 4 2 4 4 7 2" xfId="30078" xr:uid="{4AE7D0FE-B182-4F38-B2B5-FDB1A4D7228B}"/>
    <cellStyle name="Normal 4 2 4 4 7 3" xfId="21637" xr:uid="{81CAA97F-5338-44A7-B004-3F0D059BDA2B}"/>
    <cellStyle name="Normal 4 2 4 4 7 4" xfId="13189" xr:uid="{A9EA772F-AE6F-4762-B1C5-40226BBCEA19}"/>
    <cellStyle name="Normal 4 2 4 4 8" xfId="25860" xr:uid="{91A4CEB6-9A41-4447-BCD4-F7CAC96C909B}"/>
    <cellStyle name="Normal 4 2 4 4 9" xfId="17419" xr:uid="{36C2E25E-DFC5-4E2A-A235-EF7130425FAE}"/>
    <cellStyle name="Normal 4 2 4 5" xfId="831" xr:uid="{00000000-0005-0000-0000-0000B9130000}"/>
    <cellStyle name="Normal 4 2 4 5 2" xfId="3068" xr:uid="{00000000-0005-0000-0000-0000BA130000}"/>
    <cellStyle name="Normal 4 2 4 5 2 2" xfId="7290" xr:uid="{00000000-0005-0000-0000-0000BB130000}"/>
    <cellStyle name="Normal 4 2 4 5 2 2 2" xfId="32629" xr:uid="{BD4E7ED5-ED71-47E4-A6E2-D9CCFA3F775E}"/>
    <cellStyle name="Normal 4 2 4 5 2 2 3" xfId="24188" xr:uid="{3F211177-7AC8-4D98-BDA1-5E301FA97283}"/>
    <cellStyle name="Normal 4 2 4 5 2 2 4" xfId="15740" xr:uid="{30FCB20D-53C6-43F0-BE03-32A1F3912CB3}"/>
    <cellStyle name="Normal 4 2 4 5 2 3" xfId="28411" xr:uid="{A6860AB0-695E-4477-8543-1A561764C920}"/>
    <cellStyle name="Normal 4 2 4 5 2 4" xfId="19970" xr:uid="{0023ED68-36A3-4689-8501-0B1FE5C6A0A2}"/>
    <cellStyle name="Normal 4 2 4 5 2 5" xfId="11522" xr:uid="{4DC9C1D0-9A81-4975-9781-D9EE4B3742B5}"/>
    <cellStyle name="Normal 4 2 4 5 3" xfId="5145" xr:uid="{00000000-0005-0000-0000-0000BC130000}"/>
    <cellStyle name="Normal 4 2 4 5 3 2" xfId="30484" xr:uid="{1D6B4467-C2C4-4472-A256-F0FB7CD43215}"/>
    <cellStyle name="Normal 4 2 4 5 3 3" xfId="22043" xr:uid="{872649F2-7E75-486D-A49E-05A175B2AC35}"/>
    <cellStyle name="Normal 4 2 4 5 3 4" xfId="13595" xr:uid="{3198E2A6-C3BF-46F9-994C-3549E7549E34}"/>
    <cellStyle name="Normal 4 2 4 5 4" xfId="26266" xr:uid="{542FA5CF-E9CB-4B52-BF6C-D924B35F3165}"/>
    <cellStyle name="Normal 4 2 4 5 5" xfId="17825" xr:uid="{4156B43D-A326-4AD8-8389-AFA14215B2E1}"/>
    <cellStyle name="Normal 4 2 4 5 6" xfId="9377" xr:uid="{EFED6E10-4D2D-433D-82BF-B0FE9AFFE261}"/>
    <cellStyle name="Normal 4 2 4 6" xfId="1251" xr:uid="{00000000-0005-0000-0000-0000BD130000}"/>
    <cellStyle name="Normal 4 2 4 6 2" xfId="3481" xr:uid="{00000000-0005-0000-0000-0000BE130000}"/>
    <cellStyle name="Normal 4 2 4 6 2 2" xfId="7703" xr:uid="{00000000-0005-0000-0000-0000BF130000}"/>
    <cellStyle name="Normal 4 2 4 6 2 2 2" xfId="33042" xr:uid="{75EF1342-0CD4-4882-96CD-127AEC6C0317}"/>
    <cellStyle name="Normal 4 2 4 6 2 2 3" xfId="24601" xr:uid="{DE853982-2B24-4426-932D-55293291DA9F}"/>
    <cellStyle name="Normal 4 2 4 6 2 2 4" xfId="16153" xr:uid="{EC07E6A9-04CC-44AF-8BA5-30E28CD84B19}"/>
    <cellStyle name="Normal 4 2 4 6 2 3" xfId="28824" xr:uid="{32C0F6EE-93AA-4831-A8E3-9915C1F2961A}"/>
    <cellStyle name="Normal 4 2 4 6 2 4" xfId="20383" xr:uid="{BB0BB807-AE07-4780-B397-A30EDA3B172F}"/>
    <cellStyle name="Normal 4 2 4 6 2 5" xfId="11935" xr:uid="{FEB6DA74-E941-4648-9E36-5F77C935885E}"/>
    <cellStyle name="Normal 4 2 4 6 3" xfId="5558" xr:uid="{00000000-0005-0000-0000-0000C0130000}"/>
    <cellStyle name="Normal 4 2 4 6 3 2" xfId="30897" xr:uid="{E6B5FC44-FF97-40BA-890A-FD4C99E5BFC2}"/>
    <cellStyle name="Normal 4 2 4 6 3 3" xfId="22456" xr:uid="{F0AE3711-801A-4101-8061-D2BE29FDF9D7}"/>
    <cellStyle name="Normal 4 2 4 6 3 4" xfId="14008" xr:uid="{15E6C5DB-811A-493C-AA4B-B72083995DF8}"/>
    <cellStyle name="Normal 4 2 4 6 4" xfId="26679" xr:uid="{AB5FEE41-0F3D-4B52-82ED-23D4D3059375}"/>
    <cellStyle name="Normal 4 2 4 6 5" xfId="18238" xr:uid="{4D70A456-B464-46AE-9262-64F6C72CE8E8}"/>
    <cellStyle name="Normal 4 2 4 6 6" xfId="9790" xr:uid="{3C1AA80E-2CE1-4E5F-8D98-CF15637ECAB3}"/>
    <cellStyle name="Normal 4 2 4 7" xfId="1664" xr:uid="{00000000-0005-0000-0000-0000C1130000}"/>
    <cellStyle name="Normal 4 2 4 7 2" xfId="3894" xr:uid="{00000000-0005-0000-0000-0000C2130000}"/>
    <cellStyle name="Normal 4 2 4 7 2 2" xfId="8116" xr:uid="{00000000-0005-0000-0000-0000C3130000}"/>
    <cellStyle name="Normal 4 2 4 7 2 2 2" xfId="33455" xr:uid="{C9D3833A-4C00-4FD1-B767-6EDCC6567FC9}"/>
    <cellStyle name="Normal 4 2 4 7 2 2 3" xfId="25014" xr:uid="{59CFB5EC-B86B-4AE7-9854-DFD948A063EC}"/>
    <cellStyle name="Normal 4 2 4 7 2 2 4" xfId="16566" xr:uid="{21FDCFCD-401F-45FE-AD54-2AF15613B00F}"/>
    <cellStyle name="Normal 4 2 4 7 2 3" xfId="29237" xr:uid="{94312632-BEFC-40E7-8C30-B84B8A7AED8F}"/>
    <cellStyle name="Normal 4 2 4 7 2 4" xfId="20796" xr:uid="{A386E284-2DD1-4B16-99D7-C9256888469B}"/>
    <cellStyle name="Normal 4 2 4 7 2 5" xfId="12348" xr:uid="{0A835CD1-0CC9-4946-ACF0-CE2ED7B95552}"/>
    <cellStyle name="Normal 4 2 4 7 3" xfId="5971" xr:uid="{00000000-0005-0000-0000-0000C4130000}"/>
    <cellStyle name="Normal 4 2 4 7 3 2" xfId="31310" xr:uid="{D49F1515-EE86-4C56-859F-3E3AC0C1C05D}"/>
    <cellStyle name="Normal 4 2 4 7 3 3" xfId="22869" xr:uid="{24E9D908-047D-4C36-881F-C7070104AFF6}"/>
    <cellStyle name="Normal 4 2 4 7 3 4" xfId="14421" xr:uid="{02DA5410-960C-4E2A-B374-FC48FB756D34}"/>
    <cellStyle name="Normal 4 2 4 7 4" xfId="27092" xr:uid="{95203012-3E9A-42C6-B504-E8129CEA1521}"/>
    <cellStyle name="Normal 4 2 4 7 5" xfId="18651" xr:uid="{1D09289F-0382-4372-8DF0-CA97A467DA07}"/>
    <cellStyle name="Normal 4 2 4 7 6" xfId="10203" xr:uid="{8B590A78-3F1A-4869-8E8D-6A230EB1CD22}"/>
    <cellStyle name="Normal 4 2 4 8" xfId="2078" xr:uid="{00000000-0005-0000-0000-0000C5130000}"/>
    <cellStyle name="Normal 4 2 4 8 2" xfId="4307" xr:uid="{00000000-0005-0000-0000-0000C6130000}"/>
    <cellStyle name="Normal 4 2 4 8 2 2" xfId="8529" xr:uid="{00000000-0005-0000-0000-0000C7130000}"/>
    <cellStyle name="Normal 4 2 4 8 2 2 2" xfId="33868" xr:uid="{E7FE013D-8A19-4658-87F2-10DBC4E13566}"/>
    <cellStyle name="Normal 4 2 4 8 2 2 3" xfId="25427" xr:uid="{A321CC7B-E021-45A0-BA25-5515A5840A7B}"/>
    <cellStyle name="Normal 4 2 4 8 2 2 4" xfId="16979" xr:uid="{DD26D517-DC3E-40CB-AE35-223F2FFD741A}"/>
    <cellStyle name="Normal 4 2 4 8 2 3" xfId="29650" xr:uid="{841334D2-857C-4B18-847F-A0FB8932EC48}"/>
    <cellStyle name="Normal 4 2 4 8 2 4" xfId="21209" xr:uid="{42226DD9-5882-44D6-A4DB-C9F38FDEF614}"/>
    <cellStyle name="Normal 4 2 4 8 2 5" xfId="12761" xr:uid="{4376DD45-1C89-4B3A-9BC1-611463F819ED}"/>
    <cellStyle name="Normal 4 2 4 8 3" xfId="6384" xr:uid="{00000000-0005-0000-0000-0000C8130000}"/>
    <cellStyle name="Normal 4 2 4 8 3 2" xfId="31723" xr:uid="{963DC47F-7BD0-49A5-8FF0-7AA11984980D}"/>
    <cellStyle name="Normal 4 2 4 8 3 3" xfId="23282" xr:uid="{D03E6A91-9CEE-49A0-918D-0D1FFF113552}"/>
    <cellStyle name="Normal 4 2 4 8 3 4" xfId="14834" xr:uid="{E7BFA35C-F02A-4050-88FD-6D01A0762EE3}"/>
    <cellStyle name="Normal 4 2 4 8 4" xfId="27505" xr:uid="{A54C700A-D39B-4A14-A269-5C2F68D2EBAA}"/>
    <cellStyle name="Normal 4 2 4 8 5" xfId="19064" xr:uid="{6511944E-C7E1-4461-BE04-DF54591D4928}"/>
    <cellStyle name="Normal 4 2 4 8 6" xfId="10616" xr:uid="{DA743884-C716-4001-816A-325011001CD2}"/>
    <cellStyle name="Normal 4 2 4 9" xfId="2514" xr:uid="{00000000-0005-0000-0000-0000C9130000}"/>
    <cellStyle name="Normal 4 2 4 9 2" xfId="6797" xr:uid="{00000000-0005-0000-0000-0000CA130000}"/>
    <cellStyle name="Normal 4 2 4 9 2 2" xfId="32136" xr:uid="{2C6234BE-84F2-4B69-AF2B-8900BC9B29E9}"/>
    <cellStyle name="Normal 4 2 4 9 2 3" xfId="23695" xr:uid="{F986C407-654F-4122-9205-33729EBDFD9E}"/>
    <cellStyle name="Normal 4 2 4 9 2 4" xfId="15247" xr:uid="{7AC7ACCF-171C-4EC6-BD74-7749C5B69E8C}"/>
    <cellStyle name="Normal 4 2 4 9 3" xfId="27918" xr:uid="{995C2BD5-47C7-48AE-8885-5703A9FFE972}"/>
    <cellStyle name="Normal 4 2 4 9 4" xfId="19477" xr:uid="{5681C73D-B07C-410A-845A-0D6BC73977AF}"/>
    <cellStyle name="Normal 4 2 4 9 5" xfId="11029" xr:uid="{55599BD0-BD17-4A51-A523-D9AFB16E4D66}"/>
    <cellStyle name="Normal 4 2 5" xfId="363" xr:uid="{00000000-0005-0000-0000-0000CB130000}"/>
    <cellStyle name="Normal 4 2 5 10" xfId="17420" xr:uid="{CD1FACEB-4855-49F5-A3E9-3C954CF825AE}"/>
    <cellStyle name="Normal 4 2 5 11" xfId="8972" xr:uid="{28D4D49B-B3CB-4346-B799-7A7F618DF0BC}"/>
    <cellStyle name="Normal 4 2 5 2" xfId="364" xr:uid="{00000000-0005-0000-0000-0000CC130000}"/>
    <cellStyle name="Normal 4 2 5 2 10" xfId="8973" xr:uid="{0C10A4ED-A87C-459B-976C-2DEFDF8D27F1}"/>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32638" xr:uid="{E6AC3C68-6292-4400-8FED-73473CA1DDF3}"/>
    <cellStyle name="Normal 4 2 5 2 2 2 2 3" xfId="24197" xr:uid="{2512AA57-E024-4390-BDC6-B6CDFC89D02C}"/>
    <cellStyle name="Normal 4 2 5 2 2 2 2 4" xfId="15749" xr:uid="{1E60D74E-7715-42DF-A6F3-95551DD6E956}"/>
    <cellStyle name="Normal 4 2 5 2 2 2 3" xfId="28420" xr:uid="{4D06C27A-9076-475E-964C-AD76103D505C}"/>
    <cellStyle name="Normal 4 2 5 2 2 2 4" xfId="19979" xr:uid="{E6590811-3EC5-4F45-976A-40713C06151C}"/>
    <cellStyle name="Normal 4 2 5 2 2 2 5" xfId="11531" xr:uid="{34DD5222-3F24-4767-AE1A-8BF82B3D87BB}"/>
    <cellStyle name="Normal 4 2 5 2 2 3" xfId="5154" xr:uid="{00000000-0005-0000-0000-0000D0130000}"/>
    <cellStyle name="Normal 4 2 5 2 2 3 2" xfId="30493" xr:uid="{8BA5A42B-C83D-4E85-BD60-DD5C110FD853}"/>
    <cellStyle name="Normal 4 2 5 2 2 3 3" xfId="22052" xr:uid="{D65E4C9F-8276-433B-96DD-C636BBCDB593}"/>
    <cellStyle name="Normal 4 2 5 2 2 3 4" xfId="13604" xr:uid="{B2A486FF-2E42-405F-BE78-5EB6E9CF1640}"/>
    <cellStyle name="Normal 4 2 5 2 2 4" xfId="26275" xr:uid="{CC9436CF-BD3F-4EF2-A2E4-6269ED4975D8}"/>
    <cellStyle name="Normal 4 2 5 2 2 5" xfId="17834" xr:uid="{45751BD3-D684-4E90-A8FD-E792D70E0179}"/>
    <cellStyle name="Normal 4 2 5 2 2 6" xfId="9386" xr:uid="{02C93E4C-B11D-487F-B4C2-C3CE2A4F3BAF}"/>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33051" xr:uid="{7A64DB34-8A46-445D-8A43-7EEF4BA3B9EC}"/>
    <cellStyle name="Normal 4 2 5 2 3 2 2 3" xfId="24610" xr:uid="{B812CD74-F84B-433E-BBC5-33E1E52A5B40}"/>
    <cellStyle name="Normal 4 2 5 2 3 2 2 4" xfId="16162" xr:uid="{F76E22CE-B006-4394-A1AC-65652BDEE2F9}"/>
    <cellStyle name="Normal 4 2 5 2 3 2 3" xfId="28833" xr:uid="{0FB9E0CB-C156-4938-AE10-6069BAC9343F}"/>
    <cellStyle name="Normal 4 2 5 2 3 2 4" xfId="20392" xr:uid="{B59992EE-0E4E-4E00-B80F-6CDD1E0BB559}"/>
    <cellStyle name="Normal 4 2 5 2 3 2 5" xfId="11944" xr:uid="{5DC55907-BA0E-4A0C-9735-84BFCA01F369}"/>
    <cellStyle name="Normal 4 2 5 2 3 3" xfId="5567" xr:uid="{00000000-0005-0000-0000-0000D4130000}"/>
    <cellStyle name="Normal 4 2 5 2 3 3 2" xfId="30906" xr:uid="{2219DE05-D85F-4E85-83FD-BA1CC929FE9D}"/>
    <cellStyle name="Normal 4 2 5 2 3 3 3" xfId="22465" xr:uid="{F98049DA-1B14-4D66-AEE9-110A76D43B83}"/>
    <cellStyle name="Normal 4 2 5 2 3 3 4" xfId="14017" xr:uid="{5B79B190-F1E8-44C0-A13E-3370C9D0D5C7}"/>
    <cellStyle name="Normal 4 2 5 2 3 4" xfId="26688" xr:uid="{E2FC89DA-2952-4806-A6B1-6978138EB3F2}"/>
    <cellStyle name="Normal 4 2 5 2 3 5" xfId="18247" xr:uid="{2A73A05A-1E1E-480A-939D-A97E8C404971}"/>
    <cellStyle name="Normal 4 2 5 2 3 6" xfId="9799" xr:uid="{587FBE6D-C876-4E04-B042-0C637D30CE17}"/>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33464" xr:uid="{57D6054A-F272-4C0F-8498-E9B8E6A2612A}"/>
    <cellStyle name="Normal 4 2 5 2 4 2 2 3" xfId="25023" xr:uid="{914AE55D-C94D-482F-8F17-669CAE1A8ECA}"/>
    <cellStyle name="Normal 4 2 5 2 4 2 2 4" xfId="16575" xr:uid="{47BB0142-2CAA-4A54-8E42-27A2C21495D8}"/>
    <cellStyle name="Normal 4 2 5 2 4 2 3" xfId="29246" xr:uid="{7FD53404-A979-4533-8089-14CB3E6D5D93}"/>
    <cellStyle name="Normal 4 2 5 2 4 2 4" xfId="20805" xr:uid="{B5C6FD7E-CFE5-4121-A3F8-5D97E44EFEB1}"/>
    <cellStyle name="Normal 4 2 5 2 4 2 5" xfId="12357" xr:uid="{14A199C1-F82F-4C01-9DFD-CE9933F7D6D4}"/>
    <cellStyle name="Normal 4 2 5 2 4 3" xfId="5980" xr:uid="{00000000-0005-0000-0000-0000D8130000}"/>
    <cellStyle name="Normal 4 2 5 2 4 3 2" xfId="31319" xr:uid="{D38EA083-4B3D-4C3B-9747-3C2EC6E9125D}"/>
    <cellStyle name="Normal 4 2 5 2 4 3 3" xfId="22878" xr:uid="{EF787838-53DD-4B06-BF36-10A4B548D515}"/>
    <cellStyle name="Normal 4 2 5 2 4 3 4" xfId="14430" xr:uid="{3BFA9A44-9065-442D-9900-D72523E1E02F}"/>
    <cellStyle name="Normal 4 2 5 2 4 4" xfId="27101" xr:uid="{F20BF067-A483-4273-BDF8-55F86E23EF44}"/>
    <cellStyle name="Normal 4 2 5 2 4 5" xfId="18660" xr:uid="{7C4D55D6-9034-4918-B985-222B1D45A358}"/>
    <cellStyle name="Normal 4 2 5 2 4 6" xfId="10212" xr:uid="{B3047479-7384-414A-927E-39705D94DFA3}"/>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33877" xr:uid="{1D68C513-7261-4112-93CE-826D8AA64329}"/>
    <cellStyle name="Normal 4 2 5 2 5 2 2 3" xfId="25436" xr:uid="{8C2EE0FD-292E-470F-A8CD-0277F5BC85E1}"/>
    <cellStyle name="Normal 4 2 5 2 5 2 2 4" xfId="16988" xr:uid="{9730A787-F7E3-4730-9EC2-FA67B8299E1C}"/>
    <cellStyle name="Normal 4 2 5 2 5 2 3" xfId="29659" xr:uid="{A6D4F700-BDAD-4A12-878F-CDF3FA6FAC31}"/>
    <cellStyle name="Normal 4 2 5 2 5 2 4" xfId="21218" xr:uid="{BC328CFD-A6B2-44B8-9420-EC4A0156D343}"/>
    <cellStyle name="Normal 4 2 5 2 5 2 5" xfId="12770" xr:uid="{D77D2ECD-7C24-49ED-B41D-D7BD61E3A370}"/>
    <cellStyle name="Normal 4 2 5 2 5 3" xfId="6393" xr:uid="{00000000-0005-0000-0000-0000DC130000}"/>
    <cellStyle name="Normal 4 2 5 2 5 3 2" xfId="31732" xr:uid="{C6681015-A201-493F-AE0E-A6DE68D289EC}"/>
    <cellStyle name="Normal 4 2 5 2 5 3 3" xfId="23291" xr:uid="{00969EF5-2548-4589-AA51-E30DC0A2F85E}"/>
    <cellStyle name="Normal 4 2 5 2 5 3 4" xfId="14843" xr:uid="{069E9D7E-1A24-4BC4-B84A-F6DBDF98F966}"/>
    <cellStyle name="Normal 4 2 5 2 5 4" xfId="27514" xr:uid="{060A3178-928E-4CAD-9328-7BD50626BB13}"/>
    <cellStyle name="Normal 4 2 5 2 5 5" xfId="19073" xr:uid="{0F392467-C384-4806-85AC-53EB209FDC92}"/>
    <cellStyle name="Normal 4 2 5 2 5 6" xfId="10625" xr:uid="{847EDAEA-4811-4378-859D-D4E517C90F53}"/>
    <cellStyle name="Normal 4 2 5 2 6" xfId="2523" xr:uid="{00000000-0005-0000-0000-0000DD130000}"/>
    <cellStyle name="Normal 4 2 5 2 6 2" xfId="6806" xr:uid="{00000000-0005-0000-0000-0000DE130000}"/>
    <cellStyle name="Normal 4 2 5 2 6 2 2" xfId="32145" xr:uid="{81649F3F-5274-4130-A3E0-E8E29ED1559A}"/>
    <cellStyle name="Normal 4 2 5 2 6 2 3" xfId="23704" xr:uid="{68236060-63EA-403F-92CD-8890C0873531}"/>
    <cellStyle name="Normal 4 2 5 2 6 2 4" xfId="15256" xr:uid="{4810BBBC-D31F-4F45-8020-6E8DD0179AA9}"/>
    <cellStyle name="Normal 4 2 5 2 6 3" xfId="27927" xr:uid="{3205FCB7-8E8B-42B8-93E5-4DC11925B36A}"/>
    <cellStyle name="Normal 4 2 5 2 6 4" xfId="19486" xr:uid="{C087842A-FAC2-44EA-B815-A3ACE8530813}"/>
    <cellStyle name="Normal 4 2 5 2 6 5" xfId="11038" xr:uid="{0EC1B6A0-AF67-411C-BA73-A50F2A812FB8}"/>
    <cellStyle name="Normal 4 2 5 2 7" xfId="4741" xr:uid="{00000000-0005-0000-0000-0000DF130000}"/>
    <cellStyle name="Normal 4 2 5 2 7 2" xfId="30080" xr:uid="{850EC52C-E453-4252-B516-3AC25C74B02A}"/>
    <cellStyle name="Normal 4 2 5 2 7 3" xfId="21639" xr:uid="{60B78A1D-CBC1-4892-9591-F0EEA782B17F}"/>
    <cellStyle name="Normal 4 2 5 2 7 4" xfId="13191" xr:uid="{A5AE832D-E359-43EC-8F3A-D497687CFFBD}"/>
    <cellStyle name="Normal 4 2 5 2 8" xfId="25862" xr:uid="{D6FD8901-BDE6-4C01-B460-3C903A58D672}"/>
    <cellStyle name="Normal 4 2 5 2 9" xfId="17421" xr:uid="{CD406321-AA34-4B25-BBA9-08959D01546C}"/>
    <cellStyle name="Normal 4 2 5 3" xfId="839" xr:uid="{00000000-0005-0000-0000-0000E0130000}"/>
    <cellStyle name="Normal 4 2 5 3 2" xfId="3076" xr:uid="{00000000-0005-0000-0000-0000E1130000}"/>
    <cellStyle name="Normal 4 2 5 3 2 2" xfId="7298" xr:uid="{00000000-0005-0000-0000-0000E2130000}"/>
    <cellStyle name="Normal 4 2 5 3 2 2 2" xfId="32637" xr:uid="{FF1BFA02-00A1-4236-BB6A-64B089A94345}"/>
    <cellStyle name="Normal 4 2 5 3 2 2 3" xfId="24196" xr:uid="{7D6F643D-4E8D-4A7B-B917-CA233CE42744}"/>
    <cellStyle name="Normal 4 2 5 3 2 2 4" xfId="15748" xr:uid="{0E6134DB-8C6E-46FE-937D-40B727904A5F}"/>
    <cellStyle name="Normal 4 2 5 3 2 3" xfId="28419" xr:uid="{30163744-CF1E-43F5-9576-155A694DD902}"/>
    <cellStyle name="Normal 4 2 5 3 2 4" xfId="19978" xr:uid="{39FA021B-9B25-48BF-8D2B-61DF82CB3624}"/>
    <cellStyle name="Normal 4 2 5 3 2 5" xfId="11530" xr:uid="{894D04F8-3279-4F0F-87EA-EC93D30419E4}"/>
    <cellStyle name="Normal 4 2 5 3 3" xfId="5153" xr:uid="{00000000-0005-0000-0000-0000E3130000}"/>
    <cellStyle name="Normal 4 2 5 3 3 2" xfId="30492" xr:uid="{DC00F627-F17B-4630-8F79-15AC23347D0B}"/>
    <cellStyle name="Normal 4 2 5 3 3 3" xfId="22051" xr:uid="{65987665-E916-4379-944C-58B735483D45}"/>
    <cellStyle name="Normal 4 2 5 3 3 4" xfId="13603" xr:uid="{2E60A739-3F5D-498F-A46B-DD93A4001A45}"/>
    <cellStyle name="Normal 4 2 5 3 4" xfId="26274" xr:uid="{ED0669C7-A88D-4C8B-B775-4BC76078284D}"/>
    <cellStyle name="Normal 4 2 5 3 5" xfId="17833" xr:uid="{ECB15328-D1F1-4552-BB10-A4A8C07D10B0}"/>
    <cellStyle name="Normal 4 2 5 3 6" xfId="9385" xr:uid="{64EBF3ED-A769-4872-9476-DE2AEBD9B49F}"/>
    <cellStyle name="Normal 4 2 5 4" xfId="1259" xr:uid="{00000000-0005-0000-0000-0000E4130000}"/>
    <cellStyle name="Normal 4 2 5 4 2" xfId="3489" xr:uid="{00000000-0005-0000-0000-0000E5130000}"/>
    <cellStyle name="Normal 4 2 5 4 2 2" xfId="7711" xr:uid="{00000000-0005-0000-0000-0000E6130000}"/>
    <cellStyle name="Normal 4 2 5 4 2 2 2" xfId="33050" xr:uid="{BD70E8F0-E3AE-44F9-B640-563F54EEDBA3}"/>
    <cellStyle name="Normal 4 2 5 4 2 2 3" xfId="24609" xr:uid="{02E5E2AF-2F59-4DBF-B56A-E2D64A6B788A}"/>
    <cellStyle name="Normal 4 2 5 4 2 2 4" xfId="16161" xr:uid="{A92AF970-53CF-48C4-B269-F4D94AC48421}"/>
    <cellStyle name="Normal 4 2 5 4 2 3" xfId="28832" xr:uid="{EF3C7D89-77F6-4F09-AE98-8AEAAABAAA17}"/>
    <cellStyle name="Normal 4 2 5 4 2 4" xfId="20391" xr:uid="{D2D6E51C-3B17-41FE-B865-78647467756D}"/>
    <cellStyle name="Normal 4 2 5 4 2 5" xfId="11943" xr:uid="{A8160752-91A5-466A-A75A-0F94381DDF2D}"/>
    <cellStyle name="Normal 4 2 5 4 3" xfId="5566" xr:uid="{00000000-0005-0000-0000-0000E7130000}"/>
    <cellStyle name="Normal 4 2 5 4 3 2" xfId="30905" xr:uid="{03B05042-30C6-4E00-B98F-7CF680409A92}"/>
    <cellStyle name="Normal 4 2 5 4 3 3" xfId="22464" xr:uid="{C0E2E259-8D0C-407C-9008-7CC016A428F2}"/>
    <cellStyle name="Normal 4 2 5 4 3 4" xfId="14016" xr:uid="{07650EE8-7DE1-4B58-92FB-A46D7501CD42}"/>
    <cellStyle name="Normal 4 2 5 4 4" xfId="26687" xr:uid="{AF7A81DF-24EA-478F-8C7B-8EE14B591475}"/>
    <cellStyle name="Normal 4 2 5 4 5" xfId="18246" xr:uid="{0C80CE39-E85B-4D16-89C2-16E5D5C85B55}"/>
    <cellStyle name="Normal 4 2 5 4 6" xfId="9798" xr:uid="{04BA89BF-67DC-48E8-8823-80A47AF6F37D}"/>
    <cellStyle name="Normal 4 2 5 5" xfId="1672" xr:uid="{00000000-0005-0000-0000-0000E8130000}"/>
    <cellStyle name="Normal 4 2 5 5 2" xfId="3902" xr:uid="{00000000-0005-0000-0000-0000E9130000}"/>
    <cellStyle name="Normal 4 2 5 5 2 2" xfId="8124" xr:uid="{00000000-0005-0000-0000-0000EA130000}"/>
    <cellStyle name="Normal 4 2 5 5 2 2 2" xfId="33463" xr:uid="{E724637A-FC81-4C32-98C3-E3B95A0DCDD7}"/>
    <cellStyle name="Normal 4 2 5 5 2 2 3" xfId="25022" xr:uid="{F1EF6CE3-2E15-4AE4-8838-3514C5AA706E}"/>
    <cellStyle name="Normal 4 2 5 5 2 2 4" xfId="16574" xr:uid="{30AA15D0-184E-453F-9C5B-B9F596B8D84B}"/>
    <cellStyle name="Normal 4 2 5 5 2 3" xfId="29245" xr:uid="{2BFB5454-34DB-47FB-8AD1-DB1C4931E650}"/>
    <cellStyle name="Normal 4 2 5 5 2 4" xfId="20804" xr:uid="{D9865201-04BB-4BBA-91D4-FB375808BD04}"/>
    <cellStyle name="Normal 4 2 5 5 2 5" xfId="12356" xr:uid="{BC862502-7DF9-4E9E-87D0-8F714D88F398}"/>
    <cellStyle name="Normal 4 2 5 5 3" xfId="5979" xr:uid="{00000000-0005-0000-0000-0000EB130000}"/>
    <cellStyle name="Normal 4 2 5 5 3 2" xfId="31318" xr:uid="{F9EC7DF6-6268-47E8-AD79-9E6942B256ED}"/>
    <cellStyle name="Normal 4 2 5 5 3 3" xfId="22877" xr:uid="{D3226E67-B140-4BE9-944F-D6C474DE1ABF}"/>
    <cellStyle name="Normal 4 2 5 5 3 4" xfId="14429" xr:uid="{FB4D5D53-356D-47DD-AAE5-F3F8FDEF79A0}"/>
    <cellStyle name="Normal 4 2 5 5 4" xfId="27100" xr:uid="{9D9186CF-B536-4790-AD68-F75EF4E2F2E5}"/>
    <cellStyle name="Normal 4 2 5 5 5" xfId="18659" xr:uid="{4688AED3-0D91-48DC-B477-F8DDD5066B4D}"/>
    <cellStyle name="Normal 4 2 5 5 6" xfId="10211" xr:uid="{D0FC5ADB-79B2-4FD3-B957-9646A384D5A1}"/>
    <cellStyle name="Normal 4 2 5 6" xfId="2086" xr:uid="{00000000-0005-0000-0000-0000EC130000}"/>
    <cellStyle name="Normal 4 2 5 6 2" xfId="4315" xr:uid="{00000000-0005-0000-0000-0000ED130000}"/>
    <cellStyle name="Normal 4 2 5 6 2 2" xfId="8537" xr:uid="{00000000-0005-0000-0000-0000EE130000}"/>
    <cellStyle name="Normal 4 2 5 6 2 2 2" xfId="33876" xr:uid="{CDAF7F12-43B9-4DEE-8F2D-72959E3BAAAB}"/>
    <cellStyle name="Normal 4 2 5 6 2 2 3" xfId="25435" xr:uid="{23E66A00-284A-44F1-9F31-B2E53EBDF624}"/>
    <cellStyle name="Normal 4 2 5 6 2 2 4" xfId="16987" xr:uid="{EE1E0D7D-E9AD-46D3-BA1D-9F2180B4A4AF}"/>
    <cellStyle name="Normal 4 2 5 6 2 3" xfId="29658" xr:uid="{25913285-9665-46DB-837E-77B62FD5F126}"/>
    <cellStyle name="Normal 4 2 5 6 2 4" xfId="21217" xr:uid="{BA6F5E00-ABC1-4D63-9C07-13170C26CD97}"/>
    <cellStyle name="Normal 4 2 5 6 2 5" xfId="12769" xr:uid="{DC5DAF7B-2C16-418A-AC52-908FABD85A0F}"/>
    <cellStyle name="Normal 4 2 5 6 3" xfId="6392" xr:uid="{00000000-0005-0000-0000-0000EF130000}"/>
    <cellStyle name="Normal 4 2 5 6 3 2" xfId="31731" xr:uid="{059DB7A9-BE27-4FD0-829E-E176AEF0DDBC}"/>
    <cellStyle name="Normal 4 2 5 6 3 3" xfId="23290" xr:uid="{B1CBE362-BA4A-45B1-AC84-543412079569}"/>
    <cellStyle name="Normal 4 2 5 6 3 4" xfId="14842" xr:uid="{2AE8CF74-935D-4FF1-810E-DDA661449750}"/>
    <cellStyle name="Normal 4 2 5 6 4" xfId="27513" xr:uid="{686A5FEC-E4BF-4FA9-A3D2-2B6E0DF813D7}"/>
    <cellStyle name="Normal 4 2 5 6 5" xfId="19072" xr:uid="{6619DE63-0A7F-4E85-B6AD-6A72D48D5A69}"/>
    <cellStyle name="Normal 4 2 5 6 6" xfId="10624" xr:uid="{A98BF539-B778-4932-9FC3-8D94371A5BCC}"/>
    <cellStyle name="Normal 4 2 5 7" xfId="2522" xr:uid="{00000000-0005-0000-0000-0000F0130000}"/>
    <cellStyle name="Normal 4 2 5 7 2" xfId="6805" xr:uid="{00000000-0005-0000-0000-0000F1130000}"/>
    <cellStyle name="Normal 4 2 5 7 2 2" xfId="32144" xr:uid="{998A3FDF-4D09-44D1-AA26-B7D7725EF0D5}"/>
    <cellStyle name="Normal 4 2 5 7 2 3" xfId="23703" xr:uid="{FC107A3E-00F4-4790-A272-201CC4F18F6F}"/>
    <cellStyle name="Normal 4 2 5 7 2 4" xfId="15255" xr:uid="{1273CC39-04D8-4FFD-866C-48ABAA4D73A5}"/>
    <cellStyle name="Normal 4 2 5 7 3" xfId="27926" xr:uid="{8DDDB1FC-D64A-40CA-A9B3-98AB51A27692}"/>
    <cellStyle name="Normal 4 2 5 7 4" xfId="19485" xr:uid="{3599A160-722A-406A-8D37-63512E34BBBA}"/>
    <cellStyle name="Normal 4 2 5 7 5" xfId="11037" xr:uid="{26CCC13A-A03D-4BAA-AD0C-B19EC4292C00}"/>
    <cellStyle name="Normal 4 2 5 8" xfId="4740" xr:uid="{00000000-0005-0000-0000-0000F2130000}"/>
    <cellStyle name="Normal 4 2 5 8 2" xfId="30079" xr:uid="{02D03208-4770-40F3-9C6F-6CB7F1BBB2D7}"/>
    <cellStyle name="Normal 4 2 5 8 3" xfId="21638" xr:uid="{86E11F55-7E75-4DEE-BE1B-3F11D3E2ADEE}"/>
    <cellStyle name="Normal 4 2 5 8 4" xfId="13190" xr:uid="{87988855-2BFA-4DFF-AE55-5C274C672039}"/>
    <cellStyle name="Normal 4 2 5 9" xfId="25861" xr:uid="{7FDB94E6-94B1-44CE-ADB0-53472E651916}"/>
    <cellStyle name="Normal 4 2 6" xfId="365" xr:uid="{00000000-0005-0000-0000-0000F3130000}"/>
    <cellStyle name="Normal 4 2 6 10" xfId="8974" xr:uid="{09FFB9DB-3752-4636-91E8-9E9EB4618CED}"/>
    <cellStyle name="Normal 4 2 6 2" xfId="841" xr:uid="{00000000-0005-0000-0000-0000F4130000}"/>
    <cellStyle name="Normal 4 2 6 2 2" xfId="3078" xr:uid="{00000000-0005-0000-0000-0000F5130000}"/>
    <cellStyle name="Normal 4 2 6 2 2 2" xfId="7300" xr:uid="{00000000-0005-0000-0000-0000F6130000}"/>
    <cellStyle name="Normal 4 2 6 2 2 2 2" xfId="32639" xr:uid="{D6FFB42C-39FB-4971-8834-CCCEA5226BBB}"/>
    <cellStyle name="Normal 4 2 6 2 2 2 3" xfId="24198" xr:uid="{50D408AF-31B3-4BD6-93AC-2BED120228E7}"/>
    <cellStyle name="Normal 4 2 6 2 2 2 4" xfId="15750" xr:uid="{F78FD1FE-3966-403C-87BC-6D8CF44E39AB}"/>
    <cellStyle name="Normal 4 2 6 2 2 3" xfId="28421" xr:uid="{24B1D87F-1C70-47D5-9DE5-8E98150DD325}"/>
    <cellStyle name="Normal 4 2 6 2 2 4" xfId="19980" xr:uid="{79B6BBB0-30A0-4879-B682-86BAE9F67D5F}"/>
    <cellStyle name="Normal 4 2 6 2 2 5" xfId="11532" xr:uid="{95D2CAF8-3694-4281-B562-C0D975414A53}"/>
    <cellStyle name="Normal 4 2 6 2 3" xfId="5155" xr:uid="{00000000-0005-0000-0000-0000F7130000}"/>
    <cellStyle name="Normal 4 2 6 2 3 2" xfId="30494" xr:uid="{ACF24880-E4AD-4E43-93E9-DF70C7704766}"/>
    <cellStyle name="Normal 4 2 6 2 3 3" xfId="22053" xr:uid="{B382FC80-5022-4AA2-ADF3-FCDDEABE15AF}"/>
    <cellStyle name="Normal 4 2 6 2 3 4" xfId="13605" xr:uid="{DB142D44-3909-440A-8E55-8595B31DD09D}"/>
    <cellStyle name="Normal 4 2 6 2 4" xfId="26276" xr:uid="{60B36FDA-46D2-4F12-8C77-D1BF016CAA6B}"/>
    <cellStyle name="Normal 4 2 6 2 5" xfId="17835" xr:uid="{18601B77-2D1D-4FFF-8F0A-E43F4CBC394B}"/>
    <cellStyle name="Normal 4 2 6 2 6" xfId="9387" xr:uid="{A1E69A70-8DCF-429D-AA53-ACE4B055B1BF}"/>
    <cellStyle name="Normal 4 2 6 3" xfId="1261" xr:uid="{00000000-0005-0000-0000-0000F8130000}"/>
    <cellStyle name="Normal 4 2 6 3 2" xfId="3491" xr:uid="{00000000-0005-0000-0000-0000F9130000}"/>
    <cellStyle name="Normal 4 2 6 3 2 2" xfId="7713" xr:uid="{00000000-0005-0000-0000-0000FA130000}"/>
    <cellStyle name="Normal 4 2 6 3 2 2 2" xfId="33052" xr:uid="{0EEE4D50-810A-498A-844B-2C186691BBCB}"/>
    <cellStyle name="Normal 4 2 6 3 2 2 3" xfId="24611" xr:uid="{63CD3A01-42A3-4C62-9D53-37CDC278A2D9}"/>
    <cellStyle name="Normal 4 2 6 3 2 2 4" xfId="16163" xr:uid="{FF7E865F-E7E9-47FF-87B6-CF98089F46F1}"/>
    <cellStyle name="Normal 4 2 6 3 2 3" xfId="28834" xr:uid="{1D4E6708-DFE3-4527-8A47-8FB481FDA215}"/>
    <cellStyle name="Normal 4 2 6 3 2 4" xfId="20393" xr:uid="{F7FDFECC-7DF2-42C5-9E2D-1B19F7D69B58}"/>
    <cellStyle name="Normal 4 2 6 3 2 5" xfId="11945" xr:uid="{9393B321-26AE-498F-83B7-4AC33599E74C}"/>
    <cellStyle name="Normal 4 2 6 3 3" xfId="5568" xr:uid="{00000000-0005-0000-0000-0000FB130000}"/>
    <cellStyle name="Normal 4 2 6 3 3 2" xfId="30907" xr:uid="{AF598A5F-8E6A-45F5-9280-7A1576C4436A}"/>
    <cellStyle name="Normal 4 2 6 3 3 3" xfId="22466" xr:uid="{3FB8B870-6D34-4A95-A7EA-98C53C01FFD0}"/>
    <cellStyle name="Normal 4 2 6 3 3 4" xfId="14018" xr:uid="{11092BDA-817F-4DD0-9448-DAFD911AF7F1}"/>
    <cellStyle name="Normal 4 2 6 3 4" xfId="26689" xr:uid="{37C681BD-F420-430E-ABBB-9A6FDDC865AE}"/>
    <cellStyle name="Normal 4 2 6 3 5" xfId="18248" xr:uid="{4F8A75A7-CBE6-4B6C-9D3E-E21F659921B3}"/>
    <cellStyle name="Normal 4 2 6 3 6" xfId="9800" xr:uid="{E24FC33A-181A-43B3-A5A7-5127A936A7B8}"/>
    <cellStyle name="Normal 4 2 6 4" xfId="1674" xr:uid="{00000000-0005-0000-0000-0000FC130000}"/>
    <cellStyle name="Normal 4 2 6 4 2" xfId="3904" xr:uid="{00000000-0005-0000-0000-0000FD130000}"/>
    <cellStyle name="Normal 4 2 6 4 2 2" xfId="8126" xr:uid="{00000000-0005-0000-0000-0000FE130000}"/>
    <cellStyle name="Normal 4 2 6 4 2 2 2" xfId="33465" xr:uid="{FF728C6B-E66C-468D-9C56-018F17ABD770}"/>
    <cellStyle name="Normal 4 2 6 4 2 2 3" xfId="25024" xr:uid="{0C9495F4-6AF9-4018-A2DD-299368C9FE57}"/>
    <cellStyle name="Normal 4 2 6 4 2 2 4" xfId="16576" xr:uid="{83D8FA62-E253-416A-9D18-577500A081DC}"/>
    <cellStyle name="Normal 4 2 6 4 2 3" xfId="29247" xr:uid="{6A4B42E4-DA01-4D50-AE0D-185D3EDE375E}"/>
    <cellStyle name="Normal 4 2 6 4 2 4" xfId="20806" xr:uid="{B84E8F2B-2CA0-4FE0-900F-1C8973281AD6}"/>
    <cellStyle name="Normal 4 2 6 4 2 5" xfId="12358" xr:uid="{AD563A20-4C21-4C71-8681-680700CD0231}"/>
    <cellStyle name="Normal 4 2 6 4 3" xfId="5981" xr:uid="{00000000-0005-0000-0000-0000FF130000}"/>
    <cellStyle name="Normal 4 2 6 4 3 2" xfId="31320" xr:uid="{1DC7422F-A7B0-48B8-A33A-D36199C86FD7}"/>
    <cellStyle name="Normal 4 2 6 4 3 3" xfId="22879" xr:uid="{C3293FC0-DEDB-4B0F-9FD2-18BD1EF949D3}"/>
    <cellStyle name="Normal 4 2 6 4 3 4" xfId="14431" xr:uid="{EADC60A5-0D01-45EA-A109-DA9EF539EF5F}"/>
    <cellStyle name="Normal 4 2 6 4 4" xfId="27102" xr:uid="{C5A585CC-B6C5-42B7-8980-C52B00F0E562}"/>
    <cellStyle name="Normal 4 2 6 4 5" xfId="18661" xr:uid="{59D90A81-9A09-4FA0-8CA7-9A0C4243FC71}"/>
    <cellStyle name="Normal 4 2 6 4 6" xfId="10213" xr:uid="{477517A6-7B52-414A-A3F3-280A6B488F21}"/>
    <cellStyle name="Normal 4 2 6 5" xfId="2088" xr:uid="{00000000-0005-0000-0000-000000140000}"/>
    <cellStyle name="Normal 4 2 6 5 2" xfId="4317" xr:uid="{00000000-0005-0000-0000-000001140000}"/>
    <cellStyle name="Normal 4 2 6 5 2 2" xfId="8539" xr:uid="{00000000-0005-0000-0000-000002140000}"/>
    <cellStyle name="Normal 4 2 6 5 2 2 2" xfId="33878" xr:uid="{880814BB-CA42-4EBD-93D2-25E23F3936B1}"/>
    <cellStyle name="Normal 4 2 6 5 2 2 3" xfId="25437" xr:uid="{4C2C9173-EF9C-4633-AC15-4E23A1CE4B55}"/>
    <cellStyle name="Normal 4 2 6 5 2 2 4" xfId="16989" xr:uid="{7C26E842-2847-41FD-A656-4841A3C19E1D}"/>
    <cellStyle name="Normal 4 2 6 5 2 3" xfId="29660" xr:uid="{9E7BB18A-E270-46A0-B452-307843DAE55C}"/>
    <cellStyle name="Normal 4 2 6 5 2 4" xfId="21219" xr:uid="{1634CC45-499E-4AAD-B0D2-B90F54C183D2}"/>
    <cellStyle name="Normal 4 2 6 5 2 5" xfId="12771" xr:uid="{BA4D639A-A78F-4B0B-81DD-A88AA746723A}"/>
    <cellStyle name="Normal 4 2 6 5 3" xfId="6394" xr:uid="{00000000-0005-0000-0000-000003140000}"/>
    <cellStyle name="Normal 4 2 6 5 3 2" xfId="31733" xr:uid="{345194B8-6BCC-4EAC-9F55-73B3E5E176E2}"/>
    <cellStyle name="Normal 4 2 6 5 3 3" xfId="23292" xr:uid="{08A28C54-F43D-49B2-A69C-F43F34C3E739}"/>
    <cellStyle name="Normal 4 2 6 5 3 4" xfId="14844" xr:uid="{7B3956E1-66BC-454D-B771-92916F32AD7A}"/>
    <cellStyle name="Normal 4 2 6 5 4" xfId="27515" xr:uid="{BA75B37D-6ABA-4679-AAFA-CA3F5944504E}"/>
    <cellStyle name="Normal 4 2 6 5 5" xfId="19074" xr:uid="{F0769684-70DB-457E-BB48-5CAC461996D3}"/>
    <cellStyle name="Normal 4 2 6 5 6" xfId="10626" xr:uid="{7938E3C7-6EB9-4D7E-9F80-EABA3440F96D}"/>
    <cellStyle name="Normal 4 2 6 6" xfId="2524" xr:uid="{00000000-0005-0000-0000-000004140000}"/>
    <cellStyle name="Normal 4 2 6 6 2" xfId="6807" xr:uid="{00000000-0005-0000-0000-000005140000}"/>
    <cellStyle name="Normal 4 2 6 6 2 2" xfId="32146" xr:uid="{6397A71A-10DD-4EC8-BA55-E405D0D08011}"/>
    <cellStyle name="Normal 4 2 6 6 2 3" xfId="23705" xr:uid="{C1E6EDB8-A2F6-481D-AF99-ABD17BA00393}"/>
    <cellStyle name="Normal 4 2 6 6 2 4" xfId="15257" xr:uid="{573AD883-9FDE-4421-A1ED-E769B77E5095}"/>
    <cellStyle name="Normal 4 2 6 6 3" xfId="27928" xr:uid="{0F75C20A-E0AD-4532-BA76-62ED27550CE8}"/>
    <cellStyle name="Normal 4 2 6 6 4" xfId="19487" xr:uid="{836282EA-5A0A-429B-9C00-F6289030DFB3}"/>
    <cellStyle name="Normal 4 2 6 6 5" xfId="11039" xr:uid="{8D5C3401-DC63-41C0-8F72-FAA0FB9D6C01}"/>
    <cellStyle name="Normal 4 2 6 7" xfId="4742" xr:uid="{00000000-0005-0000-0000-000006140000}"/>
    <cellStyle name="Normal 4 2 6 7 2" xfId="30081" xr:uid="{1D9C41E1-9BFB-4A47-AAE6-8D73B736575C}"/>
    <cellStyle name="Normal 4 2 6 7 3" xfId="21640" xr:uid="{F7A67A4E-EFF7-488E-8438-ACBF98E57F09}"/>
    <cellStyle name="Normal 4 2 6 7 4" xfId="13192" xr:uid="{30656DB7-6D15-4390-8A4F-80C9792EA515}"/>
    <cellStyle name="Normal 4 2 6 8" xfId="25863" xr:uid="{F8C62C5F-435C-43BE-B89C-74B246A56DEC}"/>
    <cellStyle name="Normal 4 2 6 9" xfId="17422" xr:uid="{4D17761B-B8B3-4899-A5DC-14B48030FC0E}"/>
    <cellStyle name="Normal 4 3" xfId="366" xr:uid="{00000000-0005-0000-0000-000007140000}"/>
    <cellStyle name="Normal 4 3 10" xfId="25864" xr:uid="{3FB1DBAA-954C-4D29-AAC0-5D9F5893C080}"/>
    <cellStyle name="Normal 4 3 11" xfId="17423" xr:uid="{BD0A2466-A538-427B-822B-C62EC6B77D9C}"/>
    <cellStyle name="Normal 4 3 12" xfId="8975" xr:uid="{E47B9B1B-1725-41C5-AFB6-0DEE9EB9B98F}"/>
    <cellStyle name="Normal 4 3 2" xfId="367" xr:uid="{00000000-0005-0000-0000-000008140000}"/>
    <cellStyle name="Normal 4 3 2 2" xfId="368" xr:uid="{00000000-0005-0000-0000-000009140000}"/>
    <cellStyle name="Normal 4 3 2 2 2" xfId="369" xr:uid="{00000000-0005-0000-0000-00000A140000}"/>
    <cellStyle name="Normal 4 3 2 2 2 10" xfId="25865" xr:uid="{196D9421-44D3-49B3-B356-3EC91F571786}"/>
    <cellStyle name="Normal 4 3 2 2 2 11" xfId="17424" xr:uid="{9A4DD888-2525-4A3A-995F-D4467ACFF09E}"/>
    <cellStyle name="Normal 4 3 2 2 2 12" xfId="8976" xr:uid="{773DBDA5-059E-432E-A67C-445A6D8647D9}"/>
    <cellStyle name="Normal 4 3 2 2 2 2" xfId="370" xr:uid="{00000000-0005-0000-0000-00000B140000}"/>
    <cellStyle name="Normal 4 3 2 2 2 2 10" xfId="17425" xr:uid="{4CADCBC5-AD30-4780-9C5F-104DC4F0C0AF}"/>
    <cellStyle name="Normal 4 3 2 2 2 2 11" xfId="8977" xr:uid="{0C4D3911-85AC-455C-8C35-EAFA327DAA1E}"/>
    <cellStyle name="Normal 4 3 2 2 2 2 2" xfId="371" xr:uid="{00000000-0005-0000-0000-00000C140000}"/>
    <cellStyle name="Normal 4 3 2 2 2 2 2 10" xfId="8978" xr:uid="{4D66716E-C5BE-472A-960F-ABD7B57FF3AD}"/>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32643" xr:uid="{25FB791B-5894-45C7-8F86-9DEB1B5FC6EE}"/>
    <cellStyle name="Normal 4 3 2 2 2 2 2 2 2 2 3" xfId="24202" xr:uid="{01C36FE5-AAE0-4AC2-9613-BD98C58AB79A}"/>
    <cellStyle name="Normal 4 3 2 2 2 2 2 2 2 2 4" xfId="15754" xr:uid="{003EBD08-0791-404E-B0A3-9C922BAEB308}"/>
    <cellStyle name="Normal 4 3 2 2 2 2 2 2 2 3" xfId="28425" xr:uid="{57FA3D1E-28AA-42A2-9547-E782FF28E1A9}"/>
    <cellStyle name="Normal 4 3 2 2 2 2 2 2 2 4" xfId="19984" xr:uid="{3F63B3A7-BA49-482C-83C4-CC1C3AC01585}"/>
    <cellStyle name="Normal 4 3 2 2 2 2 2 2 2 5" xfId="11536" xr:uid="{AA29F7A1-4187-40A1-A801-CFB291324599}"/>
    <cellStyle name="Normal 4 3 2 2 2 2 2 2 3" xfId="5159" xr:uid="{00000000-0005-0000-0000-000010140000}"/>
    <cellStyle name="Normal 4 3 2 2 2 2 2 2 3 2" xfId="30498" xr:uid="{182B8BDA-CE34-4774-9CC4-75DC8972333A}"/>
    <cellStyle name="Normal 4 3 2 2 2 2 2 2 3 3" xfId="22057" xr:uid="{0053136B-797E-4006-8CF5-9AC9FAAD20C0}"/>
    <cellStyle name="Normal 4 3 2 2 2 2 2 2 3 4" xfId="13609" xr:uid="{89EB8AFA-E871-4617-92B4-B025E1EC0E11}"/>
    <cellStyle name="Normal 4 3 2 2 2 2 2 2 4" xfId="26280" xr:uid="{8CBA8AF0-841F-4974-A5C5-2E10BA657AFB}"/>
    <cellStyle name="Normal 4 3 2 2 2 2 2 2 5" xfId="17839" xr:uid="{15BF77D1-57D6-440D-B87B-5F46E4C9D3E7}"/>
    <cellStyle name="Normal 4 3 2 2 2 2 2 2 6" xfId="9391" xr:uid="{179CF0E4-8579-4FAB-98A3-5EA834FFA351}"/>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33056" xr:uid="{22100C8D-AA94-4696-8FBF-B16438715024}"/>
    <cellStyle name="Normal 4 3 2 2 2 2 2 3 2 2 3" xfId="24615" xr:uid="{C402BA85-548C-4806-BA1A-FA710F3FF92C}"/>
    <cellStyle name="Normal 4 3 2 2 2 2 2 3 2 2 4" xfId="16167" xr:uid="{3E9715FC-8BE1-4F5D-AFF2-C45B5C58AF54}"/>
    <cellStyle name="Normal 4 3 2 2 2 2 2 3 2 3" xfId="28838" xr:uid="{E0D813F9-4905-45E9-A7AA-81B20052BCAF}"/>
    <cellStyle name="Normal 4 3 2 2 2 2 2 3 2 4" xfId="20397" xr:uid="{68797482-8EF1-4025-98E8-C26574410316}"/>
    <cellStyle name="Normal 4 3 2 2 2 2 2 3 2 5" xfId="11949" xr:uid="{F27751C6-8137-47FA-995E-1A5CEB560F1C}"/>
    <cellStyle name="Normal 4 3 2 2 2 2 2 3 3" xfId="5572" xr:uid="{00000000-0005-0000-0000-000014140000}"/>
    <cellStyle name="Normal 4 3 2 2 2 2 2 3 3 2" xfId="30911" xr:uid="{FFEFC9C2-4956-41E0-AB05-ECF41DA82669}"/>
    <cellStyle name="Normal 4 3 2 2 2 2 2 3 3 3" xfId="22470" xr:uid="{FF8BE6EA-6687-4AD4-A74F-F47B95E2343D}"/>
    <cellStyle name="Normal 4 3 2 2 2 2 2 3 3 4" xfId="14022" xr:uid="{2F40D497-29B2-49C6-A669-4F0D8BB5EF7D}"/>
    <cellStyle name="Normal 4 3 2 2 2 2 2 3 4" xfId="26693" xr:uid="{00831C50-7AF3-458B-B1D6-B44DA27BCEF9}"/>
    <cellStyle name="Normal 4 3 2 2 2 2 2 3 5" xfId="18252" xr:uid="{7CD24225-DDD6-469C-A45C-2E6561C6B72D}"/>
    <cellStyle name="Normal 4 3 2 2 2 2 2 3 6" xfId="9804" xr:uid="{4BEA9AA4-94E6-484C-9524-B7EB146D354A}"/>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33469" xr:uid="{2F5CE9B8-FA72-4CB1-B253-30D69538DF58}"/>
    <cellStyle name="Normal 4 3 2 2 2 2 2 4 2 2 3" xfId="25028" xr:uid="{FF830820-1014-4612-93A8-C40F3499903A}"/>
    <cellStyle name="Normal 4 3 2 2 2 2 2 4 2 2 4" xfId="16580" xr:uid="{72C024CF-417C-42C8-9759-6A2A883C1BA9}"/>
    <cellStyle name="Normal 4 3 2 2 2 2 2 4 2 3" xfId="29251" xr:uid="{558AECA3-03E5-4B3B-A138-6FEC4CE2191C}"/>
    <cellStyle name="Normal 4 3 2 2 2 2 2 4 2 4" xfId="20810" xr:uid="{452E0B72-1540-4A3D-95E0-B8D7B112BD11}"/>
    <cellStyle name="Normal 4 3 2 2 2 2 2 4 2 5" xfId="12362" xr:uid="{90A9E3F5-7EDF-4D0B-887F-F6C3AE640A8D}"/>
    <cellStyle name="Normal 4 3 2 2 2 2 2 4 3" xfId="5985" xr:uid="{00000000-0005-0000-0000-000018140000}"/>
    <cellStyle name="Normal 4 3 2 2 2 2 2 4 3 2" xfId="31324" xr:uid="{1A6C0CF4-B692-40B1-8BBF-AC60C21F56FC}"/>
    <cellStyle name="Normal 4 3 2 2 2 2 2 4 3 3" xfId="22883" xr:uid="{0D8D23A4-8407-499A-A2F4-888755E7CCC8}"/>
    <cellStyle name="Normal 4 3 2 2 2 2 2 4 3 4" xfId="14435" xr:uid="{2EF29431-3499-483C-9B46-B7EF2CDACF97}"/>
    <cellStyle name="Normal 4 3 2 2 2 2 2 4 4" xfId="27106" xr:uid="{49E5F6A0-6BAE-4706-A68A-0DA0E905B3DB}"/>
    <cellStyle name="Normal 4 3 2 2 2 2 2 4 5" xfId="18665" xr:uid="{9C42F2D5-5E03-4632-8070-DDA149691400}"/>
    <cellStyle name="Normal 4 3 2 2 2 2 2 4 6" xfId="10217" xr:uid="{1F3FAE7C-503E-4EC7-B44A-1BF7032551AC}"/>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33882" xr:uid="{398FE4E5-DAA4-44BF-AC19-31E4697552B7}"/>
    <cellStyle name="Normal 4 3 2 2 2 2 2 5 2 2 3" xfId="25441" xr:uid="{33BF9DA6-2335-44DC-A1FA-5C42152AFC90}"/>
    <cellStyle name="Normal 4 3 2 2 2 2 2 5 2 2 4" xfId="16993" xr:uid="{6BDE3D37-DCC4-4320-A123-792E1F749ED4}"/>
    <cellStyle name="Normal 4 3 2 2 2 2 2 5 2 3" xfId="29664" xr:uid="{3A4F8FB1-B3E5-4F3C-BED3-42AD5360B392}"/>
    <cellStyle name="Normal 4 3 2 2 2 2 2 5 2 4" xfId="21223" xr:uid="{5AFFCE4B-EE1A-44C8-B290-9725BC6F5D96}"/>
    <cellStyle name="Normal 4 3 2 2 2 2 2 5 2 5" xfId="12775" xr:uid="{39DF0D97-E747-4AB5-82BD-AC94EB2C96C8}"/>
    <cellStyle name="Normal 4 3 2 2 2 2 2 5 3" xfId="6398" xr:uid="{00000000-0005-0000-0000-00001C140000}"/>
    <cellStyle name="Normal 4 3 2 2 2 2 2 5 3 2" xfId="31737" xr:uid="{5B87CE17-E20F-4459-B219-E0486520E200}"/>
    <cellStyle name="Normal 4 3 2 2 2 2 2 5 3 3" xfId="23296" xr:uid="{6F122EE8-B619-43A7-B1CA-3DE56EE1F99B}"/>
    <cellStyle name="Normal 4 3 2 2 2 2 2 5 3 4" xfId="14848" xr:uid="{EF491C9E-3B82-49BC-93AC-8EB7988C4632}"/>
    <cellStyle name="Normal 4 3 2 2 2 2 2 5 4" xfId="27519" xr:uid="{69A86B57-4DC3-481D-99C4-BDECFEDC90D3}"/>
    <cellStyle name="Normal 4 3 2 2 2 2 2 5 5" xfId="19078" xr:uid="{E1F07AA7-6D0B-4442-AE49-1B5C03B6E96D}"/>
    <cellStyle name="Normal 4 3 2 2 2 2 2 5 6" xfId="10630" xr:uid="{E65D64DE-A599-4C44-A47A-6E518F07991B}"/>
    <cellStyle name="Normal 4 3 2 2 2 2 2 6" xfId="2528" xr:uid="{00000000-0005-0000-0000-00001D140000}"/>
    <cellStyle name="Normal 4 3 2 2 2 2 2 6 2" xfId="6811" xr:uid="{00000000-0005-0000-0000-00001E140000}"/>
    <cellStyle name="Normal 4 3 2 2 2 2 2 6 2 2" xfId="32150" xr:uid="{5614B625-8587-42AB-83E0-1DBB19FA0D4C}"/>
    <cellStyle name="Normal 4 3 2 2 2 2 2 6 2 3" xfId="23709" xr:uid="{9E8E9789-71B9-49AA-A633-EDBDFAFF4377}"/>
    <cellStyle name="Normal 4 3 2 2 2 2 2 6 2 4" xfId="15261" xr:uid="{22F321BD-7098-427D-BBE6-42BE806E82B8}"/>
    <cellStyle name="Normal 4 3 2 2 2 2 2 6 3" xfId="27932" xr:uid="{21799B0E-6544-4F16-B9BF-CFBC2E3F6960}"/>
    <cellStyle name="Normal 4 3 2 2 2 2 2 6 4" xfId="19491" xr:uid="{D86F7A0F-F48F-4656-A250-C670FCB95163}"/>
    <cellStyle name="Normal 4 3 2 2 2 2 2 6 5" xfId="11043" xr:uid="{691E13D5-2194-436F-AC49-AE37B1C522A2}"/>
    <cellStyle name="Normal 4 3 2 2 2 2 2 7" xfId="4746" xr:uid="{00000000-0005-0000-0000-00001F140000}"/>
    <cellStyle name="Normal 4 3 2 2 2 2 2 7 2" xfId="30085" xr:uid="{63D80967-56A8-4E87-9965-DCA85D59A730}"/>
    <cellStyle name="Normal 4 3 2 2 2 2 2 7 3" xfId="21644" xr:uid="{7A2D515E-9687-4BC4-BFDC-F2F18695D564}"/>
    <cellStyle name="Normal 4 3 2 2 2 2 2 7 4" xfId="13196" xr:uid="{D18EFA06-B542-402A-9111-02B549490E5C}"/>
    <cellStyle name="Normal 4 3 2 2 2 2 2 8" xfId="25867" xr:uid="{593E272E-2B25-49D7-9660-BB535A9E13A8}"/>
    <cellStyle name="Normal 4 3 2 2 2 2 2 9" xfId="17426" xr:uid="{708329A7-1E96-44CE-8F2D-32985D36A266}"/>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32642" xr:uid="{140CF517-7EA7-4A64-9D12-AAEE631668C0}"/>
    <cellStyle name="Normal 4 3 2 2 2 2 3 2 2 3" xfId="24201" xr:uid="{0ECF38AB-233D-4275-B746-EDCC0D0AC57E}"/>
    <cellStyle name="Normal 4 3 2 2 2 2 3 2 2 4" xfId="15753" xr:uid="{E8BEBBA6-3514-4627-9D4B-999F0B8E7E77}"/>
    <cellStyle name="Normal 4 3 2 2 2 2 3 2 3" xfId="28424" xr:uid="{F729CD93-5407-4B89-A2E6-EEECE7919B13}"/>
    <cellStyle name="Normal 4 3 2 2 2 2 3 2 4" xfId="19983" xr:uid="{6B0D9DF0-E4A6-4942-AC24-BA06FA87140F}"/>
    <cellStyle name="Normal 4 3 2 2 2 2 3 2 5" xfId="11535" xr:uid="{60AAA1D9-F0CB-4F21-980C-568F19E7CE5A}"/>
    <cellStyle name="Normal 4 3 2 2 2 2 3 3" xfId="5158" xr:uid="{00000000-0005-0000-0000-000023140000}"/>
    <cellStyle name="Normal 4 3 2 2 2 2 3 3 2" xfId="30497" xr:uid="{3B1CA2A2-AF06-4170-885F-6B1C855777C8}"/>
    <cellStyle name="Normal 4 3 2 2 2 2 3 3 3" xfId="22056" xr:uid="{6F2DFF8A-5BB7-4AC9-A799-BC46E2F1B89A}"/>
    <cellStyle name="Normal 4 3 2 2 2 2 3 3 4" xfId="13608" xr:uid="{433B60E9-3839-41BE-AB81-7D96BD1B2A60}"/>
    <cellStyle name="Normal 4 3 2 2 2 2 3 4" xfId="26279" xr:uid="{D80A158C-05D4-4835-B2F5-70790893BCEF}"/>
    <cellStyle name="Normal 4 3 2 2 2 2 3 5" xfId="17838" xr:uid="{117BD079-D558-44E1-A443-C4CD4BCE4FC3}"/>
    <cellStyle name="Normal 4 3 2 2 2 2 3 6" xfId="9390" xr:uid="{81B3A640-F939-49AE-87C1-5B8B09A4981A}"/>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33055" xr:uid="{F84EA825-DB99-402D-9C99-39B1200701F7}"/>
    <cellStyle name="Normal 4 3 2 2 2 2 4 2 2 3" xfId="24614" xr:uid="{40D85BD5-A3BB-420C-BCE0-57691F986C34}"/>
    <cellStyle name="Normal 4 3 2 2 2 2 4 2 2 4" xfId="16166" xr:uid="{5AF4934B-75B5-4FF6-B28B-5960DDCFECBB}"/>
    <cellStyle name="Normal 4 3 2 2 2 2 4 2 3" xfId="28837" xr:uid="{C7C6A376-E022-457F-BB22-BE2928AD110D}"/>
    <cellStyle name="Normal 4 3 2 2 2 2 4 2 4" xfId="20396" xr:uid="{FCC9E1AE-414B-4E88-819D-E023AACB9DA8}"/>
    <cellStyle name="Normal 4 3 2 2 2 2 4 2 5" xfId="11948" xr:uid="{F327A230-7264-45AC-A5CD-DC12F5583732}"/>
    <cellStyle name="Normal 4 3 2 2 2 2 4 3" xfId="5571" xr:uid="{00000000-0005-0000-0000-000027140000}"/>
    <cellStyle name="Normal 4 3 2 2 2 2 4 3 2" xfId="30910" xr:uid="{EE2443AE-5193-4675-8179-5B4061421908}"/>
    <cellStyle name="Normal 4 3 2 2 2 2 4 3 3" xfId="22469" xr:uid="{958D01D0-663D-4AA8-B377-5661EF3ED121}"/>
    <cellStyle name="Normal 4 3 2 2 2 2 4 3 4" xfId="14021" xr:uid="{E0E2EAC3-2E0C-4578-8B36-65A571E1377D}"/>
    <cellStyle name="Normal 4 3 2 2 2 2 4 4" xfId="26692" xr:uid="{4A17C50C-AA30-440E-9C26-38D3768F8958}"/>
    <cellStyle name="Normal 4 3 2 2 2 2 4 5" xfId="18251" xr:uid="{3AEAF900-6A51-4750-9129-FDC8C84E7DC6}"/>
    <cellStyle name="Normal 4 3 2 2 2 2 4 6" xfId="9803" xr:uid="{A8863FBF-8D5D-4360-88B2-1ED51BDC03B1}"/>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33468" xr:uid="{89384B6E-FDA8-4DA6-8E2A-F0C975512D63}"/>
    <cellStyle name="Normal 4 3 2 2 2 2 5 2 2 3" xfId="25027" xr:uid="{FC8AECB9-8F36-4F22-8E01-1D039A055887}"/>
    <cellStyle name="Normal 4 3 2 2 2 2 5 2 2 4" xfId="16579" xr:uid="{FEC62ECA-75DC-4F82-8DFB-F4BD56035715}"/>
    <cellStyle name="Normal 4 3 2 2 2 2 5 2 3" xfId="29250" xr:uid="{BD99FD18-2A6C-435D-8136-6F0BCE1D6D24}"/>
    <cellStyle name="Normal 4 3 2 2 2 2 5 2 4" xfId="20809" xr:uid="{54F6FF1C-2A70-4EC6-A548-B6B48BB5895E}"/>
    <cellStyle name="Normal 4 3 2 2 2 2 5 2 5" xfId="12361" xr:uid="{30D84E03-FCBB-4683-A4DB-1337C48B1B28}"/>
    <cellStyle name="Normal 4 3 2 2 2 2 5 3" xfId="5984" xr:uid="{00000000-0005-0000-0000-00002B140000}"/>
    <cellStyle name="Normal 4 3 2 2 2 2 5 3 2" xfId="31323" xr:uid="{7AE3F541-7BA3-4FC1-B5C4-0DD3A856337E}"/>
    <cellStyle name="Normal 4 3 2 2 2 2 5 3 3" xfId="22882" xr:uid="{BD5DB268-8DA1-46D4-A6E3-FF2EACB45FE2}"/>
    <cellStyle name="Normal 4 3 2 2 2 2 5 3 4" xfId="14434" xr:uid="{9F67AF09-A4EB-4A63-A2BA-98345334D93F}"/>
    <cellStyle name="Normal 4 3 2 2 2 2 5 4" xfId="27105" xr:uid="{4EDE5AD5-2793-4140-8CD4-CC6B5A3C7067}"/>
    <cellStyle name="Normal 4 3 2 2 2 2 5 5" xfId="18664" xr:uid="{CF84C836-4374-47FB-AED4-27EC910B9237}"/>
    <cellStyle name="Normal 4 3 2 2 2 2 5 6" xfId="10216" xr:uid="{78233AB5-6132-463E-8B8A-166C82A2E23A}"/>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33881" xr:uid="{480FCA72-CA0F-4BEE-8CBC-9B795A9466DA}"/>
    <cellStyle name="Normal 4 3 2 2 2 2 6 2 2 3" xfId="25440" xr:uid="{F103A54B-6179-41F8-B573-456D47BD94AB}"/>
    <cellStyle name="Normal 4 3 2 2 2 2 6 2 2 4" xfId="16992" xr:uid="{21B849E8-BE81-4E97-BA34-C69889044462}"/>
    <cellStyle name="Normal 4 3 2 2 2 2 6 2 3" xfId="29663" xr:uid="{87F41B74-34DA-488C-8E30-DEE395BEC731}"/>
    <cellStyle name="Normal 4 3 2 2 2 2 6 2 4" xfId="21222" xr:uid="{7690AD71-A905-4680-B710-2AB36FA5CAE3}"/>
    <cellStyle name="Normal 4 3 2 2 2 2 6 2 5" xfId="12774" xr:uid="{81A58107-3542-4632-8CEF-A4955B4FC3E4}"/>
    <cellStyle name="Normal 4 3 2 2 2 2 6 3" xfId="6397" xr:uid="{00000000-0005-0000-0000-00002F140000}"/>
    <cellStyle name="Normal 4 3 2 2 2 2 6 3 2" xfId="31736" xr:uid="{8BC71F84-40FF-4DB7-8E51-1F930AD3291F}"/>
    <cellStyle name="Normal 4 3 2 2 2 2 6 3 3" xfId="23295" xr:uid="{BD6E323E-0251-44E9-B17B-B8D34EEACAAC}"/>
    <cellStyle name="Normal 4 3 2 2 2 2 6 3 4" xfId="14847" xr:uid="{756DD7D9-FFBD-42D2-8DD9-C3900C569A7B}"/>
    <cellStyle name="Normal 4 3 2 2 2 2 6 4" xfId="27518" xr:uid="{0008AC46-1DC3-479E-B48F-38D9C9EB10CC}"/>
    <cellStyle name="Normal 4 3 2 2 2 2 6 5" xfId="19077" xr:uid="{D8B2911E-1CB1-4DC5-B877-B5D7628BFF06}"/>
    <cellStyle name="Normal 4 3 2 2 2 2 6 6" xfId="10629" xr:uid="{E2DABDCE-C392-403E-8253-33419A1C72DD}"/>
    <cellStyle name="Normal 4 3 2 2 2 2 7" xfId="2527" xr:uid="{00000000-0005-0000-0000-000030140000}"/>
    <cellStyle name="Normal 4 3 2 2 2 2 7 2" xfId="6810" xr:uid="{00000000-0005-0000-0000-000031140000}"/>
    <cellStyle name="Normal 4 3 2 2 2 2 7 2 2" xfId="32149" xr:uid="{3C6B0206-D1B2-434E-835A-94A79F6F2DE3}"/>
    <cellStyle name="Normal 4 3 2 2 2 2 7 2 3" xfId="23708" xr:uid="{0244EF85-D367-4F7B-9B96-3EF15643F2EE}"/>
    <cellStyle name="Normal 4 3 2 2 2 2 7 2 4" xfId="15260" xr:uid="{7B1B8A7E-58A4-45C3-9271-9D8F2C284C76}"/>
    <cellStyle name="Normal 4 3 2 2 2 2 7 3" xfId="27931" xr:uid="{84809BA0-727B-472C-850D-C769CC479555}"/>
    <cellStyle name="Normal 4 3 2 2 2 2 7 4" xfId="19490" xr:uid="{7619408A-7154-4100-A5E8-26E01C9C2A8A}"/>
    <cellStyle name="Normal 4 3 2 2 2 2 7 5" xfId="11042" xr:uid="{7C5C3EC8-FA33-4615-B5B1-8AE5F01D87B4}"/>
    <cellStyle name="Normal 4 3 2 2 2 2 8" xfId="4745" xr:uid="{00000000-0005-0000-0000-000032140000}"/>
    <cellStyle name="Normal 4 3 2 2 2 2 8 2" xfId="30084" xr:uid="{DF19C1DB-38F3-46DA-8406-9BEC42F895A2}"/>
    <cellStyle name="Normal 4 3 2 2 2 2 8 3" xfId="21643" xr:uid="{CEE25FBD-C81C-4E69-BEF0-BB503EA0D2A6}"/>
    <cellStyle name="Normal 4 3 2 2 2 2 8 4" xfId="13195" xr:uid="{55B50322-E4F1-4BB6-A622-D0A946905770}"/>
    <cellStyle name="Normal 4 3 2 2 2 2 9" xfId="25866" xr:uid="{A993F72C-F583-4D6A-9A07-285422360D86}"/>
    <cellStyle name="Normal 4 3 2 2 2 3" xfId="372" xr:uid="{00000000-0005-0000-0000-000033140000}"/>
    <cellStyle name="Normal 4 3 2 2 2 3 10" xfId="8979" xr:uid="{06DF8FA1-6CC8-4CCA-8C48-C861CB960355}"/>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32644" xr:uid="{EB2BCFA6-D322-4C60-8540-B9BC630CC427}"/>
    <cellStyle name="Normal 4 3 2 2 2 3 2 2 2 3" xfId="24203" xr:uid="{7BAF4629-F538-469D-9434-A3B7F1773F16}"/>
    <cellStyle name="Normal 4 3 2 2 2 3 2 2 2 4" xfId="15755" xr:uid="{F0CC555F-0397-4FDC-8A2D-6CA7C20A8FCE}"/>
    <cellStyle name="Normal 4 3 2 2 2 3 2 2 3" xfId="28426" xr:uid="{095FD93E-C48E-43A1-8BA5-F989E5A11803}"/>
    <cellStyle name="Normal 4 3 2 2 2 3 2 2 4" xfId="19985" xr:uid="{350D9BB0-57D5-46CC-BF54-B68E6BE0D4E1}"/>
    <cellStyle name="Normal 4 3 2 2 2 3 2 2 5" xfId="11537" xr:uid="{2151AAA0-042E-49D5-9B37-C67384B41010}"/>
    <cellStyle name="Normal 4 3 2 2 2 3 2 3" xfId="5160" xr:uid="{00000000-0005-0000-0000-000037140000}"/>
    <cellStyle name="Normal 4 3 2 2 2 3 2 3 2" xfId="30499" xr:uid="{F3E85BAC-3501-465B-975B-21B65C31BC1F}"/>
    <cellStyle name="Normal 4 3 2 2 2 3 2 3 3" xfId="22058" xr:uid="{4DFE54B9-78C3-4F3A-BBB1-D37BA46ECCCF}"/>
    <cellStyle name="Normal 4 3 2 2 2 3 2 3 4" xfId="13610" xr:uid="{445BA266-7244-4620-A675-3E1D9FD09BDF}"/>
    <cellStyle name="Normal 4 3 2 2 2 3 2 4" xfId="26281" xr:uid="{753CB8A3-8A24-4737-81E1-294B8270A336}"/>
    <cellStyle name="Normal 4 3 2 2 2 3 2 5" xfId="17840" xr:uid="{6F193F32-4DB7-4C6E-B609-596EDDBE5CF9}"/>
    <cellStyle name="Normal 4 3 2 2 2 3 2 6" xfId="9392" xr:uid="{099A9051-14EF-490C-9F14-0980314EE7FA}"/>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33057" xr:uid="{3A4CFDE3-67F1-4980-AC56-6F8153DF205F}"/>
    <cellStyle name="Normal 4 3 2 2 2 3 3 2 2 3" xfId="24616" xr:uid="{52FD30B4-9D8F-4CAC-B21F-6085B1B5AF65}"/>
    <cellStyle name="Normal 4 3 2 2 2 3 3 2 2 4" xfId="16168" xr:uid="{84243B8C-4760-4F91-8F81-6EAFA7165F17}"/>
    <cellStyle name="Normal 4 3 2 2 2 3 3 2 3" xfId="28839" xr:uid="{F30B05AB-4BD1-4810-8BD8-682C9744F7E7}"/>
    <cellStyle name="Normal 4 3 2 2 2 3 3 2 4" xfId="20398" xr:uid="{9FA10964-415F-47BE-9115-C6949B064185}"/>
    <cellStyle name="Normal 4 3 2 2 2 3 3 2 5" xfId="11950" xr:uid="{D94DA44F-F9A6-4D45-BED4-B020B3753099}"/>
    <cellStyle name="Normal 4 3 2 2 2 3 3 3" xfId="5573" xr:uid="{00000000-0005-0000-0000-00003B140000}"/>
    <cellStyle name="Normal 4 3 2 2 2 3 3 3 2" xfId="30912" xr:uid="{2C33E88A-60E7-4B38-A39A-139E4FC460BC}"/>
    <cellStyle name="Normal 4 3 2 2 2 3 3 3 3" xfId="22471" xr:uid="{F9C2CA23-EEDD-4386-8636-B20CB89F0063}"/>
    <cellStyle name="Normal 4 3 2 2 2 3 3 3 4" xfId="14023" xr:uid="{BE3D3498-C282-48E5-93BB-B6A1B0ECF79D}"/>
    <cellStyle name="Normal 4 3 2 2 2 3 3 4" xfId="26694" xr:uid="{C9B856ED-0403-4DC3-B241-A6B3D83A6E7D}"/>
    <cellStyle name="Normal 4 3 2 2 2 3 3 5" xfId="18253" xr:uid="{1CFE0B45-CC6A-42C0-A920-2FDC4B8D4FAC}"/>
    <cellStyle name="Normal 4 3 2 2 2 3 3 6" xfId="9805" xr:uid="{29C0A7E8-08FD-412A-AFDD-95CC33A6B838}"/>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33470" xr:uid="{3CC7DAD0-0860-46BB-8C4E-A7E190B422DF}"/>
    <cellStyle name="Normal 4 3 2 2 2 3 4 2 2 3" xfId="25029" xr:uid="{F2B5277C-C887-4866-B29D-F5FBF8019E30}"/>
    <cellStyle name="Normal 4 3 2 2 2 3 4 2 2 4" xfId="16581" xr:uid="{7D438A67-9E45-4D0B-B674-E95D5C5E7856}"/>
    <cellStyle name="Normal 4 3 2 2 2 3 4 2 3" xfId="29252" xr:uid="{6F6FD6AF-DCAF-46C4-9165-B816D8159770}"/>
    <cellStyle name="Normal 4 3 2 2 2 3 4 2 4" xfId="20811" xr:uid="{72D2EA9F-85B3-4732-BDCE-61FC22FE36F8}"/>
    <cellStyle name="Normal 4 3 2 2 2 3 4 2 5" xfId="12363" xr:uid="{12A313FD-3328-4356-965B-1956176101D5}"/>
    <cellStyle name="Normal 4 3 2 2 2 3 4 3" xfId="5986" xr:uid="{00000000-0005-0000-0000-00003F140000}"/>
    <cellStyle name="Normal 4 3 2 2 2 3 4 3 2" xfId="31325" xr:uid="{021195C6-8C98-43DC-845F-9A83472CA1DB}"/>
    <cellStyle name="Normal 4 3 2 2 2 3 4 3 3" xfId="22884" xr:uid="{0E9ED34D-FEE2-45AC-BF25-590624DA0CF6}"/>
    <cellStyle name="Normal 4 3 2 2 2 3 4 3 4" xfId="14436" xr:uid="{DB936978-A9D9-4D6A-8E57-6BF767C1D5CF}"/>
    <cellStyle name="Normal 4 3 2 2 2 3 4 4" xfId="27107" xr:uid="{82C63231-87B7-4997-8F33-9D17D2A60FAE}"/>
    <cellStyle name="Normal 4 3 2 2 2 3 4 5" xfId="18666" xr:uid="{E01A7D16-3D80-4AB7-BC48-42608D290FA8}"/>
    <cellStyle name="Normal 4 3 2 2 2 3 4 6" xfId="10218" xr:uid="{DF8A2B35-E257-4302-A441-28629DB2E4AE}"/>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33883" xr:uid="{DF280194-8551-46D4-A5B7-CD0B6E9991C0}"/>
    <cellStyle name="Normal 4 3 2 2 2 3 5 2 2 3" xfId="25442" xr:uid="{F651F8AC-12EF-4FDC-ABD1-B6DBE5C84DEA}"/>
    <cellStyle name="Normal 4 3 2 2 2 3 5 2 2 4" xfId="16994" xr:uid="{55C5836A-4D15-435F-8FB5-A41168ABCB76}"/>
    <cellStyle name="Normal 4 3 2 2 2 3 5 2 3" xfId="29665" xr:uid="{93B582EF-AB10-4104-985F-EFEC1F47891F}"/>
    <cellStyle name="Normal 4 3 2 2 2 3 5 2 4" xfId="21224" xr:uid="{0A9BC676-C99A-4408-8609-23AE4D62C963}"/>
    <cellStyle name="Normal 4 3 2 2 2 3 5 2 5" xfId="12776" xr:uid="{7B092B69-5D45-4B94-967F-1CADE4181D23}"/>
    <cellStyle name="Normal 4 3 2 2 2 3 5 3" xfId="6399" xr:uid="{00000000-0005-0000-0000-000043140000}"/>
    <cellStyle name="Normal 4 3 2 2 2 3 5 3 2" xfId="31738" xr:uid="{659C2936-D135-4449-8F9F-82B783615946}"/>
    <cellStyle name="Normal 4 3 2 2 2 3 5 3 3" xfId="23297" xr:uid="{183B88AD-EA19-4E05-A497-194FF8659C22}"/>
    <cellStyle name="Normal 4 3 2 2 2 3 5 3 4" xfId="14849" xr:uid="{4BC162A3-2644-4918-8096-BDA973FC2D33}"/>
    <cellStyle name="Normal 4 3 2 2 2 3 5 4" xfId="27520" xr:uid="{1D59C039-586D-4F7C-BE07-77A3BF0D2E07}"/>
    <cellStyle name="Normal 4 3 2 2 2 3 5 5" xfId="19079" xr:uid="{1461D772-F542-4A40-A8A5-3EF0A347CFF4}"/>
    <cellStyle name="Normal 4 3 2 2 2 3 5 6" xfId="10631" xr:uid="{4E9CA607-00AD-408D-A6AD-866D471FEFCF}"/>
    <cellStyle name="Normal 4 3 2 2 2 3 6" xfId="2529" xr:uid="{00000000-0005-0000-0000-000044140000}"/>
    <cellStyle name="Normal 4 3 2 2 2 3 6 2" xfId="6812" xr:uid="{00000000-0005-0000-0000-000045140000}"/>
    <cellStyle name="Normal 4 3 2 2 2 3 6 2 2" xfId="32151" xr:uid="{A0332EE7-10F0-44C0-A5BF-678573015DAF}"/>
    <cellStyle name="Normal 4 3 2 2 2 3 6 2 3" xfId="23710" xr:uid="{D52DD122-12CB-4F9D-93AE-F9B727CB3856}"/>
    <cellStyle name="Normal 4 3 2 2 2 3 6 2 4" xfId="15262" xr:uid="{ECE777BD-56DF-45F6-B0B5-20B193097F58}"/>
    <cellStyle name="Normal 4 3 2 2 2 3 6 3" xfId="27933" xr:uid="{B0E7C132-1D86-4043-B4CC-54B7F3B755AF}"/>
    <cellStyle name="Normal 4 3 2 2 2 3 6 4" xfId="19492" xr:uid="{18814CA9-5935-4BE4-8637-B2DE7FF3AFD1}"/>
    <cellStyle name="Normal 4 3 2 2 2 3 6 5" xfId="11044" xr:uid="{07FFBD75-05C2-4AF8-A605-D1C5B1A1F064}"/>
    <cellStyle name="Normal 4 3 2 2 2 3 7" xfId="4747" xr:uid="{00000000-0005-0000-0000-000046140000}"/>
    <cellStyle name="Normal 4 3 2 2 2 3 7 2" xfId="30086" xr:uid="{B761920C-7AB3-42BC-844A-3E62A0A64C27}"/>
    <cellStyle name="Normal 4 3 2 2 2 3 7 3" xfId="21645" xr:uid="{D6C9F48E-4D9E-4909-B809-1AEBCE5DD9BC}"/>
    <cellStyle name="Normal 4 3 2 2 2 3 7 4" xfId="13197" xr:uid="{93394586-7352-447A-833E-003C0855C565}"/>
    <cellStyle name="Normal 4 3 2 2 2 3 8" xfId="25868" xr:uid="{8D0FE005-4425-48D9-B30F-D90E37A35AD4}"/>
    <cellStyle name="Normal 4 3 2 2 2 3 9" xfId="17427" xr:uid="{6D84B561-9D77-4720-9E4A-126DAC0F7F31}"/>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32641" xr:uid="{B1A4178C-5356-465D-A068-19BCC5985E1A}"/>
    <cellStyle name="Normal 4 3 2 2 2 4 2 2 3" xfId="24200" xr:uid="{032EE77C-6465-42CB-8294-9F974DC59AE6}"/>
    <cellStyle name="Normal 4 3 2 2 2 4 2 2 4" xfId="15752" xr:uid="{AC01CD37-98CD-490B-81F9-7BF25A26FCF1}"/>
    <cellStyle name="Normal 4 3 2 2 2 4 2 3" xfId="28423" xr:uid="{5A225240-E4CA-4077-8A50-B77D5D36A680}"/>
    <cellStyle name="Normal 4 3 2 2 2 4 2 4" xfId="19982" xr:uid="{462257F4-F7B5-4591-87A0-07D5823EC2C3}"/>
    <cellStyle name="Normal 4 3 2 2 2 4 2 5" xfId="11534" xr:uid="{5D2BD0F8-DF8E-4788-BB28-91B5DCCD1981}"/>
    <cellStyle name="Normal 4 3 2 2 2 4 3" xfId="5157" xr:uid="{00000000-0005-0000-0000-00004A140000}"/>
    <cellStyle name="Normal 4 3 2 2 2 4 3 2" xfId="30496" xr:uid="{8F83C6E1-283F-47C4-AF75-CB3B099DC78C}"/>
    <cellStyle name="Normal 4 3 2 2 2 4 3 3" xfId="22055" xr:uid="{8CF4031D-B531-42F3-9970-59EB380A6482}"/>
    <cellStyle name="Normal 4 3 2 2 2 4 3 4" xfId="13607" xr:uid="{4D8CC384-0529-4341-B7B8-3C85ED8426D2}"/>
    <cellStyle name="Normal 4 3 2 2 2 4 4" xfId="26278" xr:uid="{5325BF7E-BB74-4240-A022-D4548B81651B}"/>
    <cellStyle name="Normal 4 3 2 2 2 4 5" xfId="17837" xr:uid="{757E36CC-B70A-4D98-B6C2-243AFEF4D664}"/>
    <cellStyle name="Normal 4 3 2 2 2 4 6" xfId="9389" xr:uid="{BDF5F05C-F189-4F63-A302-06C7C5724EB5}"/>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33054" xr:uid="{B1251CF3-AECD-496C-81D2-A0D9F023A3D5}"/>
    <cellStyle name="Normal 4 3 2 2 2 5 2 2 3" xfId="24613" xr:uid="{9E65D2CD-9A45-4CAD-A9AA-DBACFBE5E18D}"/>
    <cellStyle name="Normal 4 3 2 2 2 5 2 2 4" xfId="16165" xr:uid="{6A9494EE-10E7-4314-9754-478761133E13}"/>
    <cellStyle name="Normal 4 3 2 2 2 5 2 3" xfId="28836" xr:uid="{7F2A67D1-67FC-4B6C-8583-3E996A6F06AF}"/>
    <cellStyle name="Normal 4 3 2 2 2 5 2 4" xfId="20395" xr:uid="{5ED1E5BC-528F-4877-BFFD-8A29D44DCEE6}"/>
    <cellStyle name="Normal 4 3 2 2 2 5 2 5" xfId="11947" xr:uid="{5D019927-F88B-4EE4-8F84-F90C4E078040}"/>
    <cellStyle name="Normal 4 3 2 2 2 5 3" xfId="5570" xr:uid="{00000000-0005-0000-0000-00004E140000}"/>
    <cellStyle name="Normal 4 3 2 2 2 5 3 2" xfId="30909" xr:uid="{1773568D-4468-402F-83E7-9D506F931D5C}"/>
    <cellStyle name="Normal 4 3 2 2 2 5 3 3" xfId="22468" xr:uid="{12D336F0-0063-4139-80D5-8E224ABFF309}"/>
    <cellStyle name="Normal 4 3 2 2 2 5 3 4" xfId="14020" xr:uid="{28AA7C41-7811-405B-9ACD-1434F0B07940}"/>
    <cellStyle name="Normal 4 3 2 2 2 5 4" xfId="26691" xr:uid="{4B29FCE5-E878-4E44-A7AF-831270C62EB8}"/>
    <cellStyle name="Normal 4 3 2 2 2 5 5" xfId="18250" xr:uid="{1951F4C0-F6B9-4F37-A77B-EE1817404877}"/>
    <cellStyle name="Normal 4 3 2 2 2 5 6" xfId="9802" xr:uid="{0A3B7437-8AF1-46FE-94DE-16971730A2BD}"/>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33467" xr:uid="{F0F107CF-00F4-42F9-A4D7-146242B75684}"/>
    <cellStyle name="Normal 4 3 2 2 2 6 2 2 3" xfId="25026" xr:uid="{A84A944B-5071-4563-81A6-252EC1BE8604}"/>
    <cellStyle name="Normal 4 3 2 2 2 6 2 2 4" xfId="16578" xr:uid="{1DE2C492-ADC1-450B-9A32-EA1BCAF8214C}"/>
    <cellStyle name="Normal 4 3 2 2 2 6 2 3" xfId="29249" xr:uid="{53006C75-058E-42B9-99FF-DF0007D2BA04}"/>
    <cellStyle name="Normal 4 3 2 2 2 6 2 4" xfId="20808" xr:uid="{C4FB3BD5-1AC0-45C0-85F8-D640FBFC0FF8}"/>
    <cellStyle name="Normal 4 3 2 2 2 6 2 5" xfId="12360" xr:uid="{190F7164-19EA-4B5F-AF64-11325813DDC2}"/>
    <cellStyle name="Normal 4 3 2 2 2 6 3" xfId="5983" xr:uid="{00000000-0005-0000-0000-000052140000}"/>
    <cellStyle name="Normal 4 3 2 2 2 6 3 2" xfId="31322" xr:uid="{DF605C7B-49E1-4D4A-B811-6E25B7FE2045}"/>
    <cellStyle name="Normal 4 3 2 2 2 6 3 3" xfId="22881" xr:uid="{F2AED721-AF73-47A2-8C4D-AE4F45646224}"/>
    <cellStyle name="Normal 4 3 2 2 2 6 3 4" xfId="14433" xr:uid="{B03A8DCA-BE12-4DA3-92EC-BB388B3A0966}"/>
    <cellStyle name="Normal 4 3 2 2 2 6 4" xfId="27104" xr:uid="{0FCBB4A6-E340-43BE-89A2-3F7C7A851E39}"/>
    <cellStyle name="Normal 4 3 2 2 2 6 5" xfId="18663" xr:uid="{F59E7275-2F1D-46A5-9997-79F2C5608603}"/>
    <cellStyle name="Normal 4 3 2 2 2 6 6" xfId="10215" xr:uid="{95121B7E-87A2-4036-AC56-0D376737E707}"/>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33880" xr:uid="{87176F5B-60F1-4795-88C1-007C40A9726F}"/>
    <cellStyle name="Normal 4 3 2 2 2 7 2 2 3" xfId="25439" xr:uid="{60455C34-BA75-42CC-A092-DA20FBAB78CE}"/>
    <cellStyle name="Normal 4 3 2 2 2 7 2 2 4" xfId="16991" xr:uid="{D90EE216-7BBB-4B7E-BE36-99B8E7A60C09}"/>
    <cellStyle name="Normal 4 3 2 2 2 7 2 3" xfId="29662" xr:uid="{41B13AF1-BE31-44EA-AD30-B153E692DAFF}"/>
    <cellStyle name="Normal 4 3 2 2 2 7 2 4" xfId="21221" xr:uid="{41337E55-E68D-4F3F-9393-9EDE5992F9F9}"/>
    <cellStyle name="Normal 4 3 2 2 2 7 2 5" xfId="12773" xr:uid="{B1635A0E-B5F2-4697-B98C-05FC87BAF672}"/>
    <cellStyle name="Normal 4 3 2 2 2 7 3" xfId="6396" xr:uid="{00000000-0005-0000-0000-000056140000}"/>
    <cellStyle name="Normal 4 3 2 2 2 7 3 2" xfId="31735" xr:uid="{4AF08D31-759E-4FB1-825D-523870EE5832}"/>
    <cellStyle name="Normal 4 3 2 2 2 7 3 3" xfId="23294" xr:uid="{0CC46CAB-E7CB-479F-B58E-A68CEB27ABF5}"/>
    <cellStyle name="Normal 4 3 2 2 2 7 3 4" xfId="14846" xr:uid="{EE52DD6D-9EB6-4AB7-8578-5B63CF6845EC}"/>
    <cellStyle name="Normal 4 3 2 2 2 7 4" xfId="27517" xr:uid="{8A9B747A-BF5B-4A07-9097-032A526E6FEF}"/>
    <cellStyle name="Normal 4 3 2 2 2 7 5" xfId="19076" xr:uid="{37632F78-0F6D-48C6-8E72-B8A2859E706B}"/>
    <cellStyle name="Normal 4 3 2 2 2 7 6" xfId="10628" xr:uid="{381DC776-0E41-49AE-9BBB-37D547DDB9BD}"/>
    <cellStyle name="Normal 4 3 2 2 2 8" xfId="2526" xr:uid="{00000000-0005-0000-0000-000057140000}"/>
    <cellStyle name="Normal 4 3 2 2 2 8 2" xfId="6809" xr:uid="{00000000-0005-0000-0000-000058140000}"/>
    <cellStyle name="Normal 4 3 2 2 2 8 2 2" xfId="32148" xr:uid="{7061AD05-CE17-4F53-86E8-EF5A8FBD360A}"/>
    <cellStyle name="Normal 4 3 2 2 2 8 2 3" xfId="23707" xr:uid="{003492A9-BCDD-46B1-9AE1-496AE7EB043C}"/>
    <cellStyle name="Normal 4 3 2 2 2 8 2 4" xfId="15259" xr:uid="{6DB5DD92-180E-48E5-8CF5-442171DA25F3}"/>
    <cellStyle name="Normal 4 3 2 2 2 8 3" xfId="27930" xr:uid="{B8B11BAA-C8A8-4B06-AC9E-D31A7D0962B5}"/>
    <cellStyle name="Normal 4 3 2 2 2 8 4" xfId="19489" xr:uid="{DC40B01F-6571-4ECA-958F-6383A625E8A7}"/>
    <cellStyle name="Normal 4 3 2 2 2 8 5" xfId="11041" xr:uid="{A035F736-4174-4182-A609-AB8E540A956B}"/>
    <cellStyle name="Normal 4 3 2 2 2 9" xfId="4744" xr:uid="{00000000-0005-0000-0000-000059140000}"/>
    <cellStyle name="Normal 4 3 2 2 2 9 2" xfId="30083" xr:uid="{C1E71711-1729-49E0-97FD-229DFA1034B3}"/>
    <cellStyle name="Normal 4 3 2 2 2 9 3" xfId="21642" xr:uid="{48CAD9AB-143A-4093-A251-9CC26DD72CDA}"/>
    <cellStyle name="Normal 4 3 2 2 2 9 4" xfId="13194" xr:uid="{0AD76CD8-1EA7-43A0-86E9-125D613384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25869" xr:uid="{87E83619-520A-4D9B-9E27-552346270230}"/>
    <cellStyle name="Normal 4 3 3 11" xfId="17428" xr:uid="{0A8D6AF1-D279-4F2B-81A0-4BCD9E86F2B7}"/>
    <cellStyle name="Normal 4 3 3 12" xfId="8980" xr:uid="{6E22945A-A226-4F61-815E-9E7CD91A4BD8}"/>
    <cellStyle name="Normal 4 3 3 2" xfId="375" xr:uid="{00000000-0005-0000-0000-00005E140000}"/>
    <cellStyle name="Normal 4 3 3 2 10" xfId="17429" xr:uid="{DD8EE568-63BB-424F-9E2A-6BA329D6347E}"/>
    <cellStyle name="Normal 4 3 3 2 11" xfId="8981" xr:uid="{EA365036-181E-49B6-B62F-596A443DC2C1}"/>
    <cellStyle name="Normal 4 3 3 2 2" xfId="376" xr:uid="{00000000-0005-0000-0000-00005F140000}"/>
    <cellStyle name="Normal 4 3 3 2 2 10" xfId="8982" xr:uid="{CA5D6509-530C-4125-8CC6-600770FB0F81}"/>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32647" xr:uid="{B5550AEF-C11D-4C28-BAD5-643A9231AAF5}"/>
    <cellStyle name="Normal 4 3 3 2 2 2 2 2 3" xfId="24206" xr:uid="{7A9B0839-8E14-4690-824B-6D79B525EB6B}"/>
    <cellStyle name="Normal 4 3 3 2 2 2 2 2 4" xfId="15758" xr:uid="{8F074C8D-CC87-428D-BE7C-DC98FD1DE0B3}"/>
    <cellStyle name="Normal 4 3 3 2 2 2 2 3" xfId="28429" xr:uid="{A0F8AE92-1814-4D81-A640-04B55C422BCF}"/>
    <cellStyle name="Normal 4 3 3 2 2 2 2 4" xfId="19988" xr:uid="{EDEDB4C8-287E-4D5E-A270-8043A4A39F08}"/>
    <cellStyle name="Normal 4 3 3 2 2 2 2 5" xfId="11540" xr:uid="{376DD5E4-4993-416B-9E91-1294704EB148}"/>
    <cellStyle name="Normal 4 3 3 2 2 2 3" xfId="5163" xr:uid="{00000000-0005-0000-0000-000063140000}"/>
    <cellStyle name="Normal 4 3 3 2 2 2 3 2" xfId="30502" xr:uid="{1FF594F3-B3AD-4B29-995E-38D2039DB8D4}"/>
    <cellStyle name="Normal 4 3 3 2 2 2 3 3" xfId="22061" xr:uid="{23AE8428-DEFE-45A6-BB74-F147C0A23548}"/>
    <cellStyle name="Normal 4 3 3 2 2 2 3 4" xfId="13613" xr:uid="{5A1A1E93-3E8B-47F2-ACD6-515B7D2F0D74}"/>
    <cellStyle name="Normal 4 3 3 2 2 2 4" xfId="26284" xr:uid="{D1F17ADE-27D9-4A61-8DFD-E15CE0E43FC9}"/>
    <cellStyle name="Normal 4 3 3 2 2 2 5" xfId="17843" xr:uid="{02727130-66F2-4EDC-A6A6-A500081D4047}"/>
    <cellStyle name="Normal 4 3 3 2 2 2 6" xfId="9395" xr:uid="{685B92AC-E743-4BE7-90BD-FEB5BEDC872D}"/>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33060" xr:uid="{B86A9426-60D6-46CE-9A0A-08CFE9700C98}"/>
    <cellStyle name="Normal 4 3 3 2 2 3 2 2 3" xfId="24619" xr:uid="{6FE4BE63-BA96-436B-A17F-CAA36ADD73AF}"/>
    <cellStyle name="Normal 4 3 3 2 2 3 2 2 4" xfId="16171" xr:uid="{DD60E303-5596-4DAE-9354-F3D2AC1CFA18}"/>
    <cellStyle name="Normal 4 3 3 2 2 3 2 3" xfId="28842" xr:uid="{7E638686-F653-4C1B-BCE5-AFBDAB843D42}"/>
    <cellStyle name="Normal 4 3 3 2 2 3 2 4" xfId="20401" xr:uid="{9EE7CAAD-539C-4587-968B-A0F58317EF1D}"/>
    <cellStyle name="Normal 4 3 3 2 2 3 2 5" xfId="11953" xr:uid="{18B6A510-1EA0-4D8B-A99B-46068B1E0E21}"/>
    <cellStyle name="Normal 4 3 3 2 2 3 3" xfId="5576" xr:uid="{00000000-0005-0000-0000-000067140000}"/>
    <cellStyle name="Normal 4 3 3 2 2 3 3 2" xfId="30915" xr:uid="{2CB3A64C-8AB5-4D22-8CCF-9F6A972AAB37}"/>
    <cellStyle name="Normal 4 3 3 2 2 3 3 3" xfId="22474" xr:uid="{7AB90075-0D94-41B0-A8EE-0A9D81BB672D}"/>
    <cellStyle name="Normal 4 3 3 2 2 3 3 4" xfId="14026" xr:uid="{34D1F321-C008-433B-8D17-9DEFEEA5D548}"/>
    <cellStyle name="Normal 4 3 3 2 2 3 4" xfId="26697" xr:uid="{0B01CCB2-195E-4CCE-A97B-F69C7C1AF90F}"/>
    <cellStyle name="Normal 4 3 3 2 2 3 5" xfId="18256" xr:uid="{8AC60ABA-2D57-459B-982B-F5FCBF309C13}"/>
    <cellStyle name="Normal 4 3 3 2 2 3 6" xfId="9808" xr:uid="{BB3F7EBD-CE87-4548-AEE7-A669B0586AA1}"/>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33473" xr:uid="{6254E386-B4D2-4320-87E8-C26A11BE5265}"/>
    <cellStyle name="Normal 4 3 3 2 2 4 2 2 3" xfId="25032" xr:uid="{4D3AB9EF-F865-4118-A474-EA4314B07E28}"/>
    <cellStyle name="Normal 4 3 3 2 2 4 2 2 4" xfId="16584" xr:uid="{697F6EDA-C604-4C7C-8760-E3965249459D}"/>
    <cellStyle name="Normal 4 3 3 2 2 4 2 3" xfId="29255" xr:uid="{B88B2E01-FAEF-462F-BE06-F37BE68680F8}"/>
    <cellStyle name="Normal 4 3 3 2 2 4 2 4" xfId="20814" xr:uid="{C5D85C5F-D198-43E1-B281-14E87734469B}"/>
    <cellStyle name="Normal 4 3 3 2 2 4 2 5" xfId="12366" xr:uid="{0F030063-7DA5-4621-818F-F8F599E952DA}"/>
    <cellStyle name="Normal 4 3 3 2 2 4 3" xfId="5989" xr:uid="{00000000-0005-0000-0000-00006B140000}"/>
    <cellStyle name="Normal 4 3 3 2 2 4 3 2" xfId="31328" xr:uid="{9E45C972-7294-4703-B2E7-91B689E863B2}"/>
    <cellStyle name="Normal 4 3 3 2 2 4 3 3" xfId="22887" xr:uid="{F7BD6804-3FEA-4D0C-92BB-4FC9661AF81F}"/>
    <cellStyle name="Normal 4 3 3 2 2 4 3 4" xfId="14439" xr:uid="{C293BF1E-896F-4670-B993-84DC67A42468}"/>
    <cellStyle name="Normal 4 3 3 2 2 4 4" xfId="27110" xr:uid="{DCB04451-2384-478F-A085-BD2F78EAF000}"/>
    <cellStyle name="Normal 4 3 3 2 2 4 5" xfId="18669" xr:uid="{5B4F6B8E-EE9A-4791-B54E-132212054CA8}"/>
    <cellStyle name="Normal 4 3 3 2 2 4 6" xfId="10221" xr:uid="{054A0561-ADA4-4ED8-9239-B7AD6FA4B884}"/>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33886" xr:uid="{3D8F15AA-7DF1-4B17-957B-0AFE0B926218}"/>
    <cellStyle name="Normal 4 3 3 2 2 5 2 2 3" xfId="25445" xr:uid="{708BDB04-72CC-4E9B-9C41-E9492F39CC5F}"/>
    <cellStyle name="Normal 4 3 3 2 2 5 2 2 4" xfId="16997" xr:uid="{3AD941BC-3636-4659-A0FD-7276FE466C7C}"/>
    <cellStyle name="Normal 4 3 3 2 2 5 2 3" xfId="29668" xr:uid="{5BE368B6-A9E1-4E9C-BFB8-609F20153DE2}"/>
    <cellStyle name="Normal 4 3 3 2 2 5 2 4" xfId="21227" xr:uid="{C958C6F2-FF29-41BB-8B16-F3B8C879854E}"/>
    <cellStyle name="Normal 4 3 3 2 2 5 2 5" xfId="12779" xr:uid="{F89D304F-A6F0-4BAC-A60E-5D7D8D83B1E3}"/>
    <cellStyle name="Normal 4 3 3 2 2 5 3" xfId="6402" xr:uid="{00000000-0005-0000-0000-00006F140000}"/>
    <cellStyle name="Normal 4 3 3 2 2 5 3 2" xfId="31741" xr:uid="{F6B37EE5-BCFC-4D67-881D-6C20400F0BDF}"/>
    <cellStyle name="Normal 4 3 3 2 2 5 3 3" xfId="23300" xr:uid="{752C0907-14DA-4041-9EB7-AC969B0EE961}"/>
    <cellStyle name="Normal 4 3 3 2 2 5 3 4" xfId="14852" xr:uid="{FD790F7B-570C-4EDC-983D-C53CAAD0838F}"/>
    <cellStyle name="Normal 4 3 3 2 2 5 4" xfId="27523" xr:uid="{49AEA357-626A-4642-9E83-546C81702717}"/>
    <cellStyle name="Normal 4 3 3 2 2 5 5" xfId="19082" xr:uid="{740A71D6-8B9F-4364-A0C7-D7258460F7FF}"/>
    <cellStyle name="Normal 4 3 3 2 2 5 6" xfId="10634" xr:uid="{BE43DC97-2560-4352-B591-4C654D9A7A62}"/>
    <cellStyle name="Normal 4 3 3 2 2 6" xfId="2532" xr:uid="{00000000-0005-0000-0000-000070140000}"/>
    <cellStyle name="Normal 4 3 3 2 2 6 2" xfId="6815" xr:uid="{00000000-0005-0000-0000-000071140000}"/>
    <cellStyle name="Normal 4 3 3 2 2 6 2 2" xfId="32154" xr:uid="{0F3FB82A-CD6B-477F-AE24-634BE6840C46}"/>
    <cellStyle name="Normal 4 3 3 2 2 6 2 3" xfId="23713" xr:uid="{BC459A1A-69AF-4664-9B4C-E0208ABF6111}"/>
    <cellStyle name="Normal 4 3 3 2 2 6 2 4" xfId="15265" xr:uid="{CDC2ABC4-0ADA-49A9-9509-ABFBEC2E5CC4}"/>
    <cellStyle name="Normal 4 3 3 2 2 6 3" xfId="27936" xr:uid="{509AD7A0-62BD-4A67-9B87-CA1B00FA30E8}"/>
    <cellStyle name="Normal 4 3 3 2 2 6 4" xfId="19495" xr:uid="{DE1BE223-6099-41E9-BBCE-AAC034A96C62}"/>
    <cellStyle name="Normal 4 3 3 2 2 6 5" xfId="11047" xr:uid="{147D3494-1980-48EC-BAEA-F6035A709939}"/>
    <cellStyle name="Normal 4 3 3 2 2 7" xfId="4750" xr:uid="{00000000-0005-0000-0000-000072140000}"/>
    <cellStyle name="Normal 4 3 3 2 2 7 2" xfId="30089" xr:uid="{9F68ED23-E89D-489C-9647-1430D34F2BD7}"/>
    <cellStyle name="Normal 4 3 3 2 2 7 3" xfId="21648" xr:uid="{CB58476E-722A-47FB-B974-4ABDCC863B62}"/>
    <cellStyle name="Normal 4 3 3 2 2 7 4" xfId="13200" xr:uid="{9360861C-79FD-499D-9C9B-B2F5E0031FEA}"/>
    <cellStyle name="Normal 4 3 3 2 2 8" xfId="25871" xr:uid="{A1468F2C-0C90-4BF6-A0AF-72080159F75C}"/>
    <cellStyle name="Normal 4 3 3 2 2 9" xfId="17430" xr:uid="{0AD2FE31-8844-4D75-8302-6A75EA928CA8}"/>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32646" xr:uid="{B4DD4385-CF5B-45C7-8F6F-5106075C3E1C}"/>
    <cellStyle name="Normal 4 3 3 2 3 2 2 3" xfId="24205" xr:uid="{19968CE5-B905-43B0-8646-A383E644F569}"/>
    <cellStyle name="Normal 4 3 3 2 3 2 2 4" xfId="15757" xr:uid="{0D2411BB-80DC-4AA6-A332-83886D5EB654}"/>
    <cellStyle name="Normal 4 3 3 2 3 2 3" xfId="28428" xr:uid="{8FC7DEAF-D553-4D1B-A9BC-4DD70F635B6C}"/>
    <cellStyle name="Normal 4 3 3 2 3 2 4" xfId="19987" xr:uid="{FB3BA885-5498-480A-A33F-E5533E7947C4}"/>
    <cellStyle name="Normal 4 3 3 2 3 2 5" xfId="11539" xr:uid="{150C9F14-C124-4CB0-87B7-16AEFEEDB09A}"/>
    <cellStyle name="Normal 4 3 3 2 3 3" xfId="5162" xr:uid="{00000000-0005-0000-0000-000076140000}"/>
    <cellStyle name="Normal 4 3 3 2 3 3 2" xfId="30501" xr:uid="{9DF929DF-BE81-4266-9D1F-3CFFE3C366C6}"/>
    <cellStyle name="Normal 4 3 3 2 3 3 3" xfId="22060" xr:uid="{CB8A55C1-620F-4C49-AE81-56EEF399DC7B}"/>
    <cellStyle name="Normal 4 3 3 2 3 3 4" xfId="13612" xr:uid="{88AECD9F-6956-44F1-8293-3269A75D0DB6}"/>
    <cellStyle name="Normal 4 3 3 2 3 4" xfId="26283" xr:uid="{C8C46F93-E280-4618-883D-185DE560607B}"/>
    <cellStyle name="Normal 4 3 3 2 3 5" xfId="17842" xr:uid="{0A856791-1CD4-4FAC-826B-A98B6AD39075}"/>
    <cellStyle name="Normal 4 3 3 2 3 6" xfId="9394" xr:uid="{F519CD0F-BE2D-4125-8528-069F710319C9}"/>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33059" xr:uid="{2F7716AB-F65F-46D7-93C5-971F441D9A11}"/>
    <cellStyle name="Normal 4 3 3 2 4 2 2 3" xfId="24618" xr:uid="{F03ADA6A-0225-48BE-BBB8-B2715C37D131}"/>
    <cellStyle name="Normal 4 3 3 2 4 2 2 4" xfId="16170" xr:uid="{5A6D516B-52CE-439E-A80C-84787DD59D6D}"/>
    <cellStyle name="Normal 4 3 3 2 4 2 3" xfId="28841" xr:uid="{A578E766-4741-4AB6-ABF4-E83818AE6E58}"/>
    <cellStyle name="Normal 4 3 3 2 4 2 4" xfId="20400" xr:uid="{20037A24-5753-4337-A781-6E7650740F69}"/>
    <cellStyle name="Normal 4 3 3 2 4 2 5" xfId="11952" xr:uid="{74E9820F-C426-4B1C-B375-D1141374791C}"/>
    <cellStyle name="Normal 4 3 3 2 4 3" xfId="5575" xr:uid="{00000000-0005-0000-0000-00007A140000}"/>
    <cellStyle name="Normal 4 3 3 2 4 3 2" xfId="30914" xr:uid="{DD418E9B-7036-400A-AE63-0A43BE84DCE2}"/>
    <cellStyle name="Normal 4 3 3 2 4 3 3" xfId="22473" xr:uid="{28F5DDED-2F3D-4508-9579-D4085A08DBF9}"/>
    <cellStyle name="Normal 4 3 3 2 4 3 4" xfId="14025" xr:uid="{1BEFA811-6B73-4848-B5FB-87CCF3FA496D}"/>
    <cellStyle name="Normal 4 3 3 2 4 4" xfId="26696" xr:uid="{1074C333-59C1-47AD-AC33-837572A7673B}"/>
    <cellStyle name="Normal 4 3 3 2 4 5" xfId="18255" xr:uid="{A9312C0A-CF14-4741-9506-92FF2EB46CF8}"/>
    <cellStyle name="Normal 4 3 3 2 4 6" xfId="9807" xr:uid="{53785A07-ECBB-4743-B52B-7B5E60417861}"/>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33472" xr:uid="{EABBA793-69FD-41BC-9BD0-5D5AB7E7590C}"/>
    <cellStyle name="Normal 4 3 3 2 5 2 2 3" xfId="25031" xr:uid="{CAF870F3-556B-470D-80A3-1F3772DF725F}"/>
    <cellStyle name="Normal 4 3 3 2 5 2 2 4" xfId="16583" xr:uid="{06D802F0-FBD1-4DCF-A97C-9FF83A9FACE2}"/>
    <cellStyle name="Normal 4 3 3 2 5 2 3" xfId="29254" xr:uid="{CFBA595E-68EA-44BC-AD99-BDCADDCD90BA}"/>
    <cellStyle name="Normal 4 3 3 2 5 2 4" xfId="20813" xr:uid="{9E7602B8-9D49-4FFD-A5CA-25F09EC592CB}"/>
    <cellStyle name="Normal 4 3 3 2 5 2 5" xfId="12365" xr:uid="{172B0CB0-099A-4E9A-9735-5AE32D431D7E}"/>
    <cellStyle name="Normal 4 3 3 2 5 3" xfId="5988" xr:uid="{00000000-0005-0000-0000-00007E140000}"/>
    <cellStyle name="Normal 4 3 3 2 5 3 2" xfId="31327" xr:uid="{36D1740E-DF90-4376-8D0F-E88B98A2C210}"/>
    <cellStyle name="Normal 4 3 3 2 5 3 3" xfId="22886" xr:uid="{94ADE591-D11D-48C7-A061-F7F696612A42}"/>
    <cellStyle name="Normal 4 3 3 2 5 3 4" xfId="14438" xr:uid="{341A7696-D39D-4468-A3DA-0BAD92456BA0}"/>
    <cellStyle name="Normal 4 3 3 2 5 4" xfId="27109" xr:uid="{00571460-AD9B-41B0-830A-E25073E9E246}"/>
    <cellStyle name="Normal 4 3 3 2 5 5" xfId="18668" xr:uid="{4A4D2AE2-AF58-40D3-BE0F-A779CF9882DA}"/>
    <cellStyle name="Normal 4 3 3 2 5 6" xfId="10220" xr:uid="{4146D7DA-AB16-4C3F-9B45-5177F564CDCA}"/>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33885" xr:uid="{DB6D5F60-C661-462F-94D9-B3C09811181F}"/>
    <cellStyle name="Normal 4 3 3 2 6 2 2 3" xfId="25444" xr:uid="{25CE4A0C-D478-471C-A313-7087A8586F13}"/>
    <cellStyle name="Normal 4 3 3 2 6 2 2 4" xfId="16996" xr:uid="{58679E94-047D-43A8-817F-591088F78025}"/>
    <cellStyle name="Normal 4 3 3 2 6 2 3" xfId="29667" xr:uid="{4917A552-C4B7-4FCA-8060-BE42542D314F}"/>
    <cellStyle name="Normal 4 3 3 2 6 2 4" xfId="21226" xr:uid="{D2BD3D9D-1A14-4C73-8619-0B97F5A0E10C}"/>
    <cellStyle name="Normal 4 3 3 2 6 2 5" xfId="12778" xr:uid="{70222E76-8836-40D8-AABE-90FD415FE859}"/>
    <cellStyle name="Normal 4 3 3 2 6 3" xfId="6401" xr:uid="{00000000-0005-0000-0000-000082140000}"/>
    <cellStyle name="Normal 4 3 3 2 6 3 2" xfId="31740" xr:uid="{4559959A-F18C-4EE1-8805-5AA749039415}"/>
    <cellStyle name="Normal 4 3 3 2 6 3 3" xfId="23299" xr:uid="{6BA94B2A-C011-423B-8637-93A0A3A3360E}"/>
    <cellStyle name="Normal 4 3 3 2 6 3 4" xfId="14851" xr:uid="{50BDB093-49E2-4F4D-8161-CD6672B168B3}"/>
    <cellStyle name="Normal 4 3 3 2 6 4" xfId="27522" xr:uid="{375C93ED-A121-47E6-B693-B6EB924401D4}"/>
    <cellStyle name="Normal 4 3 3 2 6 5" xfId="19081" xr:uid="{E4041AF4-590C-4FD2-BB69-92995B5E8B35}"/>
    <cellStyle name="Normal 4 3 3 2 6 6" xfId="10633" xr:uid="{64831E10-ED45-4D44-876F-620DC07C786C}"/>
    <cellStyle name="Normal 4 3 3 2 7" xfId="2531" xr:uid="{00000000-0005-0000-0000-000083140000}"/>
    <cellStyle name="Normal 4 3 3 2 7 2" xfId="6814" xr:uid="{00000000-0005-0000-0000-000084140000}"/>
    <cellStyle name="Normal 4 3 3 2 7 2 2" xfId="32153" xr:uid="{BC307703-F710-4063-9EE6-24AA132098CA}"/>
    <cellStyle name="Normal 4 3 3 2 7 2 3" xfId="23712" xr:uid="{AAA87AB4-2BC9-4C37-AB70-B4BFF7298FF5}"/>
    <cellStyle name="Normal 4 3 3 2 7 2 4" xfId="15264" xr:uid="{AFFB0673-696F-4D31-8E64-F2F17654D304}"/>
    <cellStyle name="Normal 4 3 3 2 7 3" xfId="27935" xr:uid="{F5B48AEF-4C40-47D2-BF8B-3C460476E3F2}"/>
    <cellStyle name="Normal 4 3 3 2 7 4" xfId="19494" xr:uid="{B903BD8A-6614-4A18-A234-6647FAAF26BB}"/>
    <cellStyle name="Normal 4 3 3 2 7 5" xfId="11046" xr:uid="{101C93F8-AB17-4BBA-9C2D-6054CF2E0F45}"/>
    <cellStyle name="Normal 4 3 3 2 8" xfId="4749" xr:uid="{00000000-0005-0000-0000-000085140000}"/>
    <cellStyle name="Normal 4 3 3 2 8 2" xfId="30088" xr:uid="{EB97C38E-ED52-471F-87DB-2958A1692CCA}"/>
    <cellStyle name="Normal 4 3 3 2 8 3" xfId="21647" xr:uid="{096FC6F8-430F-411C-BA57-AD39917FB59A}"/>
    <cellStyle name="Normal 4 3 3 2 8 4" xfId="13199" xr:uid="{B39EE55C-8B24-429D-9757-6D590E5684A5}"/>
    <cellStyle name="Normal 4 3 3 2 9" xfId="25870" xr:uid="{04F1C4AA-AA63-4EF5-B6D1-E63FE36CB00F}"/>
    <cellStyle name="Normal 4 3 3 3" xfId="377" xr:uid="{00000000-0005-0000-0000-000086140000}"/>
    <cellStyle name="Normal 4 3 3 3 10" xfId="8983" xr:uid="{FECD6124-84AB-49B5-B8E1-DD1CB80EA0E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32648" xr:uid="{2DDBFAEE-F79D-4EAB-A5BD-3991477F44D9}"/>
    <cellStyle name="Normal 4 3 3 3 2 2 2 3" xfId="24207" xr:uid="{767E3EC7-6A09-479B-B653-35171F075041}"/>
    <cellStyle name="Normal 4 3 3 3 2 2 2 4" xfId="15759" xr:uid="{25F2B5A7-AA6A-4134-A99F-8501D8ED5F45}"/>
    <cellStyle name="Normal 4 3 3 3 2 2 3" xfId="28430" xr:uid="{6F8C1A88-1C23-4B2F-BE3B-8FA256F50536}"/>
    <cellStyle name="Normal 4 3 3 3 2 2 4" xfId="19989" xr:uid="{1DC9038B-EAC3-4CCF-8541-CE1AEF640115}"/>
    <cellStyle name="Normal 4 3 3 3 2 2 5" xfId="11541" xr:uid="{D610AADA-2042-4E82-BDC3-6D07E2959387}"/>
    <cellStyle name="Normal 4 3 3 3 2 3" xfId="5164" xr:uid="{00000000-0005-0000-0000-00008A140000}"/>
    <cellStyle name="Normal 4 3 3 3 2 3 2" xfId="30503" xr:uid="{565FEA2C-EEB2-404B-87A9-F264D5FA221B}"/>
    <cellStyle name="Normal 4 3 3 3 2 3 3" xfId="22062" xr:uid="{4F1F75A7-D8EB-449C-856A-70A08BF0C875}"/>
    <cellStyle name="Normal 4 3 3 3 2 3 4" xfId="13614" xr:uid="{709828C0-1928-49D6-903F-513AEFBD1D24}"/>
    <cellStyle name="Normal 4 3 3 3 2 4" xfId="26285" xr:uid="{CC08BAAC-23AD-421D-A801-5B846CC4B66C}"/>
    <cellStyle name="Normal 4 3 3 3 2 5" xfId="17844" xr:uid="{D3E0F2B4-9D67-4AFB-81AF-C00D0E64C751}"/>
    <cellStyle name="Normal 4 3 3 3 2 6" xfId="9396" xr:uid="{946DEC39-7EC0-48F4-A909-026724F4B22E}"/>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33061" xr:uid="{B14E389B-B4C4-410E-AB91-52E743503BC0}"/>
    <cellStyle name="Normal 4 3 3 3 3 2 2 3" xfId="24620" xr:uid="{4AF4D29E-188B-42CC-B6AF-797597C96174}"/>
    <cellStyle name="Normal 4 3 3 3 3 2 2 4" xfId="16172" xr:uid="{EAE66BEC-AD6D-47D7-B335-29E0B0D9552F}"/>
    <cellStyle name="Normal 4 3 3 3 3 2 3" xfId="28843" xr:uid="{16DBD56A-1587-4932-8643-D5CBC77811B9}"/>
    <cellStyle name="Normal 4 3 3 3 3 2 4" xfId="20402" xr:uid="{270DEBF2-9CFF-4891-9D01-21BEE44E8A62}"/>
    <cellStyle name="Normal 4 3 3 3 3 2 5" xfId="11954" xr:uid="{6D4D9002-98F7-4C99-B90E-B152249311EF}"/>
    <cellStyle name="Normal 4 3 3 3 3 3" xfId="5577" xr:uid="{00000000-0005-0000-0000-00008E140000}"/>
    <cellStyle name="Normal 4 3 3 3 3 3 2" xfId="30916" xr:uid="{9ED007B4-99DB-4A81-8DED-A84980AF33C5}"/>
    <cellStyle name="Normal 4 3 3 3 3 3 3" xfId="22475" xr:uid="{4C331A25-7997-4EBF-ACF8-40C5DD821FA6}"/>
    <cellStyle name="Normal 4 3 3 3 3 3 4" xfId="14027" xr:uid="{D7A01DD2-7FDB-476F-BE2C-8A793642EF03}"/>
    <cellStyle name="Normal 4 3 3 3 3 4" xfId="26698" xr:uid="{1EA96716-E5F0-4AA0-A860-8D1477A50507}"/>
    <cellStyle name="Normal 4 3 3 3 3 5" xfId="18257" xr:uid="{8088B4D4-0145-46E5-B800-EFDBF23679F7}"/>
    <cellStyle name="Normal 4 3 3 3 3 6" xfId="9809" xr:uid="{B106B309-A398-4578-AC2D-845D9B2BF2CE}"/>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33474" xr:uid="{6EC15DC9-1DDF-410C-9C76-7B3042B38373}"/>
    <cellStyle name="Normal 4 3 3 3 4 2 2 3" xfId="25033" xr:uid="{593BCF04-5A6A-4C28-9A96-C9089AEB87C6}"/>
    <cellStyle name="Normal 4 3 3 3 4 2 2 4" xfId="16585" xr:uid="{4D68F727-72F4-47A1-BE15-89F8AB3A9BA3}"/>
    <cellStyle name="Normal 4 3 3 3 4 2 3" xfId="29256" xr:uid="{4C8EB102-3828-4675-A23F-11F6623FBA6D}"/>
    <cellStyle name="Normal 4 3 3 3 4 2 4" xfId="20815" xr:uid="{7154A032-F034-4AF9-8B00-C8EA8A70540F}"/>
    <cellStyle name="Normal 4 3 3 3 4 2 5" xfId="12367" xr:uid="{98F03289-9686-4FB0-B141-B1116751957B}"/>
    <cellStyle name="Normal 4 3 3 3 4 3" xfId="5990" xr:uid="{00000000-0005-0000-0000-000092140000}"/>
    <cellStyle name="Normal 4 3 3 3 4 3 2" xfId="31329" xr:uid="{A508E9B1-4759-45D5-A000-B5872A03E5B8}"/>
    <cellStyle name="Normal 4 3 3 3 4 3 3" xfId="22888" xr:uid="{1EDA418A-CBA5-4B13-9F66-CE96A8278B47}"/>
    <cellStyle name="Normal 4 3 3 3 4 3 4" xfId="14440" xr:uid="{FD49EDE6-8365-459A-88E4-3D2D8E722C31}"/>
    <cellStyle name="Normal 4 3 3 3 4 4" xfId="27111" xr:uid="{8C2D4E60-C199-484D-99FB-E9DB1CECE50D}"/>
    <cellStyle name="Normal 4 3 3 3 4 5" xfId="18670" xr:uid="{96D243CE-6C56-4308-BAA8-240CF8E9BAD2}"/>
    <cellStyle name="Normal 4 3 3 3 4 6" xfId="10222" xr:uid="{CDE37FE4-4D87-45E9-84BB-B3D8260BCA7C}"/>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33887" xr:uid="{4026CF76-B688-43B9-A182-61392D2303D5}"/>
    <cellStyle name="Normal 4 3 3 3 5 2 2 3" xfId="25446" xr:uid="{D5FDB2A2-1CBD-44BF-8445-77ACAC4089F3}"/>
    <cellStyle name="Normal 4 3 3 3 5 2 2 4" xfId="16998" xr:uid="{A4626F63-4A10-4929-BF50-0E0F636A08BB}"/>
    <cellStyle name="Normal 4 3 3 3 5 2 3" xfId="29669" xr:uid="{5A675FB0-9847-40DE-95A0-F24D44BE295A}"/>
    <cellStyle name="Normal 4 3 3 3 5 2 4" xfId="21228" xr:uid="{C979FA8F-1D3F-4884-A4CD-1786487B7518}"/>
    <cellStyle name="Normal 4 3 3 3 5 2 5" xfId="12780" xr:uid="{F7EDB7E3-4FB4-44E7-8DCC-543E485AF4D1}"/>
    <cellStyle name="Normal 4 3 3 3 5 3" xfId="6403" xr:uid="{00000000-0005-0000-0000-000096140000}"/>
    <cellStyle name="Normal 4 3 3 3 5 3 2" xfId="31742" xr:uid="{34272B9C-FE4A-44A0-B9BB-9E41FD6B66C5}"/>
    <cellStyle name="Normal 4 3 3 3 5 3 3" xfId="23301" xr:uid="{D10DFBFF-CD0A-4302-B374-C0699DE75487}"/>
    <cellStyle name="Normal 4 3 3 3 5 3 4" xfId="14853" xr:uid="{5CB1D62A-2CB8-4820-957D-19214EA88075}"/>
    <cellStyle name="Normal 4 3 3 3 5 4" xfId="27524" xr:uid="{57455A7E-7083-4708-B7A2-158EFD9143DC}"/>
    <cellStyle name="Normal 4 3 3 3 5 5" xfId="19083" xr:uid="{E2DAE644-350D-4283-86F6-CEC9672C2C7E}"/>
    <cellStyle name="Normal 4 3 3 3 5 6" xfId="10635" xr:uid="{B7ECA61B-81CB-4201-B5C2-E5A61BE291B5}"/>
    <cellStyle name="Normal 4 3 3 3 6" xfId="2533" xr:uid="{00000000-0005-0000-0000-000097140000}"/>
    <cellStyle name="Normal 4 3 3 3 6 2" xfId="6816" xr:uid="{00000000-0005-0000-0000-000098140000}"/>
    <cellStyle name="Normal 4 3 3 3 6 2 2" xfId="32155" xr:uid="{70B6EF55-4F15-48E0-A928-32E8234F397F}"/>
    <cellStyle name="Normal 4 3 3 3 6 2 3" xfId="23714" xr:uid="{51C8B3D0-889D-4A26-992C-B5931A6A1E50}"/>
    <cellStyle name="Normal 4 3 3 3 6 2 4" xfId="15266" xr:uid="{F6F343B7-589A-4188-89BE-EA484135940C}"/>
    <cellStyle name="Normal 4 3 3 3 6 3" xfId="27937" xr:uid="{3EE13652-37A5-4DCC-9ABE-6DC053225D7F}"/>
    <cellStyle name="Normal 4 3 3 3 6 4" xfId="19496" xr:uid="{1C5AA17C-38EB-4A6C-8133-0B4F6F8FB0C9}"/>
    <cellStyle name="Normal 4 3 3 3 6 5" xfId="11048" xr:uid="{6133CE09-27C5-4BDF-801D-F92F7BBCC509}"/>
    <cellStyle name="Normal 4 3 3 3 7" xfId="4751" xr:uid="{00000000-0005-0000-0000-000099140000}"/>
    <cellStyle name="Normal 4 3 3 3 7 2" xfId="30090" xr:uid="{36E0D9C8-C2AF-4159-9C77-A5BB23BF0B5F}"/>
    <cellStyle name="Normal 4 3 3 3 7 3" xfId="21649" xr:uid="{6417A1B2-DE64-4030-985B-6859178CBBC8}"/>
    <cellStyle name="Normal 4 3 3 3 7 4" xfId="13201" xr:uid="{7BC9BBEC-BA9E-4923-9859-4166D7019980}"/>
    <cellStyle name="Normal 4 3 3 3 8" xfId="25872" xr:uid="{12009A72-4E5A-48DD-932E-E274084F1969}"/>
    <cellStyle name="Normal 4 3 3 3 9" xfId="17431" xr:uid="{FC3C82FB-0104-40CA-9368-2C4BB58E8991}"/>
    <cellStyle name="Normal 4 3 3 4" xfId="849" xr:uid="{00000000-0005-0000-0000-00009A140000}"/>
    <cellStyle name="Normal 4 3 3 4 2" xfId="3084" xr:uid="{00000000-0005-0000-0000-00009B140000}"/>
    <cellStyle name="Normal 4 3 3 4 2 2" xfId="7306" xr:uid="{00000000-0005-0000-0000-00009C140000}"/>
    <cellStyle name="Normal 4 3 3 4 2 2 2" xfId="32645" xr:uid="{C1FC5BA7-0640-4F66-9707-530E27506DEF}"/>
    <cellStyle name="Normal 4 3 3 4 2 2 3" xfId="24204" xr:uid="{B8454B81-0DFC-48A6-BAE3-501C8D5E9481}"/>
    <cellStyle name="Normal 4 3 3 4 2 2 4" xfId="15756" xr:uid="{9407981D-9F34-4D4F-92FE-05D03A9FA75B}"/>
    <cellStyle name="Normal 4 3 3 4 2 3" xfId="28427" xr:uid="{A012355F-6555-41E1-AF0B-DA57F4EA5E9A}"/>
    <cellStyle name="Normal 4 3 3 4 2 4" xfId="19986" xr:uid="{7EC7E121-5750-4E66-96BF-1C6E3C0DC8D8}"/>
    <cellStyle name="Normal 4 3 3 4 2 5" xfId="11538" xr:uid="{FA8FAE18-23C7-4C0C-AFAF-D96D405F62B5}"/>
    <cellStyle name="Normal 4 3 3 4 3" xfId="5161" xr:uid="{00000000-0005-0000-0000-00009D140000}"/>
    <cellStyle name="Normal 4 3 3 4 3 2" xfId="30500" xr:uid="{23380BC2-299D-46D3-B762-1AAEC8DAFF6D}"/>
    <cellStyle name="Normal 4 3 3 4 3 3" xfId="22059" xr:uid="{308A0D02-67B7-4D81-AC39-38C0A3768451}"/>
    <cellStyle name="Normal 4 3 3 4 3 4" xfId="13611" xr:uid="{6214D69B-2432-4F53-A300-5D6CE6382F3F}"/>
    <cellStyle name="Normal 4 3 3 4 4" xfId="26282" xr:uid="{883DB66E-657C-40BF-9091-629484F2E412}"/>
    <cellStyle name="Normal 4 3 3 4 5" xfId="17841" xr:uid="{5B605A7D-F85D-4790-98CA-BD6D06D2E929}"/>
    <cellStyle name="Normal 4 3 3 4 6" xfId="9393" xr:uid="{9472776F-FD47-4DAE-8968-37FEB304A518}"/>
    <cellStyle name="Normal 4 3 3 5" xfId="1267" xr:uid="{00000000-0005-0000-0000-00009E140000}"/>
    <cellStyle name="Normal 4 3 3 5 2" xfId="3497" xr:uid="{00000000-0005-0000-0000-00009F140000}"/>
    <cellStyle name="Normal 4 3 3 5 2 2" xfId="7719" xr:uid="{00000000-0005-0000-0000-0000A0140000}"/>
    <cellStyle name="Normal 4 3 3 5 2 2 2" xfId="33058" xr:uid="{DC7309AD-695B-4E9A-B126-7C9C8D85D9A6}"/>
    <cellStyle name="Normal 4 3 3 5 2 2 3" xfId="24617" xr:uid="{465AC814-F6CD-40ED-BFD9-EECF33FFCB09}"/>
    <cellStyle name="Normal 4 3 3 5 2 2 4" xfId="16169" xr:uid="{121E6D1B-6BDE-4867-B6D2-BB6F99764046}"/>
    <cellStyle name="Normal 4 3 3 5 2 3" xfId="28840" xr:uid="{70E08760-3CE8-4A42-9C94-15F8104C1B76}"/>
    <cellStyle name="Normal 4 3 3 5 2 4" xfId="20399" xr:uid="{790241C8-447B-448B-B23C-EE394378A4B4}"/>
    <cellStyle name="Normal 4 3 3 5 2 5" xfId="11951" xr:uid="{FCC5CE16-4C8D-43BD-A82E-BAE96C8FEF53}"/>
    <cellStyle name="Normal 4 3 3 5 3" xfId="5574" xr:uid="{00000000-0005-0000-0000-0000A1140000}"/>
    <cellStyle name="Normal 4 3 3 5 3 2" xfId="30913" xr:uid="{8425BDBE-6624-4471-A348-096EEC8E33DE}"/>
    <cellStyle name="Normal 4 3 3 5 3 3" xfId="22472" xr:uid="{3AE7B286-F6FC-463E-843C-C3BEAD9481AB}"/>
    <cellStyle name="Normal 4 3 3 5 3 4" xfId="14024" xr:uid="{2914BBAA-D146-4136-8F6D-25BA059CA89E}"/>
    <cellStyle name="Normal 4 3 3 5 4" xfId="26695" xr:uid="{B228C433-C31A-43FD-A966-3EAF74C0257F}"/>
    <cellStyle name="Normal 4 3 3 5 5" xfId="18254" xr:uid="{0952F889-D4A2-47BC-AE88-9F1977167DE8}"/>
    <cellStyle name="Normal 4 3 3 5 6" xfId="9806" xr:uid="{F023B6A5-FFFB-4DB5-95C8-A16E0F791632}"/>
    <cellStyle name="Normal 4 3 3 6" xfId="1680" xr:uid="{00000000-0005-0000-0000-0000A2140000}"/>
    <cellStyle name="Normal 4 3 3 6 2" xfId="3910" xr:uid="{00000000-0005-0000-0000-0000A3140000}"/>
    <cellStyle name="Normal 4 3 3 6 2 2" xfId="8132" xr:uid="{00000000-0005-0000-0000-0000A4140000}"/>
    <cellStyle name="Normal 4 3 3 6 2 2 2" xfId="33471" xr:uid="{170641F4-B365-4841-AAF4-576C5D6F7D83}"/>
    <cellStyle name="Normal 4 3 3 6 2 2 3" xfId="25030" xr:uid="{6CF5ECB5-2EE2-4159-BD3C-64FAB5FA3245}"/>
    <cellStyle name="Normal 4 3 3 6 2 2 4" xfId="16582" xr:uid="{D3D702F4-7ABA-43C6-9E56-268319E467AB}"/>
    <cellStyle name="Normal 4 3 3 6 2 3" xfId="29253" xr:uid="{D1924E44-00B9-4214-ACD9-2573F96E3898}"/>
    <cellStyle name="Normal 4 3 3 6 2 4" xfId="20812" xr:uid="{D93227EF-27DD-4408-AF4E-70C78BDE88BD}"/>
    <cellStyle name="Normal 4 3 3 6 2 5" xfId="12364" xr:uid="{1742705F-A9FA-41D4-8EE3-C3085FFB93E4}"/>
    <cellStyle name="Normal 4 3 3 6 3" xfId="5987" xr:uid="{00000000-0005-0000-0000-0000A5140000}"/>
    <cellStyle name="Normal 4 3 3 6 3 2" xfId="31326" xr:uid="{5B3F5F15-9D4C-4A3A-98FC-4DADCBD2B29F}"/>
    <cellStyle name="Normal 4 3 3 6 3 3" xfId="22885" xr:uid="{EE1A9F76-A862-464A-A156-FDCBB6B1EB1C}"/>
    <cellStyle name="Normal 4 3 3 6 3 4" xfId="14437" xr:uid="{D4C7BA27-33D6-4B34-9EED-A2147A553D6C}"/>
    <cellStyle name="Normal 4 3 3 6 4" xfId="27108" xr:uid="{94E67D23-87BC-4C61-974A-182A580CB0EC}"/>
    <cellStyle name="Normal 4 3 3 6 5" xfId="18667" xr:uid="{872E1BF5-0625-476D-888D-AA53F808003D}"/>
    <cellStyle name="Normal 4 3 3 6 6" xfId="10219" xr:uid="{1A78A541-CD28-494A-9634-5C2286971F68}"/>
    <cellStyle name="Normal 4 3 3 7" xfId="2094" xr:uid="{00000000-0005-0000-0000-0000A6140000}"/>
    <cellStyle name="Normal 4 3 3 7 2" xfId="4323" xr:uid="{00000000-0005-0000-0000-0000A7140000}"/>
    <cellStyle name="Normal 4 3 3 7 2 2" xfId="8545" xr:uid="{00000000-0005-0000-0000-0000A8140000}"/>
    <cellStyle name="Normal 4 3 3 7 2 2 2" xfId="33884" xr:uid="{AF4F402B-B0D7-4710-88F0-2C7E04A447AD}"/>
    <cellStyle name="Normal 4 3 3 7 2 2 3" xfId="25443" xr:uid="{9F4DFC93-BD6F-49D5-8F05-F8E23BEB1CD3}"/>
    <cellStyle name="Normal 4 3 3 7 2 2 4" xfId="16995" xr:uid="{397B0CEB-281E-40B8-9F1A-BCA4A856A07F}"/>
    <cellStyle name="Normal 4 3 3 7 2 3" xfId="29666" xr:uid="{455682E8-174D-4E28-93D6-9942DFAC127D}"/>
    <cellStyle name="Normal 4 3 3 7 2 4" xfId="21225" xr:uid="{5C519CA6-1D4D-4123-8FFB-6C2D9EF6D23E}"/>
    <cellStyle name="Normal 4 3 3 7 2 5" xfId="12777" xr:uid="{1AB47846-03CE-4819-944C-6F0532C11F8B}"/>
    <cellStyle name="Normal 4 3 3 7 3" xfId="6400" xr:uid="{00000000-0005-0000-0000-0000A9140000}"/>
    <cellStyle name="Normal 4 3 3 7 3 2" xfId="31739" xr:uid="{876F0E25-6939-417F-84E5-AB2AD2A25BA1}"/>
    <cellStyle name="Normal 4 3 3 7 3 3" xfId="23298" xr:uid="{C94CB9F0-A2DF-4573-9EF5-CEF07FC64D56}"/>
    <cellStyle name="Normal 4 3 3 7 3 4" xfId="14850" xr:uid="{95843F04-3C9A-4EEF-B763-D1C0B2A42971}"/>
    <cellStyle name="Normal 4 3 3 7 4" xfId="27521" xr:uid="{087FF6BD-48A9-44CB-9810-2455A9042C60}"/>
    <cellStyle name="Normal 4 3 3 7 5" xfId="19080" xr:uid="{9B52A927-737E-4915-B689-46BBDAA3AA59}"/>
    <cellStyle name="Normal 4 3 3 7 6" xfId="10632" xr:uid="{32A4E582-DB38-46C7-A9CF-33AD731EDB8C}"/>
    <cellStyle name="Normal 4 3 3 8" xfId="2530" xr:uid="{00000000-0005-0000-0000-0000AA140000}"/>
    <cellStyle name="Normal 4 3 3 8 2" xfId="6813" xr:uid="{00000000-0005-0000-0000-0000AB140000}"/>
    <cellStyle name="Normal 4 3 3 8 2 2" xfId="32152" xr:uid="{F08EC9DF-A197-46BB-8030-7B6E773699E6}"/>
    <cellStyle name="Normal 4 3 3 8 2 3" xfId="23711" xr:uid="{DB6A2787-AA51-4108-9ED8-4BDF1AB6D468}"/>
    <cellStyle name="Normal 4 3 3 8 2 4" xfId="15263" xr:uid="{931499A3-6571-411B-85DB-1DF78870A800}"/>
    <cellStyle name="Normal 4 3 3 8 3" xfId="27934" xr:uid="{7862371D-6335-45EC-9E2C-F73DA628E78A}"/>
    <cellStyle name="Normal 4 3 3 8 4" xfId="19493" xr:uid="{D642BCAC-D178-40E7-8B52-B3475D7F8FEC}"/>
    <cellStyle name="Normal 4 3 3 8 5" xfId="11045" xr:uid="{9F40F4C9-F5F0-4E21-BD15-71B7FAA23C76}"/>
    <cellStyle name="Normal 4 3 3 9" xfId="4748" xr:uid="{00000000-0005-0000-0000-0000AC140000}"/>
    <cellStyle name="Normal 4 3 3 9 2" xfId="30087" xr:uid="{8BE5B19D-7569-41BC-821C-D7F7AC397F06}"/>
    <cellStyle name="Normal 4 3 3 9 3" xfId="21646" xr:uid="{28166B09-2FF0-44B8-A02F-524BA31A7DCD}"/>
    <cellStyle name="Normal 4 3 3 9 4" xfId="13198" xr:uid="{FC1EB61E-FE22-4F65-B1A6-59E6DB552240}"/>
    <cellStyle name="Normal 4 3 4" xfId="842" xr:uid="{00000000-0005-0000-0000-0000AD140000}"/>
    <cellStyle name="Normal 4 3 4 2" xfId="3079" xr:uid="{00000000-0005-0000-0000-0000AE140000}"/>
    <cellStyle name="Normal 4 3 4 2 2" xfId="7301" xr:uid="{00000000-0005-0000-0000-0000AF140000}"/>
    <cellStyle name="Normal 4 3 4 2 2 2" xfId="32640" xr:uid="{82123C74-12FF-4B5C-AEA0-2AFFAD52DA8F}"/>
    <cellStyle name="Normal 4 3 4 2 2 3" xfId="24199" xr:uid="{39094220-E1E2-4A07-B298-EEFE3760BE6F}"/>
    <cellStyle name="Normal 4 3 4 2 2 4" xfId="15751" xr:uid="{B0540544-E04B-4E1E-B0B1-BC701F1E984C}"/>
    <cellStyle name="Normal 4 3 4 2 3" xfId="28422" xr:uid="{599689BE-A1FE-44E4-B1EA-302D47B7C626}"/>
    <cellStyle name="Normal 4 3 4 2 4" xfId="19981" xr:uid="{6AF012DA-D2CC-44D3-B53C-CDCC2234CDF6}"/>
    <cellStyle name="Normal 4 3 4 2 5" xfId="11533" xr:uid="{05928D79-8FB0-44A2-99AD-64AF44E896D1}"/>
    <cellStyle name="Normal 4 3 4 3" xfId="5156" xr:uid="{00000000-0005-0000-0000-0000B0140000}"/>
    <cellStyle name="Normal 4 3 4 3 2" xfId="30495" xr:uid="{4B186377-0AB5-487F-9801-26E16971F9C8}"/>
    <cellStyle name="Normal 4 3 4 3 3" xfId="22054" xr:uid="{221883C6-68D6-4532-8DDC-9FB103D7520D}"/>
    <cellStyle name="Normal 4 3 4 3 4" xfId="13606" xr:uid="{C0F80A68-BC6C-4674-94EC-1CD0AEB1FFE8}"/>
    <cellStyle name="Normal 4 3 4 4" xfId="26277" xr:uid="{8AC0C683-FFCB-459C-B0FB-AB280A3886D1}"/>
    <cellStyle name="Normal 4 3 4 5" xfId="17836" xr:uid="{C57849D7-9019-45AE-A16F-1F093E9BDBAC}"/>
    <cellStyle name="Normal 4 3 4 6" xfId="9388" xr:uid="{C78570C9-E362-4505-A18D-BD8B09658F5F}"/>
    <cellStyle name="Normal 4 3 5" xfId="1262" xr:uid="{00000000-0005-0000-0000-0000B1140000}"/>
    <cellStyle name="Normal 4 3 5 2" xfId="3492" xr:uid="{00000000-0005-0000-0000-0000B2140000}"/>
    <cellStyle name="Normal 4 3 5 2 2" xfId="7714" xr:uid="{00000000-0005-0000-0000-0000B3140000}"/>
    <cellStyle name="Normal 4 3 5 2 2 2" xfId="33053" xr:uid="{210F1E1D-19AC-415E-A07D-F99112C77569}"/>
    <cellStyle name="Normal 4 3 5 2 2 3" xfId="24612" xr:uid="{4276C25D-64A3-4EDB-A3F5-22EBE9996A03}"/>
    <cellStyle name="Normal 4 3 5 2 2 4" xfId="16164" xr:uid="{5C2C2AD4-A588-43EA-807F-94048BB5F734}"/>
    <cellStyle name="Normal 4 3 5 2 3" xfId="28835" xr:uid="{5CF6316A-D568-4481-ACD6-0E817C854EEF}"/>
    <cellStyle name="Normal 4 3 5 2 4" xfId="20394" xr:uid="{75AEC77C-C399-4681-B5E8-406FC1FFCE14}"/>
    <cellStyle name="Normal 4 3 5 2 5" xfId="11946" xr:uid="{CA6B5258-EC37-4CED-A599-66629B960773}"/>
    <cellStyle name="Normal 4 3 5 3" xfId="5569" xr:uid="{00000000-0005-0000-0000-0000B4140000}"/>
    <cellStyle name="Normal 4 3 5 3 2" xfId="30908" xr:uid="{21940188-E82F-4C4B-AB72-ADFC218E3993}"/>
    <cellStyle name="Normal 4 3 5 3 3" xfId="22467" xr:uid="{82C585F2-FBAE-46A2-8315-8F1953503871}"/>
    <cellStyle name="Normal 4 3 5 3 4" xfId="14019" xr:uid="{592639D5-1DC6-4154-8833-01E4EAAEFE41}"/>
    <cellStyle name="Normal 4 3 5 4" xfId="26690" xr:uid="{6DE7C4CE-0919-447F-9029-07AE9DB14FA4}"/>
    <cellStyle name="Normal 4 3 5 5" xfId="18249" xr:uid="{B5C82809-BE8F-431A-A8FD-9FE32927D9AC}"/>
    <cellStyle name="Normal 4 3 5 6" xfId="9801" xr:uid="{8009969B-47EE-4B15-A25F-CDEE2AA7B371}"/>
    <cellStyle name="Normal 4 3 6" xfId="1675" xr:uid="{00000000-0005-0000-0000-0000B5140000}"/>
    <cellStyle name="Normal 4 3 6 2" xfId="3905" xr:uid="{00000000-0005-0000-0000-0000B6140000}"/>
    <cellStyle name="Normal 4 3 6 2 2" xfId="8127" xr:uid="{00000000-0005-0000-0000-0000B7140000}"/>
    <cellStyle name="Normal 4 3 6 2 2 2" xfId="33466" xr:uid="{673BE95A-4480-456A-8B22-2E5497676C6F}"/>
    <cellStyle name="Normal 4 3 6 2 2 3" xfId="25025" xr:uid="{BA1AF42E-D064-4D36-B06C-FCCD1E66ED4E}"/>
    <cellStyle name="Normal 4 3 6 2 2 4" xfId="16577" xr:uid="{3F9BD900-75A5-4F64-8B43-A438F5CBA81C}"/>
    <cellStyle name="Normal 4 3 6 2 3" xfId="29248" xr:uid="{B511939D-E7C9-41A7-BA7F-D786B1A69F62}"/>
    <cellStyle name="Normal 4 3 6 2 4" xfId="20807" xr:uid="{72697E60-7FE9-4A66-9BBD-F7614E2D94CB}"/>
    <cellStyle name="Normal 4 3 6 2 5" xfId="12359" xr:uid="{C6394891-A7B3-4EDF-8A21-0C1FCC70CC63}"/>
    <cellStyle name="Normal 4 3 6 3" xfId="5982" xr:uid="{00000000-0005-0000-0000-0000B8140000}"/>
    <cellStyle name="Normal 4 3 6 3 2" xfId="31321" xr:uid="{96432879-85DF-4CAB-A8EB-4EE59BCB4826}"/>
    <cellStyle name="Normal 4 3 6 3 3" xfId="22880" xr:uid="{3769183B-3CA3-4466-BAF8-E307C82CF907}"/>
    <cellStyle name="Normal 4 3 6 3 4" xfId="14432" xr:uid="{DC1803A5-1A5B-432D-AEE0-2C1F2A6E466B}"/>
    <cellStyle name="Normal 4 3 6 4" xfId="27103" xr:uid="{813D8784-1E91-4138-BDBE-3DF6D83654AA}"/>
    <cellStyle name="Normal 4 3 6 5" xfId="18662" xr:uid="{4637203C-E108-4614-8CCB-3E5F9E5F27BE}"/>
    <cellStyle name="Normal 4 3 6 6" xfId="10214" xr:uid="{F995AFD2-C97E-4ED0-8FEF-5E915227201C}"/>
    <cellStyle name="Normal 4 3 7" xfId="2089" xr:uid="{00000000-0005-0000-0000-0000B9140000}"/>
    <cellStyle name="Normal 4 3 7 2" xfId="4318" xr:uid="{00000000-0005-0000-0000-0000BA140000}"/>
    <cellStyle name="Normal 4 3 7 2 2" xfId="8540" xr:uid="{00000000-0005-0000-0000-0000BB140000}"/>
    <cellStyle name="Normal 4 3 7 2 2 2" xfId="33879" xr:uid="{BD3EACF1-34C3-402F-96EE-06AC96E5F8A5}"/>
    <cellStyle name="Normal 4 3 7 2 2 3" xfId="25438" xr:uid="{87BBAABF-BB02-4D93-A436-0351AA83D619}"/>
    <cellStyle name="Normal 4 3 7 2 2 4" xfId="16990" xr:uid="{C734BB7C-FFD4-4A82-8F03-ABE4814289F9}"/>
    <cellStyle name="Normal 4 3 7 2 3" xfId="29661" xr:uid="{3412F585-8994-44C7-A9AD-B74514F1D2A7}"/>
    <cellStyle name="Normal 4 3 7 2 4" xfId="21220" xr:uid="{B81E16B7-5559-4588-BDAE-26323D048893}"/>
    <cellStyle name="Normal 4 3 7 2 5" xfId="12772" xr:uid="{701A5E4A-1575-40CE-9BD3-C1DC197624CA}"/>
    <cellStyle name="Normal 4 3 7 3" xfId="6395" xr:uid="{00000000-0005-0000-0000-0000BC140000}"/>
    <cellStyle name="Normal 4 3 7 3 2" xfId="31734" xr:uid="{1C1ABDCA-C388-4154-B8BA-1B4E7B42769C}"/>
    <cellStyle name="Normal 4 3 7 3 3" xfId="23293" xr:uid="{6DDEC01C-0D43-4E61-9D1A-DDA07A709E94}"/>
    <cellStyle name="Normal 4 3 7 3 4" xfId="14845" xr:uid="{CCF43D68-5B9F-4083-949F-3353D8E8BB63}"/>
    <cellStyle name="Normal 4 3 7 4" xfId="27516" xr:uid="{C3F3F8BA-98D3-4609-80B6-37580C35DA8A}"/>
    <cellStyle name="Normal 4 3 7 5" xfId="19075" xr:uid="{916867E1-C59F-44C6-AE22-60B81F15A3CF}"/>
    <cellStyle name="Normal 4 3 7 6" xfId="10627" xr:uid="{E18DA715-3654-4E84-9171-C0C08EBC0E90}"/>
    <cellStyle name="Normal 4 3 8" xfId="2525" xr:uid="{00000000-0005-0000-0000-0000BD140000}"/>
    <cellStyle name="Normal 4 3 8 2" xfId="6808" xr:uid="{00000000-0005-0000-0000-0000BE140000}"/>
    <cellStyle name="Normal 4 3 8 2 2" xfId="32147" xr:uid="{F0350FC1-4A3D-448A-A870-A54818B3C366}"/>
    <cellStyle name="Normal 4 3 8 2 3" xfId="23706" xr:uid="{526DE208-9DB9-4901-B8AD-BC8AC576F6B9}"/>
    <cellStyle name="Normal 4 3 8 2 4" xfId="15258" xr:uid="{62690B9C-E50A-4FFF-86CE-E98114CFF98C}"/>
    <cellStyle name="Normal 4 3 8 3" xfId="27929" xr:uid="{1A8E22C1-CCC7-48E0-B1E2-9DED27C3DDB5}"/>
    <cellStyle name="Normal 4 3 8 4" xfId="19488" xr:uid="{B6848FC9-9160-445A-A1E8-729B5F50AB0D}"/>
    <cellStyle name="Normal 4 3 8 5" xfId="11040" xr:uid="{D8414481-365F-4C5C-92DF-BD98B7290B55}"/>
    <cellStyle name="Normal 4 3 9" xfId="4743" xr:uid="{00000000-0005-0000-0000-0000BF140000}"/>
    <cellStyle name="Normal 4 3 9 2" xfId="30082" xr:uid="{CEFA0F00-9710-4B2C-9124-E282C8CC5D62}"/>
    <cellStyle name="Normal 4 3 9 3" xfId="21641" xr:uid="{9D0C25B7-244B-4466-B906-D1DB581601A6}"/>
    <cellStyle name="Normal 4 3 9 4" xfId="13193" xr:uid="{CDB54915-A9BB-49F7-8AFB-F726F6C6C67F}"/>
    <cellStyle name="Normal 4 4" xfId="378" xr:uid="{00000000-0005-0000-0000-0000C0140000}"/>
    <cellStyle name="Normal 4 4 10" xfId="2534" xr:uid="{00000000-0005-0000-0000-0000C1140000}"/>
    <cellStyle name="Normal 4 4 10 2" xfId="6817" xr:uid="{00000000-0005-0000-0000-0000C2140000}"/>
    <cellStyle name="Normal 4 4 10 2 2" xfId="32156" xr:uid="{94969776-6B84-4E0A-AAB2-EA737D7FF745}"/>
    <cellStyle name="Normal 4 4 10 2 3" xfId="23715" xr:uid="{AF657F45-3487-40B0-9353-56A4A9BEFAD2}"/>
    <cellStyle name="Normal 4 4 10 2 4" xfId="15267" xr:uid="{6B08AC6A-8762-44B8-B4FD-3AAB32AB7CA9}"/>
    <cellStyle name="Normal 4 4 10 3" xfId="27938" xr:uid="{77431923-8AD8-4BFF-9B19-F5B37F17BE20}"/>
    <cellStyle name="Normal 4 4 10 4" xfId="19497" xr:uid="{1B787B7E-F30B-4A19-9E60-DE09E97FA7F6}"/>
    <cellStyle name="Normal 4 4 10 5" xfId="11049" xr:uid="{7756D518-7CC7-4D99-8126-008850920569}"/>
    <cellStyle name="Normal 4 4 11" xfId="4752" xr:uid="{00000000-0005-0000-0000-0000C3140000}"/>
    <cellStyle name="Normal 4 4 11 2" xfId="30091" xr:uid="{0B1127C4-46B1-49A7-A660-B31979A9D066}"/>
    <cellStyle name="Normal 4 4 11 3" xfId="21650" xr:uid="{9832C3A0-F1B3-40AF-8493-0069ACA06734}"/>
    <cellStyle name="Normal 4 4 11 4" xfId="13202" xr:uid="{DEB21320-E3C9-4B3A-881F-C0BED0D78038}"/>
    <cellStyle name="Normal 4 4 12" xfId="25873" xr:uid="{0A16FDFC-092E-4B67-B59F-84AE2EB185F8}"/>
    <cellStyle name="Normal 4 4 13" xfId="17432" xr:uid="{825DDC68-DDBF-4C11-A6C4-2EDAF3DB26C9}"/>
    <cellStyle name="Normal 4 4 14" xfId="8984" xr:uid="{0C6DE14D-CDAC-4815-B87D-4361DC8A91F2}"/>
    <cellStyle name="Normal 4 4 2" xfId="379" xr:uid="{00000000-0005-0000-0000-0000C4140000}"/>
    <cellStyle name="Normal 4 4 2 10" xfId="4753" xr:uid="{00000000-0005-0000-0000-0000C5140000}"/>
    <cellStyle name="Normal 4 4 2 10 2" xfId="30092" xr:uid="{0C62826C-356F-48BC-BDC5-88F9FF5402EF}"/>
    <cellStyle name="Normal 4 4 2 10 3" xfId="21651" xr:uid="{898E7A4D-47A6-4103-82C4-4FC2BF0C689B}"/>
    <cellStyle name="Normal 4 4 2 10 4" xfId="13203" xr:uid="{65B2A3E0-6A58-4B72-9468-D9868D9228A3}"/>
    <cellStyle name="Normal 4 4 2 11" xfId="25874" xr:uid="{CEC65500-B668-456A-A421-A1BE95D5855B}"/>
    <cellStyle name="Normal 4 4 2 12" xfId="17433" xr:uid="{C749C444-EA26-4CFE-A51D-8E43E1A2052E}"/>
    <cellStyle name="Normal 4 4 2 13" xfId="8985" xr:uid="{9D3D534D-7A81-41C8-934E-BD04B11F2292}"/>
    <cellStyle name="Normal 4 4 2 2" xfId="380" xr:uid="{00000000-0005-0000-0000-0000C6140000}"/>
    <cellStyle name="Normal 4 4 2 2 10" xfId="25875" xr:uid="{A0195883-DBC9-4F4D-A55D-3A76F9517C08}"/>
    <cellStyle name="Normal 4 4 2 2 11" xfId="17434" xr:uid="{786FE0F6-8901-472A-8D6E-EB0D6C813C92}"/>
    <cellStyle name="Normal 4 4 2 2 12" xfId="8986" xr:uid="{F82BBB85-B5D8-48C8-BA32-5D574B276B47}"/>
    <cellStyle name="Normal 4 4 2 2 2" xfId="381" xr:uid="{00000000-0005-0000-0000-0000C7140000}"/>
    <cellStyle name="Normal 4 4 2 2 2 10" xfId="17435" xr:uid="{F71EF7B4-3F06-48DC-BDBB-DC3F685FF97F}"/>
    <cellStyle name="Normal 4 4 2 2 2 11" xfId="8987" xr:uid="{F5AE54AE-07BA-405B-8D93-3D0F544A0F27}"/>
    <cellStyle name="Normal 4 4 2 2 2 2" xfId="382" xr:uid="{00000000-0005-0000-0000-0000C8140000}"/>
    <cellStyle name="Normal 4 4 2 2 2 2 10" xfId="8988" xr:uid="{1E7149EE-9CE4-49A7-812A-F16B74537746}"/>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32653" xr:uid="{55D1ECF2-5A5B-415E-896E-B67177F09F8F}"/>
    <cellStyle name="Normal 4 4 2 2 2 2 2 2 2 3" xfId="24212" xr:uid="{BFF87655-458E-4758-ACD4-610BF63515C8}"/>
    <cellStyle name="Normal 4 4 2 2 2 2 2 2 2 4" xfId="15764" xr:uid="{D59878D6-667A-414E-A9B5-3079DD9C7E82}"/>
    <cellStyle name="Normal 4 4 2 2 2 2 2 2 3" xfId="28435" xr:uid="{50C0BED4-66AC-4953-8A70-B120221D4C30}"/>
    <cellStyle name="Normal 4 4 2 2 2 2 2 2 4" xfId="19994" xr:uid="{3D073C4D-2532-48C7-B129-BC3E8D100087}"/>
    <cellStyle name="Normal 4 4 2 2 2 2 2 2 5" xfId="11546" xr:uid="{D76E23BB-F016-4C06-B19F-CCDBDEA7187A}"/>
    <cellStyle name="Normal 4 4 2 2 2 2 2 3" xfId="5169" xr:uid="{00000000-0005-0000-0000-0000CC140000}"/>
    <cellStyle name="Normal 4 4 2 2 2 2 2 3 2" xfId="30508" xr:uid="{7BC7CAE7-20B7-4053-86C4-5CBC9B85C679}"/>
    <cellStyle name="Normal 4 4 2 2 2 2 2 3 3" xfId="22067" xr:uid="{7B07BF9D-B538-4CDE-9724-27245B60CBC9}"/>
    <cellStyle name="Normal 4 4 2 2 2 2 2 3 4" xfId="13619" xr:uid="{FA2E0FE2-F7A2-408B-ABE3-4F0D98A9EFD7}"/>
    <cellStyle name="Normal 4 4 2 2 2 2 2 4" xfId="26290" xr:uid="{A3D5B551-FDB9-48E4-9555-720887584215}"/>
    <cellStyle name="Normal 4 4 2 2 2 2 2 5" xfId="17849" xr:uid="{6F0D0862-1670-44FD-B013-5DA8135ACF5E}"/>
    <cellStyle name="Normal 4 4 2 2 2 2 2 6" xfId="9401" xr:uid="{DD219321-5455-47B8-A256-443260F8BAE5}"/>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33066" xr:uid="{4CC8D0ED-5C1C-4BEC-B80C-0E8E4C07BC99}"/>
    <cellStyle name="Normal 4 4 2 2 2 2 3 2 2 3" xfId="24625" xr:uid="{2DE261EE-8F52-459B-A2F6-4F0AB4D8EFB5}"/>
    <cellStyle name="Normal 4 4 2 2 2 2 3 2 2 4" xfId="16177" xr:uid="{93B22601-F737-4EAF-B750-181CE65E1B37}"/>
    <cellStyle name="Normal 4 4 2 2 2 2 3 2 3" xfId="28848" xr:uid="{625E36BF-0A25-44DC-900A-E3081F76F3FA}"/>
    <cellStyle name="Normal 4 4 2 2 2 2 3 2 4" xfId="20407" xr:uid="{0C5EEB89-2326-4224-AED1-89788F6AB800}"/>
    <cellStyle name="Normal 4 4 2 2 2 2 3 2 5" xfId="11959" xr:uid="{68105489-156F-4891-AA05-383592041C2A}"/>
    <cellStyle name="Normal 4 4 2 2 2 2 3 3" xfId="5582" xr:uid="{00000000-0005-0000-0000-0000D0140000}"/>
    <cellStyle name="Normal 4 4 2 2 2 2 3 3 2" xfId="30921" xr:uid="{39688C79-22DB-48A3-AC26-1FFD760B0B7C}"/>
    <cellStyle name="Normal 4 4 2 2 2 2 3 3 3" xfId="22480" xr:uid="{E4C1C158-3143-48AF-B953-352BC1E04199}"/>
    <cellStyle name="Normal 4 4 2 2 2 2 3 3 4" xfId="14032" xr:uid="{2F5726D0-09C4-48AC-B1D3-CB1CE45E388A}"/>
    <cellStyle name="Normal 4 4 2 2 2 2 3 4" xfId="26703" xr:uid="{0C254F07-D86A-4759-93BA-31A4B91F9391}"/>
    <cellStyle name="Normal 4 4 2 2 2 2 3 5" xfId="18262" xr:uid="{BAEBFEF5-95EF-474A-BAC8-5F493F7C6B2D}"/>
    <cellStyle name="Normal 4 4 2 2 2 2 3 6" xfId="9814" xr:uid="{686DBA1D-75D3-4A91-A7F2-4C5AE78BE769}"/>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33479" xr:uid="{1D9BC6DF-EA7A-4270-8286-49CADFAE79A0}"/>
    <cellStyle name="Normal 4 4 2 2 2 2 4 2 2 3" xfId="25038" xr:uid="{B4342E20-5333-4EB1-BFB2-70FED1BCC6CE}"/>
    <cellStyle name="Normal 4 4 2 2 2 2 4 2 2 4" xfId="16590" xr:uid="{A622CF2F-AFC7-4F97-BF91-1882E8870136}"/>
    <cellStyle name="Normal 4 4 2 2 2 2 4 2 3" xfId="29261" xr:uid="{8CC0274D-268E-40A3-B6F7-735C7D67A53A}"/>
    <cellStyle name="Normal 4 4 2 2 2 2 4 2 4" xfId="20820" xr:uid="{9D803B58-2A39-4D21-AE09-ECCB8F3F538F}"/>
    <cellStyle name="Normal 4 4 2 2 2 2 4 2 5" xfId="12372" xr:uid="{278F731E-0B93-49FF-8259-83EC8E0B56F0}"/>
    <cellStyle name="Normal 4 4 2 2 2 2 4 3" xfId="5995" xr:uid="{00000000-0005-0000-0000-0000D4140000}"/>
    <cellStyle name="Normal 4 4 2 2 2 2 4 3 2" xfId="31334" xr:uid="{72CE3735-5B47-4620-96CD-A2121B15F422}"/>
    <cellStyle name="Normal 4 4 2 2 2 2 4 3 3" xfId="22893" xr:uid="{F6525AD9-36D4-4DDF-8C97-0C7F3D9FE12D}"/>
    <cellStyle name="Normal 4 4 2 2 2 2 4 3 4" xfId="14445" xr:uid="{017414B8-A92D-4B9F-AE02-9785BBDFFEB9}"/>
    <cellStyle name="Normal 4 4 2 2 2 2 4 4" xfId="27116" xr:uid="{E2FA65F4-DB81-4318-B285-4E2BDB455993}"/>
    <cellStyle name="Normal 4 4 2 2 2 2 4 5" xfId="18675" xr:uid="{867EB609-BD34-4442-9E73-ACDAED36B40C}"/>
    <cellStyle name="Normal 4 4 2 2 2 2 4 6" xfId="10227" xr:uid="{9B5A0328-FB2A-40F0-AFF4-2FB125EFCA89}"/>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33892" xr:uid="{36FB63CB-B73D-497C-AE01-CF734FF31F06}"/>
    <cellStyle name="Normal 4 4 2 2 2 2 5 2 2 3" xfId="25451" xr:uid="{81DED879-60E6-4B99-9339-E449052704F6}"/>
    <cellStyle name="Normal 4 4 2 2 2 2 5 2 2 4" xfId="17003" xr:uid="{992A997A-E15B-482B-A547-A5714B0B4C3B}"/>
    <cellStyle name="Normal 4 4 2 2 2 2 5 2 3" xfId="29674" xr:uid="{9A3EAED2-F63B-498B-AD22-CF315E3B568B}"/>
    <cellStyle name="Normal 4 4 2 2 2 2 5 2 4" xfId="21233" xr:uid="{80D8DCCA-305F-4904-A72C-56CAE7AF76BA}"/>
    <cellStyle name="Normal 4 4 2 2 2 2 5 2 5" xfId="12785" xr:uid="{2861E62D-47F8-4DFB-A834-D91D31567672}"/>
    <cellStyle name="Normal 4 4 2 2 2 2 5 3" xfId="6408" xr:uid="{00000000-0005-0000-0000-0000D8140000}"/>
    <cellStyle name="Normal 4 4 2 2 2 2 5 3 2" xfId="31747" xr:uid="{AFAD6BAB-799D-4665-8E0D-AA2BFC8731B3}"/>
    <cellStyle name="Normal 4 4 2 2 2 2 5 3 3" xfId="23306" xr:uid="{292AE60A-2802-4490-A15B-F0B776651F68}"/>
    <cellStyle name="Normal 4 4 2 2 2 2 5 3 4" xfId="14858" xr:uid="{A1D796C5-6052-4593-B2E2-140400679D97}"/>
    <cellStyle name="Normal 4 4 2 2 2 2 5 4" xfId="27529" xr:uid="{CA5AC438-35F5-47F0-A039-4E687B89B269}"/>
    <cellStyle name="Normal 4 4 2 2 2 2 5 5" xfId="19088" xr:uid="{76892D76-E2FD-4961-B87C-C7E8BE8C44C7}"/>
    <cellStyle name="Normal 4 4 2 2 2 2 5 6" xfId="10640" xr:uid="{0D81531A-3A20-4488-8730-B0EB373D4844}"/>
    <cellStyle name="Normal 4 4 2 2 2 2 6" xfId="2538" xr:uid="{00000000-0005-0000-0000-0000D9140000}"/>
    <cellStyle name="Normal 4 4 2 2 2 2 6 2" xfId="6821" xr:uid="{00000000-0005-0000-0000-0000DA140000}"/>
    <cellStyle name="Normal 4 4 2 2 2 2 6 2 2" xfId="32160" xr:uid="{0A2DBE0A-166D-4E9F-8EE5-1CE7DE9E5B5E}"/>
    <cellStyle name="Normal 4 4 2 2 2 2 6 2 3" xfId="23719" xr:uid="{536CA235-B665-4352-A154-07E5AEF5D551}"/>
    <cellStyle name="Normal 4 4 2 2 2 2 6 2 4" xfId="15271" xr:uid="{606FD752-C3E2-4F20-B335-0AD4FCA84D7B}"/>
    <cellStyle name="Normal 4 4 2 2 2 2 6 3" xfId="27942" xr:uid="{95ECF620-E11B-4336-A83D-911ACCD9C4CA}"/>
    <cellStyle name="Normal 4 4 2 2 2 2 6 4" xfId="19501" xr:uid="{B9D8C510-2ED5-47EF-BFD0-4A9879E14968}"/>
    <cellStyle name="Normal 4 4 2 2 2 2 6 5" xfId="11053" xr:uid="{7E56D37A-5052-452B-83F3-DFC8CE0F0117}"/>
    <cellStyle name="Normal 4 4 2 2 2 2 7" xfId="4756" xr:uid="{00000000-0005-0000-0000-0000DB140000}"/>
    <cellStyle name="Normal 4 4 2 2 2 2 7 2" xfId="30095" xr:uid="{D8AA8A59-996A-4B09-8B51-0639EB47C836}"/>
    <cellStyle name="Normal 4 4 2 2 2 2 7 3" xfId="21654" xr:uid="{EBEE490D-A827-4D84-B3C3-B40763D678E0}"/>
    <cellStyle name="Normal 4 4 2 2 2 2 7 4" xfId="13206" xr:uid="{2EF46C44-CC7D-4E9B-A1D5-B6D137B9F745}"/>
    <cellStyle name="Normal 4 4 2 2 2 2 8" xfId="25877" xr:uid="{19B82118-B74B-406F-889F-787BF939E563}"/>
    <cellStyle name="Normal 4 4 2 2 2 2 9" xfId="17436" xr:uid="{A24D5648-3B1D-48BA-919D-719F59F043B3}"/>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32652" xr:uid="{5565873E-D377-4C55-A85D-4EE43DDF5883}"/>
    <cellStyle name="Normal 4 4 2 2 2 3 2 2 3" xfId="24211" xr:uid="{BDFEE983-D6D7-4C97-BEF3-39FC1DAFE291}"/>
    <cellStyle name="Normal 4 4 2 2 2 3 2 2 4" xfId="15763" xr:uid="{249BF93C-D8D7-4F44-BEE0-3ECE6C06D1ED}"/>
    <cellStyle name="Normal 4 4 2 2 2 3 2 3" xfId="28434" xr:uid="{AAD07C4D-193E-4445-9832-56FD289BE7B8}"/>
    <cellStyle name="Normal 4 4 2 2 2 3 2 4" xfId="19993" xr:uid="{CE3AF71C-30FC-41A8-902D-C503FAAD285D}"/>
    <cellStyle name="Normal 4 4 2 2 2 3 2 5" xfId="11545" xr:uid="{E9EA5DE8-E341-488B-98D1-DDC27312EE89}"/>
    <cellStyle name="Normal 4 4 2 2 2 3 3" xfId="5168" xr:uid="{00000000-0005-0000-0000-0000DF140000}"/>
    <cellStyle name="Normal 4 4 2 2 2 3 3 2" xfId="30507" xr:uid="{D6F48AA1-18AD-4F38-AAFA-3C44F0640403}"/>
    <cellStyle name="Normal 4 4 2 2 2 3 3 3" xfId="22066" xr:uid="{3BED2EDD-C1BE-4407-9274-9917C0A81866}"/>
    <cellStyle name="Normal 4 4 2 2 2 3 3 4" xfId="13618" xr:uid="{20816008-287F-4838-9E64-8178126837BD}"/>
    <cellStyle name="Normal 4 4 2 2 2 3 4" xfId="26289" xr:uid="{CC5DAFA2-2160-4031-B8B5-901A5699E350}"/>
    <cellStyle name="Normal 4 4 2 2 2 3 5" xfId="17848" xr:uid="{594661C0-DF9C-429A-9AEE-9C1F55C4DFC3}"/>
    <cellStyle name="Normal 4 4 2 2 2 3 6" xfId="9400" xr:uid="{5D8FD125-B4DF-4228-A0B0-ADDDF1BD87A4}"/>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33065" xr:uid="{E5EF341A-A8B6-4C76-977B-0EB1BFCDA0C1}"/>
    <cellStyle name="Normal 4 4 2 2 2 4 2 2 3" xfId="24624" xr:uid="{3493C4C5-93D9-4A6D-BD91-7C34505CB33A}"/>
    <cellStyle name="Normal 4 4 2 2 2 4 2 2 4" xfId="16176" xr:uid="{7AFEC50B-6883-43B3-8DC1-0BB48B9E2AD6}"/>
    <cellStyle name="Normal 4 4 2 2 2 4 2 3" xfId="28847" xr:uid="{8882A14B-6D98-4B80-A162-0D0F24D15D5A}"/>
    <cellStyle name="Normal 4 4 2 2 2 4 2 4" xfId="20406" xr:uid="{D73F3ED1-DA95-4646-B6C7-B59C4282D396}"/>
    <cellStyle name="Normal 4 4 2 2 2 4 2 5" xfId="11958" xr:uid="{054CC1E2-C44E-4458-823D-25F0994E6057}"/>
    <cellStyle name="Normal 4 4 2 2 2 4 3" xfId="5581" xr:uid="{00000000-0005-0000-0000-0000E3140000}"/>
    <cellStyle name="Normal 4 4 2 2 2 4 3 2" xfId="30920" xr:uid="{85B8F336-E641-4969-9397-2D7D07C00004}"/>
    <cellStyle name="Normal 4 4 2 2 2 4 3 3" xfId="22479" xr:uid="{B6FA15CC-3B5A-423D-BB7D-6A95254309D2}"/>
    <cellStyle name="Normal 4 4 2 2 2 4 3 4" xfId="14031" xr:uid="{DCA93DEB-CBBC-4B02-9207-070CC48E6101}"/>
    <cellStyle name="Normal 4 4 2 2 2 4 4" xfId="26702" xr:uid="{C0768471-D47D-46F6-964E-A50D0B1817F1}"/>
    <cellStyle name="Normal 4 4 2 2 2 4 5" xfId="18261" xr:uid="{4623E4C0-B073-4CC9-897B-28543F91325A}"/>
    <cellStyle name="Normal 4 4 2 2 2 4 6" xfId="9813" xr:uid="{DBAAD897-2B83-4B17-97A0-6DB08DB6348B}"/>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33478" xr:uid="{2EC22307-2F5C-4A53-97DD-8CF33BE6BF1B}"/>
    <cellStyle name="Normal 4 4 2 2 2 5 2 2 3" xfId="25037" xr:uid="{53A6940A-365D-4938-8636-44F97D6F553A}"/>
    <cellStyle name="Normal 4 4 2 2 2 5 2 2 4" xfId="16589" xr:uid="{BFBF046F-FAE0-4F5B-8072-0C8801077DF7}"/>
    <cellStyle name="Normal 4 4 2 2 2 5 2 3" xfId="29260" xr:uid="{F1CA8C77-534D-419F-84E6-668DE48BA64C}"/>
    <cellStyle name="Normal 4 4 2 2 2 5 2 4" xfId="20819" xr:uid="{AA432F3E-9B28-4A0E-9A1E-DA821132532A}"/>
    <cellStyle name="Normal 4 4 2 2 2 5 2 5" xfId="12371" xr:uid="{A64836B1-161F-483D-8B08-4E6C48D5430C}"/>
    <cellStyle name="Normal 4 4 2 2 2 5 3" xfId="5994" xr:uid="{00000000-0005-0000-0000-0000E7140000}"/>
    <cellStyle name="Normal 4 4 2 2 2 5 3 2" xfId="31333" xr:uid="{4AB73143-9B55-428D-9EFC-320D66A8CEA3}"/>
    <cellStyle name="Normal 4 4 2 2 2 5 3 3" xfId="22892" xr:uid="{2996BC9A-E5A9-4206-AEA9-AEFE1F22BCDA}"/>
    <cellStyle name="Normal 4 4 2 2 2 5 3 4" xfId="14444" xr:uid="{1B9BC8E5-5A5F-4BA9-950C-DA17AC5A1FD2}"/>
    <cellStyle name="Normal 4 4 2 2 2 5 4" xfId="27115" xr:uid="{119285EC-B2C7-4C20-9B4C-42F36D9C7CD1}"/>
    <cellStyle name="Normal 4 4 2 2 2 5 5" xfId="18674" xr:uid="{2727C22C-2CE2-46C4-A597-635626E99162}"/>
    <cellStyle name="Normal 4 4 2 2 2 5 6" xfId="10226" xr:uid="{86D9A5B3-B224-4499-8D5E-38D88D474855}"/>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33891" xr:uid="{6ECA7352-80FF-48FE-98D5-39B60D80938A}"/>
    <cellStyle name="Normal 4 4 2 2 2 6 2 2 3" xfId="25450" xr:uid="{CE8B6BAC-7905-4D6F-9890-07157DF05269}"/>
    <cellStyle name="Normal 4 4 2 2 2 6 2 2 4" xfId="17002" xr:uid="{2EF93F27-42CA-4E8D-B22A-4E8FAEDADDE7}"/>
    <cellStyle name="Normal 4 4 2 2 2 6 2 3" xfId="29673" xr:uid="{59B3C8B3-ADE6-4AEE-9284-66C356C2664B}"/>
    <cellStyle name="Normal 4 4 2 2 2 6 2 4" xfId="21232" xr:uid="{3495BB60-463F-44AB-9E34-A7F53EF34A6A}"/>
    <cellStyle name="Normal 4 4 2 2 2 6 2 5" xfId="12784" xr:uid="{C561B763-6A64-412D-876B-582F3B5A05DB}"/>
    <cellStyle name="Normal 4 4 2 2 2 6 3" xfId="6407" xr:uid="{00000000-0005-0000-0000-0000EB140000}"/>
    <cellStyle name="Normal 4 4 2 2 2 6 3 2" xfId="31746" xr:uid="{48E7912F-CC1D-46A9-8F47-068B5707C5FF}"/>
    <cellStyle name="Normal 4 4 2 2 2 6 3 3" xfId="23305" xr:uid="{B9311016-57DC-4C61-9D41-29200E5A70E3}"/>
    <cellStyle name="Normal 4 4 2 2 2 6 3 4" xfId="14857" xr:uid="{963A9702-4744-4A6D-9F04-7D24E0C6F64E}"/>
    <cellStyle name="Normal 4 4 2 2 2 6 4" xfId="27528" xr:uid="{E1728B83-5394-4B78-A0DD-F31885897E6A}"/>
    <cellStyle name="Normal 4 4 2 2 2 6 5" xfId="19087" xr:uid="{A8CB9340-43E6-4B78-9071-409A3B536CA9}"/>
    <cellStyle name="Normal 4 4 2 2 2 6 6" xfId="10639" xr:uid="{3881003D-D8CA-42A9-B80C-42ABB00AB1AB}"/>
    <cellStyle name="Normal 4 4 2 2 2 7" xfId="2537" xr:uid="{00000000-0005-0000-0000-0000EC140000}"/>
    <cellStyle name="Normal 4 4 2 2 2 7 2" xfId="6820" xr:uid="{00000000-0005-0000-0000-0000ED140000}"/>
    <cellStyle name="Normal 4 4 2 2 2 7 2 2" xfId="32159" xr:uid="{EB983AA1-9255-4077-9B64-545FC94FD779}"/>
    <cellStyle name="Normal 4 4 2 2 2 7 2 3" xfId="23718" xr:uid="{22883A5D-57A8-4128-9861-CDE0044D71C5}"/>
    <cellStyle name="Normal 4 4 2 2 2 7 2 4" xfId="15270" xr:uid="{6F189A5C-0689-4E07-A49B-274FC413394F}"/>
    <cellStyle name="Normal 4 4 2 2 2 7 3" xfId="27941" xr:uid="{D10C9071-50A8-4519-8D3D-FBBEA1B31498}"/>
    <cellStyle name="Normal 4 4 2 2 2 7 4" xfId="19500" xr:uid="{CEEA3852-4198-4519-8B2F-6C609E4D9601}"/>
    <cellStyle name="Normal 4 4 2 2 2 7 5" xfId="11052" xr:uid="{3C5B8DEF-9DFB-4B8D-8678-B2840C7693BB}"/>
    <cellStyle name="Normal 4 4 2 2 2 8" xfId="4755" xr:uid="{00000000-0005-0000-0000-0000EE140000}"/>
    <cellStyle name="Normal 4 4 2 2 2 8 2" xfId="30094" xr:uid="{FF1AAB27-E73D-4959-8280-D249743C7E18}"/>
    <cellStyle name="Normal 4 4 2 2 2 8 3" xfId="21653" xr:uid="{ED1F0FC8-1462-4389-82DE-7A04A404F670}"/>
    <cellStyle name="Normal 4 4 2 2 2 8 4" xfId="13205" xr:uid="{5A08F6F6-D9B0-4663-8DFB-7E87D0D9C3EC}"/>
    <cellStyle name="Normal 4 4 2 2 2 9" xfId="25876" xr:uid="{97F1BBCA-DAD8-4E14-A823-53715BB5CF10}"/>
    <cellStyle name="Normal 4 4 2 2 3" xfId="383" xr:uid="{00000000-0005-0000-0000-0000EF140000}"/>
    <cellStyle name="Normal 4 4 2 2 3 10" xfId="8989" xr:uid="{D29E3DA3-E928-4EBC-88FB-C2ECBA62589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32654" xr:uid="{0BA5C622-2DB3-4044-A482-1D56FA97F6BF}"/>
    <cellStyle name="Normal 4 4 2 2 3 2 2 2 3" xfId="24213" xr:uid="{0FFBB4A5-7820-4575-9EDB-616ADE747BFA}"/>
    <cellStyle name="Normal 4 4 2 2 3 2 2 2 4" xfId="15765" xr:uid="{C4C77DAE-4333-41C8-879B-6F86BE0B08ED}"/>
    <cellStyle name="Normal 4 4 2 2 3 2 2 3" xfId="28436" xr:uid="{E727B50F-ABE5-4AE2-86C6-9513E0372444}"/>
    <cellStyle name="Normal 4 4 2 2 3 2 2 4" xfId="19995" xr:uid="{39108350-C56B-4898-BF7D-E40291363DD6}"/>
    <cellStyle name="Normal 4 4 2 2 3 2 2 5" xfId="11547" xr:uid="{3BB311F0-5057-497A-8F35-AE6FE051FC17}"/>
    <cellStyle name="Normal 4 4 2 2 3 2 3" xfId="5170" xr:uid="{00000000-0005-0000-0000-0000F3140000}"/>
    <cellStyle name="Normal 4 4 2 2 3 2 3 2" xfId="30509" xr:uid="{13C03C0C-AE76-4B9D-BDA4-213603B9BB1F}"/>
    <cellStyle name="Normal 4 4 2 2 3 2 3 3" xfId="22068" xr:uid="{4FD27E4E-D7A2-4298-B0F9-D620343E4DEF}"/>
    <cellStyle name="Normal 4 4 2 2 3 2 3 4" xfId="13620" xr:uid="{02184C55-2879-4496-9662-B7C883AD60BE}"/>
    <cellStyle name="Normal 4 4 2 2 3 2 4" xfId="26291" xr:uid="{F005D82E-24E5-4C82-90F7-EA3A52BB40BE}"/>
    <cellStyle name="Normal 4 4 2 2 3 2 5" xfId="17850" xr:uid="{90121059-B68B-4338-B08F-61598BBC3D77}"/>
    <cellStyle name="Normal 4 4 2 2 3 2 6" xfId="9402" xr:uid="{A433CD5B-657C-41BF-BB46-153865343DA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33067" xr:uid="{844E9574-1166-4543-BF44-A99B7673F461}"/>
    <cellStyle name="Normal 4 4 2 2 3 3 2 2 3" xfId="24626" xr:uid="{B3359823-71F0-4EB7-ACD6-D1B1857F53BB}"/>
    <cellStyle name="Normal 4 4 2 2 3 3 2 2 4" xfId="16178" xr:uid="{9157D7A0-D2FC-4A25-AD2D-A259D9931E0F}"/>
    <cellStyle name="Normal 4 4 2 2 3 3 2 3" xfId="28849" xr:uid="{1B10AA58-9F22-44E4-863A-AE7EE21662D6}"/>
    <cellStyle name="Normal 4 4 2 2 3 3 2 4" xfId="20408" xr:uid="{2348A6CA-6FFC-4845-9500-51A836E9EC0D}"/>
    <cellStyle name="Normal 4 4 2 2 3 3 2 5" xfId="11960" xr:uid="{ABE4E6D4-3B77-477F-87D5-AFFA359C5DB9}"/>
    <cellStyle name="Normal 4 4 2 2 3 3 3" xfId="5583" xr:uid="{00000000-0005-0000-0000-0000F7140000}"/>
    <cellStyle name="Normal 4 4 2 2 3 3 3 2" xfId="30922" xr:uid="{7009A943-C487-407F-B261-4EF87B7DD0F4}"/>
    <cellStyle name="Normal 4 4 2 2 3 3 3 3" xfId="22481" xr:uid="{72DD233A-08D9-4834-A23A-B053CB23BDAE}"/>
    <cellStyle name="Normal 4 4 2 2 3 3 3 4" xfId="14033" xr:uid="{9C1ABA9E-E318-462C-BAF5-CCD67400E306}"/>
    <cellStyle name="Normal 4 4 2 2 3 3 4" xfId="26704" xr:uid="{71159C42-8847-40B2-B875-3AC00E9F30D2}"/>
    <cellStyle name="Normal 4 4 2 2 3 3 5" xfId="18263" xr:uid="{04DBD550-685C-472D-B34B-27420B4D7D83}"/>
    <cellStyle name="Normal 4 4 2 2 3 3 6" xfId="9815" xr:uid="{9BB665BC-E01C-447B-9277-1450ECADD95B}"/>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33480" xr:uid="{B2EE4157-033C-4D1E-AD82-23DFE57893B6}"/>
    <cellStyle name="Normal 4 4 2 2 3 4 2 2 3" xfId="25039" xr:uid="{E22844E4-C407-4916-BEBA-B412A9D3BAA6}"/>
    <cellStyle name="Normal 4 4 2 2 3 4 2 2 4" xfId="16591" xr:uid="{FB599567-3191-4209-AECB-6E394FB1D621}"/>
    <cellStyle name="Normal 4 4 2 2 3 4 2 3" xfId="29262" xr:uid="{25C2B04B-9224-4408-86C7-15CD72614AB3}"/>
    <cellStyle name="Normal 4 4 2 2 3 4 2 4" xfId="20821" xr:uid="{2C0FB536-4EF4-4FBF-ADF7-E6656AF1FD6E}"/>
    <cellStyle name="Normal 4 4 2 2 3 4 2 5" xfId="12373" xr:uid="{D099F575-8067-462B-B32F-06FF8A9B504F}"/>
    <cellStyle name="Normal 4 4 2 2 3 4 3" xfId="5996" xr:uid="{00000000-0005-0000-0000-0000FB140000}"/>
    <cellStyle name="Normal 4 4 2 2 3 4 3 2" xfId="31335" xr:uid="{18918D5B-F469-461D-B7D9-2148CFBF201A}"/>
    <cellStyle name="Normal 4 4 2 2 3 4 3 3" xfId="22894" xr:uid="{0F67B4DD-564E-4C08-A643-7013B9865345}"/>
    <cellStyle name="Normal 4 4 2 2 3 4 3 4" xfId="14446" xr:uid="{D2BAE69D-B756-48B8-8F64-65EC16230737}"/>
    <cellStyle name="Normal 4 4 2 2 3 4 4" xfId="27117" xr:uid="{CB97CF7E-9237-4C50-A680-700473769E89}"/>
    <cellStyle name="Normal 4 4 2 2 3 4 5" xfId="18676" xr:uid="{E33FFB6E-C52D-47E0-A3B7-A2117C5CD2A7}"/>
    <cellStyle name="Normal 4 4 2 2 3 4 6" xfId="10228" xr:uid="{2D734053-F213-42D1-A2AA-9585E591DAF6}"/>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33893" xr:uid="{64312912-88BF-450E-9AA7-7ABF827A17E9}"/>
    <cellStyle name="Normal 4 4 2 2 3 5 2 2 3" xfId="25452" xr:uid="{F22227F4-74FC-4698-A328-3633F1A15FC9}"/>
    <cellStyle name="Normal 4 4 2 2 3 5 2 2 4" xfId="17004" xr:uid="{AE1895AA-0F1A-4D0C-A162-5278A906B65C}"/>
    <cellStyle name="Normal 4 4 2 2 3 5 2 3" xfId="29675" xr:uid="{ED18F966-36E7-4C01-B59F-2FAAD5671268}"/>
    <cellStyle name="Normal 4 4 2 2 3 5 2 4" xfId="21234" xr:uid="{FDF18F23-7C98-44CF-957D-9A58E1152B67}"/>
    <cellStyle name="Normal 4 4 2 2 3 5 2 5" xfId="12786" xr:uid="{7569FFC2-C749-4565-8455-6C99EB9D9ABE}"/>
    <cellStyle name="Normal 4 4 2 2 3 5 3" xfId="6409" xr:uid="{00000000-0005-0000-0000-0000FF140000}"/>
    <cellStyle name="Normal 4 4 2 2 3 5 3 2" xfId="31748" xr:uid="{858196D5-AEDE-40BD-9899-621506B66AC8}"/>
    <cellStyle name="Normal 4 4 2 2 3 5 3 3" xfId="23307" xr:uid="{3E43F808-E86A-4EE0-8427-193699343BCB}"/>
    <cellStyle name="Normal 4 4 2 2 3 5 3 4" xfId="14859" xr:uid="{8AA9F941-B328-4769-9DBA-82B40608BCB9}"/>
    <cellStyle name="Normal 4 4 2 2 3 5 4" xfId="27530" xr:uid="{E403193D-A6B1-4F31-97E9-16D205870721}"/>
    <cellStyle name="Normal 4 4 2 2 3 5 5" xfId="19089" xr:uid="{E4EE8825-9CFF-4471-980F-CBC4D2BF5217}"/>
    <cellStyle name="Normal 4 4 2 2 3 5 6" xfId="10641" xr:uid="{68A14184-3DB3-49DD-B001-F7C93D6F4AC5}"/>
    <cellStyle name="Normal 4 4 2 2 3 6" xfId="2539" xr:uid="{00000000-0005-0000-0000-000000150000}"/>
    <cellStyle name="Normal 4 4 2 2 3 6 2" xfId="6822" xr:uid="{00000000-0005-0000-0000-000001150000}"/>
    <cellStyle name="Normal 4 4 2 2 3 6 2 2" xfId="32161" xr:uid="{DD9CC0F2-22FC-4B4A-AF8D-6D450B81A502}"/>
    <cellStyle name="Normal 4 4 2 2 3 6 2 3" xfId="23720" xr:uid="{CA7EB047-96D6-41DC-BD98-3980CD20852E}"/>
    <cellStyle name="Normal 4 4 2 2 3 6 2 4" xfId="15272" xr:uid="{DD51AF18-AE88-4118-B9BD-681EBA9BA2B5}"/>
    <cellStyle name="Normal 4 4 2 2 3 6 3" xfId="27943" xr:uid="{7B9211A1-B827-41DD-B2CE-84A6276A7617}"/>
    <cellStyle name="Normal 4 4 2 2 3 6 4" xfId="19502" xr:uid="{78886D1F-3256-472E-B524-156853555F91}"/>
    <cellStyle name="Normal 4 4 2 2 3 6 5" xfId="11054" xr:uid="{E11BD827-36D1-4B70-BA9B-6E1624F5E87F}"/>
    <cellStyle name="Normal 4 4 2 2 3 7" xfId="4757" xr:uid="{00000000-0005-0000-0000-000002150000}"/>
    <cellStyle name="Normal 4 4 2 2 3 7 2" xfId="30096" xr:uid="{A5B62100-27ED-45ED-A40B-D37087160891}"/>
    <cellStyle name="Normal 4 4 2 2 3 7 3" xfId="21655" xr:uid="{6849E874-3A5D-4A52-9C8E-F3B503B51959}"/>
    <cellStyle name="Normal 4 4 2 2 3 7 4" xfId="13207" xr:uid="{AE0CF509-DC15-4308-953B-4C08FB2B9289}"/>
    <cellStyle name="Normal 4 4 2 2 3 8" xfId="25878" xr:uid="{6BD0DDEC-2C1B-4295-8371-8E2F19664FB4}"/>
    <cellStyle name="Normal 4 4 2 2 3 9" xfId="17437" xr:uid="{2CAA6F11-A5AF-4C07-9295-C10358555A01}"/>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32651" xr:uid="{82040669-D9F4-4C7A-BE26-A0817CBB207B}"/>
    <cellStyle name="Normal 4 4 2 2 4 2 2 3" xfId="24210" xr:uid="{32304F91-8016-449D-905C-0FF342E322CC}"/>
    <cellStyle name="Normal 4 4 2 2 4 2 2 4" xfId="15762" xr:uid="{94A3F7FB-E084-4FAE-842C-4EA17BAA287E}"/>
    <cellStyle name="Normal 4 4 2 2 4 2 3" xfId="28433" xr:uid="{34678D41-CBC6-4899-BF14-5F4A668E7D33}"/>
    <cellStyle name="Normal 4 4 2 2 4 2 4" xfId="19992" xr:uid="{72EC3999-F6E3-4D48-8713-DDD2235104D7}"/>
    <cellStyle name="Normal 4 4 2 2 4 2 5" xfId="11544" xr:uid="{C8499F57-3842-4E66-9115-AE3406C8E296}"/>
    <cellStyle name="Normal 4 4 2 2 4 3" xfId="5167" xr:uid="{00000000-0005-0000-0000-000006150000}"/>
    <cellStyle name="Normal 4 4 2 2 4 3 2" xfId="30506" xr:uid="{F9005793-171A-432F-A687-403A4A3B45E9}"/>
    <cellStyle name="Normal 4 4 2 2 4 3 3" xfId="22065" xr:uid="{6EA80422-1006-4255-90E5-CC4A1C7BDD73}"/>
    <cellStyle name="Normal 4 4 2 2 4 3 4" xfId="13617" xr:uid="{BB5CB2DE-9244-4924-8F22-16CAD03105B3}"/>
    <cellStyle name="Normal 4 4 2 2 4 4" xfId="26288" xr:uid="{3EA27413-0C53-4EEE-8846-8899302F9E8E}"/>
    <cellStyle name="Normal 4 4 2 2 4 5" xfId="17847" xr:uid="{D5B60B40-9C0F-4285-8A7F-B4EDC1AF96D5}"/>
    <cellStyle name="Normal 4 4 2 2 4 6" xfId="9399" xr:uid="{B0BB0DC7-2BF2-41DE-9739-279C0B113437}"/>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33064" xr:uid="{7611FA81-DCC4-4569-B5BF-8163A2F54458}"/>
    <cellStyle name="Normal 4 4 2 2 5 2 2 3" xfId="24623" xr:uid="{2CB63EF7-B5DB-4451-9149-63B1ADE11EC8}"/>
    <cellStyle name="Normal 4 4 2 2 5 2 2 4" xfId="16175" xr:uid="{AAE58FD7-2B09-42C8-B47F-99D6A2ADE98E}"/>
    <cellStyle name="Normal 4 4 2 2 5 2 3" xfId="28846" xr:uid="{E7105A45-9BEE-44AD-9D9D-371E3E5BF769}"/>
    <cellStyle name="Normal 4 4 2 2 5 2 4" xfId="20405" xr:uid="{31876FA4-CC62-4911-935A-F075CED73805}"/>
    <cellStyle name="Normal 4 4 2 2 5 2 5" xfId="11957" xr:uid="{8BEAA9DE-21ED-4F41-850C-3546DC4889D6}"/>
    <cellStyle name="Normal 4 4 2 2 5 3" xfId="5580" xr:uid="{00000000-0005-0000-0000-00000A150000}"/>
    <cellStyle name="Normal 4 4 2 2 5 3 2" xfId="30919" xr:uid="{C1AA1F36-DA8E-4ED5-B1B9-A34A8D3C9E01}"/>
    <cellStyle name="Normal 4 4 2 2 5 3 3" xfId="22478" xr:uid="{918E0943-3EF4-4865-AE7E-4017A1F5BF35}"/>
    <cellStyle name="Normal 4 4 2 2 5 3 4" xfId="14030" xr:uid="{A9F1A68B-05A6-47C1-9915-EFE6FC2034F2}"/>
    <cellStyle name="Normal 4 4 2 2 5 4" xfId="26701" xr:uid="{E306D18D-C31E-4843-833F-4E74925A59A8}"/>
    <cellStyle name="Normal 4 4 2 2 5 5" xfId="18260" xr:uid="{BCE8B216-DFA4-4128-8618-9D9E4640EB2D}"/>
    <cellStyle name="Normal 4 4 2 2 5 6" xfId="9812" xr:uid="{81E43121-5826-4FDE-AC18-33CE9E35F81E}"/>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33477" xr:uid="{A459413A-9826-4DCF-B1DE-3F0B963F8D8B}"/>
    <cellStyle name="Normal 4 4 2 2 6 2 2 3" xfId="25036" xr:uid="{C7241AAB-0FCE-4F3B-B019-E734F95B93C5}"/>
    <cellStyle name="Normal 4 4 2 2 6 2 2 4" xfId="16588" xr:uid="{D7A60DB4-45AD-4F75-A6B3-C88D38973A3E}"/>
    <cellStyle name="Normal 4 4 2 2 6 2 3" xfId="29259" xr:uid="{EF12F1E2-8495-4B9F-9F34-479CF5EBF68B}"/>
    <cellStyle name="Normal 4 4 2 2 6 2 4" xfId="20818" xr:uid="{8E7B4F70-DBB0-4AC0-8586-5E99A204C0B1}"/>
    <cellStyle name="Normal 4 4 2 2 6 2 5" xfId="12370" xr:uid="{1ED5C3D5-8F64-4C74-9197-520B04C5D8A7}"/>
    <cellStyle name="Normal 4 4 2 2 6 3" xfId="5993" xr:uid="{00000000-0005-0000-0000-00000E150000}"/>
    <cellStyle name="Normal 4 4 2 2 6 3 2" xfId="31332" xr:uid="{A1072B98-3232-4888-8CF8-F408CC45EECF}"/>
    <cellStyle name="Normal 4 4 2 2 6 3 3" xfId="22891" xr:uid="{FD3F1E9E-ADBB-41A8-A761-4A9C7A9B30FA}"/>
    <cellStyle name="Normal 4 4 2 2 6 3 4" xfId="14443" xr:uid="{9FCF5E76-5818-40EA-85A0-E363C090BFC4}"/>
    <cellStyle name="Normal 4 4 2 2 6 4" xfId="27114" xr:uid="{F0B0F91A-1F23-4F8E-AFFD-256638112061}"/>
    <cellStyle name="Normal 4 4 2 2 6 5" xfId="18673" xr:uid="{5B6ACF74-B619-4730-87FE-2EC8E9E520DD}"/>
    <cellStyle name="Normal 4 4 2 2 6 6" xfId="10225" xr:uid="{D24CBF7B-B735-4DCC-A25D-1DED78DF55BC}"/>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33890" xr:uid="{9AEBC9DD-7707-4337-8424-420596944DF3}"/>
    <cellStyle name="Normal 4 4 2 2 7 2 2 3" xfId="25449" xr:uid="{06F034FC-B13A-41E6-B51E-25D964CCC4FB}"/>
    <cellStyle name="Normal 4 4 2 2 7 2 2 4" xfId="17001" xr:uid="{64F08927-42DB-4F76-B725-FECC4A8BB2C8}"/>
    <cellStyle name="Normal 4 4 2 2 7 2 3" xfId="29672" xr:uid="{4D9156DF-DFC9-4611-B8DD-F1AC7D375754}"/>
    <cellStyle name="Normal 4 4 2 2 7 2 4" xfId="21231" xr:uid="{F8D63549-2CBF-4099-A59F-DC8D9212C127}"/>
    <cellStyle name="Normal 4 4 2 2 7 2 5" xfId="12783" xr:uid="{C7F96BDA-6BC2-45C9-8AB7-BAB34E020D42}"/>
    <cellStyle name="Normal 4 4 2 2 7 3" xfId="6406" xr:uid="{00000000-0005-0000-0000-000012150000}"/>
    <cellStyle name="Normal 4 4 2 2 7 3 2" xfId="31745" xr:uid="{64DA4F61-0199-470B-8E80-77BE565F0E00}"/>
    <cellStyle name="Normal 4 4 2 2 7 3 3" xfId="23304" xr:uid="{12D29F86-AA13-4380-BF06-07047A07788E}"/>
    <cellStyle name="Normal 4 4 2 2 7 3 4" xfId="14856" xr:uid="{66237CC0-FEEC-4CDC-8E96-79F30B206B24}"/>
    <cellStyle name="Normal 4 4 2 2 7 4" xfId="27527" xr:uid="{4B2871A2-3778-43C8-8672-105D31E02400}"/>
    <cellStyle name="Normal 4 4 2 2 7 5" xfId="19086" xr:uid="{03B57A77-DDAF-4694-B258-79CE0C866F65}"/>
    <cellStyle name="Normal 4 4 2 2 7 6" xfId="10638" xr:uid="{85CC5E57-E202-4F8F-87C6-5B29E04A530D}"/>
    <cellStyle name="Normal 4 4 2 2 8" xfId="2536" xr:uid="{00000000-0005-0000-0000-000013150000}"/>
    <cellStyle name="Normal 4 4 2 2 8 2" xfId="6819" xr:uid="{00000000-0005-0000-0000-000014150000}"/>
    <cellStyle name="Normal 4 4 2 2 8 2 2" xfId="32158" xr:uid="{BCFF37FF-9313-40D9-A167-26320D143592}"/>
    <cellStyle name="Normal 4 4 2 2 8 2 3" xfId="23717" xr:uid="{7DAB2158-D85D-40FF-BA4C-AA44F07F9E00}"/>
    <cellStyle name="Normal 4 4 2 2 8 2 4" xfId="15269" xr:uid="{AD2B67B5-CB03-4677-8326-64A0A2A0C1C1}"/>
    <cellStyle name="Normal 4 4 2 2 8 3" xfId="27940" xr:uid="{F8C3F466-0173-4D3B-8CF9-0DDD0F9BA970}"/>
    <cellStyle name="Normal 4 4 2 2 8 4" xfId="19499" xr:uid="{E00807BB-D2E2-4365-882B-6D8FDD2FCD13}"/>
    <cellStyle name="Normal 4 4 2 2 8 5" xfId="11051" xr:uid="{68CF87D6-34E2-4D41-AE2D-CA5D039F10C8}"/>
    <cellStyle name="Normal 4 4 2 2 9" xfId="4754" xr:uid="{00000000-0005-0000-0000-000015150000}"/>
    <cellStyle name="Normal 4 4 2 2 9 2" xfId="30093" xr:uid="{A10E6A67-B8E0-4F14-A321-D239A3317942}"/>
    <cellStyle name="Normal 4 4 2 2 9 3" xfId="21652" xr:uid="{CFB27C36-C099-4DEE-874B-FEDEAD8128AA}"/>
    <cellStyle name="Normal 4 4 2 2 9 4" xfId="13204" xr:uid="{4DE023CB-C298-43FD-B6EC-EE66F64BC85B}"/>
    <cellStyle name="Normal 4 4 2 3" xfId="384" xr:uid="{00000000-0005-0000-0000-000016150000}"/>
    <cellStyle name="Normal 4 4 2 3 10" xfId="17438" xr:uid="{87191C47-A73D-4BE9-A657-883971C87E73}"/>
    <cellStyle name="Normal 4 4 2 3 11" xfId="8990" xr:uid="{600642A6-1547-4CB9-B0EA-4D5175EC18C1}"/>
    <cellStyle name="Normal 4 4 2 3 2" xfId="385" xr:uid="{00000000-0005-0000-0000-000017150000}"/>
    <cellStyle name="Normal 4 4 2 3 2 10" xfId="8991" xr:uid="{FC7B00B9-D487-41B9-8425-A61CDB9DA2F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32656" xr:uid="{8F32159E-CBE8-43C7-832B-E5248214252B}"/>
    <cellStyle name="Normal 4 4 2 3 2 2 2 2 3" xfId="24215" xr:uid="{C3A82E68-434E-49F8-B266-93B0C9BF9AE0}"/>
    <cellStyle name="Normal 4 4 2 3 2 2 2 2 4" xfId="15767" xr:uid="{D631C352-00FA-4094-89A8-863B9E5B4D39}"/>
    <cellStyle name="Normal 4 4 2 3 2 2 2 3" xfId="28438" xr:uid="{972DABF7-C77E-4C16-8193-0D04879BFE67}"/>
    <cellStyle name="Normal 4 4 2 3 2 2 2 4" xfId="19997" xr:uid="{161701E2-CDF6-402A-8FAC-44ED8BE59065}"/>
    <cellStyle name="Normal 4 4 2 3 2 2 2 5" xfId="11549" xr:uid="{DD772A3A-CF62-467C-82BC-353C65A2996B}"/>
    <cellStyle name="Normal 4 4 2 3 2 2 3" xfId="5172" xr:uid="{00000000-0005-0000-0000-00001B150000}"/>
    <cellStyle name="Normal 4 4 2 3 2 2 3 2" xfId="30511" xr:uid="{9161E960-BA2F-411D-933E-6D1D277B7ED0}"/>
    <cellStyle name="Normal 4 4 2 3 2 2 3 3" xfId="22070" xr:uid="{60EFC579-F600-4BA6-AFCE-AA4AB1360111}"/>
    <cellStyle name="Normal 4 4 2 3 2 2 3 4" xfId="13622" xr:uid="{439FD566-A3D4-412C-B133-FC8EDAD81282}"/>
    <cellStyle name="Normal 4 4 2 3 2 2 4" xfId="26293" xr:uid="{DD59BD22-CCA3-481F-919C-A4C513CBD05A}"/>
    <cellStyle name="Normal 4 4 2 3 2 2 5" xfId="17852" xr:uid="{5061386B-E170-481E-9C65-11180CAC12D3}"/>
    <cellStyle name="Normal 4 4 2 3 2 2 6" xfId="9404" xr:uid="{261976C0-E033-4E7B-AD28-1563AB632FAD}"/>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33069" xr:uid="{2E989A7D-65A2-4AD4-9C6E-6943CBEE3418}"/>
    <cellStyle name="Normal 4 4 2 3 2 3 2 2 3" xfId="24628" xr:uid="{FBE3586C-4EE7-4BE5-B723-E1E47FBCFB36}"/>
    <cellStyle name="Normal 4 4 2 3 2 3 2 2 4" xfId="16180" xr:uid="{D7C1829D-1F57-4319-890F-1DADEBDC4896}"/>
    <cellStyle name="Normal 4 4 2 3 2 3 2 3" xfId="28851" xr:uid="{0E83110E-A0DB-4882-B54E-A19F597C994B}"/>
    <cellStyle name="Normal 4 4 2 3 2 3 2 4" xfId="20410" xr:uid="{3CA6B9A1-95BF-44F0-B11B-511A0708A60F}"/>
    <cellStyle name="Normal 4 4 2 3 2 3 2 5" xfId="11962" xr:uid="{8C55839F-1DD7-46AE-92DB-98B8CA42001D}"/>
    <cellStyle name="Normal 4 4 2 3 2 3 3" xfId="5585" xr:uid="{00000000-0005-0000-0000-00001F150000}"/>
    <cellStyle name="Normal 4 4 2 3 2 3 3 2" xfId="30924" xr:uid="{4083E008-ED30-4C5D-82BF-A4D79590DDCF}"/>
    <cellStyle name="Normal 4 4 2 3 2 3 3 3" xfId="22483" xr:uid="{BFD7740E-A6FF-4BFB-BE4B-3EC91A8B9F77}"/>
    <cellStyle name="Normal 4 4 2 3 2 3 3 4" xfId="14035" xr:uid="{00B8E813-83F3-4501-AA72-580DD05E4043}"/>
    <cellStyle name="Normal 4 4 2 3 2 3 4" xfId="26706" xr:uid="{3C21BFA5-B0D0-4568-8D48-18674F5A1381}"/>
    <cellStyle name="Normal 4 4 2 3 2 3 5" xfId="18265" xr:uid="{8456ED38-4425-4F20-AE58-9C3E32B1D1E4}"/>
    <cellStyle name="Normal 4 4 2 3 2 3 6" xfId="9817" xr:uid="{7151FEF7-ABE2-4847-B399-AAB1E4220955}"/>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33482" xr:uid="{7AAB6668-3564-45CF-902C-711E3305B700}"/>
    <cellStyle name="Normal 4 4 2 3 2 4 2 2 3" xfId="25041" xr:uid="{FF895A32-708A-4F7B-832A-4EBEBDAE7546}"/>
    <cellStyle name="Normal 4 4 2 3 2 4 2 2 4" xfId="16593" xr:uid="{7816FFAB-1F6E-4008-8BAA-B9C8A057A69E}"/>
    <cellStyle name="Normal 4 4 2 3 2 4 2 3" xfId="29264" xr:uid="{0AE0D93E-2C40-43B7-B923-EEFDD02BD1F3}"/>
    <cellStyle name="Normal 4 4 2 3 2 4 2 4" xfId="20823" xr:uid="{84E429F4-DFDC-49FA-95E8-1CF815FF4806}"/>
    <cellStyle name="Normal 4 4 2 3 2 4 2 5" xfId="12375" xr:uid="{59384082-0C64-43DB-AA8A-063B56936342}"/>
    <cellStyle name="Normal 4 4 2 3 2 4 3" xfId="5998" xr:uid="{00000000-0005-0000-0000-000023150000}"/>
    <cellStyle name="Normal 4 4 2 3 2 4 3 2" xfId="31337" xr:uid="{4DC87DAD-3296-464E-A5D7-031BE6FDD61B}"/>
    <cellStyle name="Normal 4 4 2 3 2 4 3 3" xfId="22896" xr:uid="{0CAF1C8C-0BEE-4AD4-8448-9E3C0BFECDBE}"/>
    <cellStyle name="Normal 4 4 2 3 2 4 3 4" xfId="14448" xr:uid="{3B046CB7-CAB3-4023-9061-E0C21CA8AE01}"/>
    <cellStyle name="Normal 4 4 2 3 2 4 4" xfId="27119" xr:uid="{5B5E25D9-F7DA-4865-AB8E-E55FF36259F6}"/>
    <cellStyle name="Normal 4 4 2 3 2 4 5" xfId="18678" xr:uid="{EDB89455-D285-46F5-A7C7-0C1E134B643D}"/>
    <cellStyle name="Normal 4 4 2 3 2 4 6" xfId="10230" xr:uid="{7751853C-E342-41E3-AAF1-95725E388124}"/>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33895" xr:uid="{0BA7B832-1122-4085-91EE-802AA4CA07B5}"/>
    <cellStyle name="Normal 4 4 2 3 2 5 2 2 3" xfId="25454" xr:uid="{FF1DAF43-D2B6-4722-83A7-374EB062CDBB}"/>
    <cellStyle name="Normal 4 4 2 3 2 5 2 2 4" xfId="17006" xr:uid="{750B5191-3724-4FF0-9C82-8FC39E8D288F}"/>
    <cellStyle name="Normal 4 4 2 3 2 5 2 3" xfId="29677" xr:uid="{F777FCE5-0D28-4B35-B385-8CFF09D5B1FD}"/>
    <cellStyle name="Normal 4 4 2 3 2 5 2 4" xfId="21236" xr:uid="{B7B8AC1E-AC0E-4394-BEA5-0F67FE251B7C}"/>
    <cellStyle name="Normal 4 4 2 3 2 5 2 5" xfId="12788" xr:uid="{1694AD03-4B0C-4F21-B37D-89F08589FDD0}"/>
    <cellStyle name="Normal 4 4 2 3 2 5 3" xfId="6411" xr:uid="{00000000-0005-0000-0000-000027150000}"/>
    <cellStyle name="Normal 4 4 2 3 2 5 3 2" xfId="31750" xr:uid="{0B4BDEBE-127B-4CED-8E9D-76BECD445C85}"/>
    <cellStyle name="Normal 4 4 2 3 2 5 3 3" xfId="23309" xr:uid="{857FC1A6-6986-4112-8C84-10DBC9C0F552}"/>
    <cellStyle name="Normal 4 4 2 3 2 5 3 4" xfId="14861" xr:uid="{850E5E59-70AF-486E-BA76-DBE0087E18EE}"/>
    <cellStyle name="Normal 4 4 2 3 2 5 4" xfId="27532" xr:uid="{F66EB898-6B11-4E69-B086-F69EE94B8772}"/>
    <cellStyle name="Normal 4 4 2 3 2 5 5" xfId="19091" xr:uid="{FE95F279-1C87-4AEE-8FE1-D459F59DC5DA}"/>
    <cellStyle name="Normal 4 4 2 3 2 5 6" xfId="10643" xr:uid="{C9893F0A-4D3B-4364-9B18-FF21866D050C}"/>
    <cellStyle name="Normal 4 4 2 3 2 6" xfId="2541" xr:uid="{00000000-0005-0000-0000-000028150000}"/>
    <cellStyle name="Normal 4 4 2 3 2 6 2" xfId="6824" xr:uid="{00000000-0005-0000-0000-000029150000}"/>
    <cellStyle name="Normal 4 4 2 3 2 6 2 2" xfId="32163" xr:uid="{60A1C340-F5DA-49BE-95AE-379B519E1659}"/>
    <cellStyle name="Normal 4 4 2 3 2 6 2 3" xfId="23722" xr:uid="{92591D46-AE97-48CC-A12B-AE83C48A9174}"/>
    <cellStyle name="Normal 4 4 2 3 2 6 2 4" xfId="15274" xr:uid="{F9AD4A0C-537B-4E79-B042-7C8C2F3E381B}"/>
    <cellStyle name="Normal 4 4 2 3 2 6 3" xfId="27945" xr:uid="{ECB90391-EB66-4B24-9965-F5D41F35DE5D}"/>
    <cellStyle name="Normal 4 4 2 3 2 6 4" xfId="19504" xr:uid="{C3057982-421C-426A-B00D-F96DF1929A14}"/>
    <cellStyle name="Normal 4 4 2 3 2 6 5" xfId="11056" xr:uid="{2A72B36A-302E-4479-89B9-E94BBC729411}"/>
    <cellStyle name="Normal 4 4 2 3 2 7" xfId="4759" xr:uid="{00000000-0005-0000-0000-00002A150000}"/>
    <cellStyle name="Normal 4 4 2 3 2 7 2" xfId="30098" xr:uid="{878BA7D2-A1BC-40B8-AB8E-DE3639C7DE7D}"/>
    <cellStyle name="Normal 4 4 2 3 2 7 3" xfId="21657" xr:uid="{D2B58A91-3C14-401F-9448-AF528720EBD6}"/>
    <cellStyle name="Normal 4 4 2 3 2 7 4" xfId="13209" xr:uid="{BBE4FDE8-4796-4749-B5FC-58EF2C7D8923}"/>
    <cellStyle name="Normal 4 4 2 3 2 8" xfId="25880" xr:uid="{89BF8824-6AAF-48B8-886F-DE797B445D61}"/>
    <cellStyle name="Normal 4 4 2 3 2 9" xfId="17439" xr:uid="{0AAC7EFA-CD3A-4846-A878-059F5609B8A0}"/>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32655" xr:uid="{54A9D447-6D7F-4CBA-8602-033FC151D160}"/>
    <cellStyle name="Normal 4 4 2 3 3 2 2 3" xfId="24214" xr:uid="{5D13F740-C334-41C2-BDEA-9A8D8ECF0B49}"/>
    <cellStyle name="Normal 4 4 2 3 3 2 2 4" xfId="15766" xr:uid="{5D136001-5E84-4B3B-B9FA-2A2178027C6B}"/>
    <cellStyle name="Normal 4 4 2 3 3 2 3" xfId="28437" xr:uid="{7685F17E-4E69-4CE6-8E81-9234EF0CE59F}"/>
    <cellStyle name="Normal 4 4 2 3 3 2 4" xfId="19996" xr:uid="{19177756-16C5-4132-A076-59679688A5C0}"/>
    <cellStyle name="Normal 4 4 2 3 3 2 5" xfId="11548" xr:uid="{78A21A41-2742-4B8E-A5FE-1916B78BCDA2}"/>
    <cellStyle name="Normal 4 4 2 3 3 3" xfId="5171" xr:uid="{00000000-0005-0000-0000-00002E150000}"/>
    <cellStyle name="Normal 4 4 2 3 3 3 2" xfId="30510" xr:uid="{90BF08E1-27B7-4278-803C-EE276253984F}"/>
    <cellStyle name="Normal 4 4 2 3 3 3 3" xfId="22069" xr:uid="{51823E07-80B3-470D-9AF7-C0037EEC9AFE}"/>
    <cellStyle name="Normal 4 4 2 3 3 3 4" xfId="13621" xr:uid="{27D92705-6EF3-4722-9125-2AF0A66FAD7C}"/>
    <cellStyle name="Normal 4 4 2 3 3 4" xfId="26292" xr:uid="{D028C948-B1B6-4E9A-8F2E-579435B8A5A9}"/>
    <cellStyle name="Normal 4 4 2 3 3 5" xfId="17851" xr:uid="{617A02DA-1F68-4BA1-82EB-4CD383CF29A2}"/>
    <cellStyle name="Normal 4 4 2 3 3 6" xfId="9403" xr:uid="{DCC9305F-0122-4620-B347-5FA683EDAB80}"/>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33068" xr:uid="{3D5A2133-4F9D-498F-B5CA-28C036C9143E}"/>
    <cellStyle name="Normal 4 4 2 3 4 2 2 3" xfId="24627" xr:uid="{7292EEE7-84B6-431C-9771-17AF09498E57}"/>
    <cellStyle name="Normal 4 4 2 3 4 2 2 4" xfId="16179" xr:uid="{C31777B8-947E-47DD-B40A-101C1354862A}"/>
    <cellStyle name="Normal 4 4 2 3 4 2 3" xfId="28850" xr:uid="{1B73D726-B459-4650-A0DC-680693906380}"/>
    <cellStyle name="Normal 4 4 2 3 4 2 4" xfId="20409" xr:uid="{D428E9A6-0996-46DA-A9AD-B765A7F0AFC7}"/>
    <cellStyle name="Normal 4 4 2 3 4 2 5" xfId="11961" xr:uid="{4E765309-7473-45AB-A945-B9580D5619B4}"/>
    <cellStyle name="Normal 4 4 2 3 4 3" xfId="5584" xr:uid="{00000000-0005-0000-0000-000032150000}"/>
    <cellStyle name="Normal 4 4 2 3 4 3 2" xfId="30923" xr:uid="{70513135-8FA6-488A-ADC6-594BADE00D76}"/>
    <cellStyle name="Normal 4 4 2 3 4 3 3" xfId="22482" xr:uid="{C69007C9-B6F2-4725-8FE3-94443C463095}"/>
    <cellStyle name="Normal 4 4 2 3 4 3 4" xfId="14034" xr:uid="{FB03A8C3-05CC-4384-A662-3F6177A78338}"/>
    <cellStyle name="Normal 4 4 2 3 4 4" xfId="26705" xr:uid="{003AAEEF-CB44-42BD-AC27-9159902F6E74}"/>
    <cellStyle name="Normal 4 4 2 3 4 5" xfId="18264" xr:uid="{4160353F-C5B6-4874-89F2-17A867C982B9}"/>
    <cellStyle name="Normal 4 4 2 3 4 6" xfId="9816" xr:uid="{CAB16A33-47C9-49D6-89CB-03573FC34D24}"/>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33481" xr:uid="{6C334EED-3914-4169-8C98-0420CA26C427}"/>
    <cellStyle name="Normal 4 4 2 3 5 2 2 3" xfId="25040" xr:uid="{2396048F-DFDB-411A-80BE-5C9EF37F469E}"/>
    <cellStyle name="Normal 4 4 2 3 5 2 2 4" xfId="16592" xr:uid="{3DE1F4A2-9C1E-493C-92F8-9B0526BE4EE6}"/>
    <cellStyle name="Normal 4 4 2 3 5 2 3" xfId="29263" xr:uid="{F769E8A3-E166-4919-8E7C-FC199F79FD0E}"/>
    <cellStyle name="Normal 4 4 2 3 5 2 4" xfId="20822" xr:uid="{E0FFF013-6F59-47D6-A376-411493F4EC41}"/>
    <cellStyle name="Normal 4 4 2 3 5 2 5" xfId="12374" xr:uid="{E2EE17E5-C6C0-4290-839D-382B6A5ED355}"/>
    <cellStyle name="Normal 4 4 2 3 5 3" xfId="5997" xr:uid="{00000000-0005-0000-0000-000036150000}"/>
    <cellStyle name="Normal 4 4 2 3 5 3 2" xfId="31336" xr:uid="{F72801D2-0151-4CFA-AB01-8E7D8FA0C7A1}"/>
    <cellStyle name="Normal 4 4 2 3 5 3 3" xfId="22895" xr:uid="{5F01F422-AD88-4991-BAC5-49CF527E0A57}"/>
    <cellStyle name="Normal 4 4 2 3 5 3 4" xfId="14447" xr:uid="{FA21AE23-C4A1-497F-B26B-91E031EDD24A}"/>
    <cellStyle name="Normal 4 4 2 3 5 4" xfId="27118" xr:uid="{BBFFDBBC-A838-4A97-84C3-239934507667}"/>
    <cellStyle name="Normal 4 4 2 3 5 5" xfId="18677" xr:uid="{B9901DDA-495F-49BB-846F-066859280A69}"/>
    <cellStyle name="Normal 4 4 2 3 5 6" xfId="10229" xr:uid="{6870BE07-A0E5-4262-950E-B0E29FEFF1F4}"/>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33894" xr:uid="{C3703281-F6A4-4D9E-8A43-99F9CD8AE10B}"/>
    <cellStyle name="Normal 4 4 2 3 6 2 2 3" xfId="25453" xr:uid="{82C71CE6-C234-4E65-9BCA-C76E53423C52}"/>
    <cellStyle name="Normal 4 4 2 3 6 2 2 4" xfId="17005" xr:uid="{1513151C-7A49-486F-9B72-85F05A1F8421}"/>
    <cellStyle name="Normal 4 4 2 3 6 2 3" xfId="29676" xr:uid="{5E98379E-E99B-4045-A788-B16FC919881A}"/>
    <cellStyle name="Normal 4 4 2 3 6 2 4" xfId="21235" xr:uid="{85AABD11-C2A0-4ED8-81D3-E0C57EBA0129}"/>
    <cellStyle name="Normal 4 4 2 3 6 2 5" xfId="12787" xr:uid="{DDAA467C-ECF2-4B47-B9B1-82614DADDBF8}"/>
    <cellStyle name="Normal 4 4 2 3 6 3" xfId="6410" xr:uid="{00000000-0005-0000-0000-00003A150000}"/>
    <cellStyle name="Normal 4 4 2 3 6 3 2" xfId="31749" xr:uid="{7982A228-8FFF-4F2D-83B3-402195C33315}"/>
    <cellStyle name="Normal 4 4 2 3 6 3 3" xfId="23308" xr:uid="{1DF7B49F-B181-4912-A896-8AE0685EFF30}"/>
    <cellStyle name="Normal 4 4 2 3 6 3 4" xfId="14860" xr:uid="{E8656A7B-1E0A-4E58-91B5-2A9442B5D2CC}"/>
    <cellStyle name="Normal 4 4 2 3 6 4" xfId="27531" xr:uid="{34E6836A-ED70-44B6-BD81-05B2AC37BFB7}"/>
    <cellStyle name="Normal 4 4 2 3 6 5" xfId="19090" xr:uid="{4BCCA5BF-6F47-400D-AF62-98F255F8B90D}"/>
    <cellStyle name="Normal 4 4 2 3 6 6" xfId="10642" xr:uid="{D1F3FC12-57DA-47A6-A83D-7F8BB42ABF2F}"/>
    <cellStyle name="Normal 4 4 2 3 7" xfId="2540" xr:uid="{00000000-0005-0000-0000-00003B150000}"/>
    <cellStyle name="Normal 4 4 2 3 7 2" xfId="6823" xr:uid="{00000000-0005-0000-0000-00003C150000}"/>
    <cellStyle name="Normal 4 4 2 3 7 2 2" xfId="32162" xr:uid="{29153631-139F-4878-8670-9E0F56B3D259}"/>
    <cellStyle name="Normal 4 4 2 3 7 2 3" xfId="23721" xr:uid="{A1F6CFB6-F95C-4F19-8FC9-6DCBBC9DF767}"/>
    <cellStyle name="Normal 4 4 2 3 7 2 4" xfId="15273" xr:uid="{A9E4DAAC-AA09-4D6E-B39A-2E2969B6129E}"/>
    <cellStyle name="Normal 4 4 2 3 7 3" xfId="27944" xr:uid="{0CACB69A-DB80-40D8-BF9A-AE54742C526F}"/>
    <cellStyle name="Normal 4 4 2 3 7 4" xfId="19503" xr:uid="{5AAF740A-4CEB-47B2-999F-2C36EC33D450}"/>
    <cellStyle name="Normal 4 4 2 3 7 5" xfId="11055" xr:uid="{87D80E37-E07A-460E-801A-6B186B522CC4}"/>
    <cellStyle name="Normal 4 4 2 3 8" xfId="4758" xr:uid="{00000000-0005-0000-0000-00003D150000}"/>
    <cellStyle name="Normal 4 4 2 3 8 2" xfId="30097" xr:uid="{550CD3A2-D1C1-4B0C-A60B-59198095D05F}"/>
    <cellStyle name="Normal 4 4 2 3 8 3" xfId="21656" xr:uid="{A1B77EB1-7665-404F-9DCB-466E77515537}"/>
    <cellStyle name="Normal 4 4 2 3 8 4" xfId="13208" xr:uid="{F1C89EE7-A646-4143-B1F1-F748D31CF9E5}"/>
    <cellStyle name="Normal 4 4 2 3 9" xfId="25879" xr:uid="{27F1290B-1BAE-45F1-98D7-3631202BDCDB}"/>
    <cellStyle name="Normal 4 4 2 4" xfId="386" xr:uid="{00000000-0005-0000-0000-00003E150000}"/>
    <cellStyle name="Normal 4 4 2 4 10" xfId="8992" xr:uid="{0EBB653E-3655-4440-A6DA-E4275CE8CB73}"/>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32657" xr:uid="{50236AF4-48F2-49DC-BB9D-9D7855FFE8A9}"/>
    <cellStyle name="Normal 4 4 2 4 2 2 2 3" xfId="24216" xr:uid="{EF93931A-7B54-42E4-804E-7A2D1F106B5A}"/>
    <cellStyle name="Normal 4 4 2 4 2 2 2 4" xfId="15768" xr:uid="{93299CA3-065B-4262-A377-96388BE4B6EB}"/>
    <cellStyle name="Normal 4 4 2 4 2 2 3" xfId="28439" xr:uid="{043F2FE3-1AC1-46A6-8672-A74CFFE69180}"/>
    <cellStyle name="Normal 4 4 2 4 2 2 4" xfId="19998" xr:uid="{D7B2CADD-27A5-4501-9CD8-F8BAEA29934C}"/>
    <cellStyle name="Normal 4 4 2 4 2 2 5" xfId="11550" xr:uid="{91D1B0AF-3F34-4AA1-8595-21FC0523F905}"/>
    <cellStyle name="Normal 4 4 2 4 2 3" xfId="5173" xr:uid="{00000000-0005-0000-0000-000042150000}"/>
    <cellStyle name="Normal 4 4 2 4 2 3 2" xfId="30512" xr:uid="{F980FCEF-2AFB-40A9-ACB2-63B82D33BCF5}"/>
    <cellStyle name="Normal 4 4 2 4 2 3 3" xfId="22071" xr:uid="{C1B359B6-EC0C-4EFD-8107-D7AECA2388DB}"/>
    <cellStyle name="Normal 4 4 2 4 2 3 4" xfId="13623" xr:uid="{E3C9B1F4-3B77-4F78-B2E4-0CB1C1E274AB}"/>
    <cellStyle name="Normal 4 4 2 4 2 4" xfId="26294" xr:uid="{5C18C25E-B0D7-4E39-9882-CDCB7A719BDA}"/>
    <cellStyle name="Normal 4 4 2 4 2 5" xfId="17853" xr:uid="{06AAAE21-A321-4A57-B62B-9D63C3626229}"/>
    <cellStyle name="Normal 4 4 2 4 2 6" xfId="9405" xr:uid="{D849F70D-9C8B-45B3-B967-E8B4B7BAA5CF}"/>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33070" xr:uid="{780C2F57-76CB-4439-8D60-923E01113F2E}"/>
    <cellStyle name="Normal 4 4 2 4 3 2 2 3" xfId="24629" xr:uid="{E1AC3C82-38D8-48BF-B2A4-2B03C03E1E9F}"/>
    <cellStyle name="Normal 4 4 2 4 3 2 2 4" xfId="16181" xr:uid="{7E7076F5-A10B-4187-9A76-90788EBA30AD}"/>
    <cellStyle name="Normal 4 4 2 4 3 2 3" xfId="28852" xr:uid="{91F26DA5-5794-4709-AD12-80CC04BE4BA2}"/>
    <cellStyle name="Normal 4 4 2 4 3 2 4" xfId="20411" xr:uid="{2071BF82-92EC-4D3F-93D1-5561ECFA0FA5}"/>
    <cellStyle name="Normal 4 4 2 4 3 2 5" xfId="11963" xr:uid="{F66F9A59-54F5-46C5-BC9C-463A333C7D16}"/>
    <cellStyle name="Normal 4 4 2 4 3 3" xfId="5586" xr:uid="{00000000-0005-0000-0000-000046150000}"/>
    <cellStyle name="Normal 4 4 2 4 3 3 2" xfId="30925" xr:uid="{9364B85B-E2A4-4AC0-9FC8-4FBDF560E29A}"/>
    <cellStyle name="Normal 4 4 2 4 3 3 3" xfId="22484" xr:uid="{12B7F8CF-2F6D-4849-852E-2A1A104FC745}"/>
    <cellStyle name="Normal 4 4 2 4 3 3 4" xfId="14036" xr:uid="{A87DA266-1410-42EC-9C99-B4889BA3489E}"/>
    <cellStyle name="Normal 4 4 2 4 3 4" xfId="26707" xr:uid="{A07FDFBD-5FF5-45EB-B91E-24E6774776EF}"/>
    <cellStyle name="Normal 4 4 2 4 3 5" xfId="18266" xr:uid="{6F179B6D-4EA1-46B0-955D-6FBCFF8EC070}"/>
    <cellStyle name="Normal 4 4 2 4 3 6" xfId="9818" xr:uid="{EDD55710-DEDB-44D7-B2AF-8C6907882FDC}"/>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33483" xr:uid="{A0263FAD-0F9C-4878-933B-9758E9809CF1}"/>
    <cellStyle name="Normal 4 4 2 4 4 2 2 3" xfId="25042" xr:uid="{4BD08E2F-BA0F-4126-A0B4-F5970D59C824}"/>
    <cellStyle name="Normal 4 4 2 4 4 2 2 4" xfId="16594" xr:uid="{7906F18B-93B6-4B02-9E54-9BD3F5AAA74D}"/>
    <cellStyle name="Normal 4 4 2 4 4 2 3" xfId="29265" xr:uid="{8C0FBE50-7387-47B0-AC95-523B2A9DE24E}"/>
    <cellStyle name="Normal 4 4 2 4 4 2 4" xfId="20824" xr:uid="{5A0B8BB9-FA2B-4F8E-8ADA-692B20E826E3}"/>
    <cellStyle name="Normal 4 4 2 4 4 2 5" xfId="12376" xr:uid="{B6F90C2C-F0F5-4C5F-9E36-6DC88436D468}"/>
    <cellStyle name="Normal 4 4 2 4 4 3" xfId="5999" xr:uid="{00000000-0005-0000-0000-00004A150000}"/>
    <cellStyle name="Normal 4 4 2 4 4 3 2" xfId="31338" xr:uid="{92BAC42B-29AC-4F60-8A5E-8AF6D06E42DE}"/>
    <cellStyle name="Normal 4 4 2 4 4 3 3" xfId="22897" xr:uid="{7DE4FFDF-F130-431B-B878-5F6633C186BB}"/>
    <cellStyle name="Normal 4 4 2 4 4 3 4" xfId="14449" xr:uid="{82ED99AF-9E09-418C-A470-2B9AD3B4301D}"/>
    <cellStyle name="Normal 4 4 2 4 4 4" xfId="27120" xr:uid="{F7C1CD36-6409-4DA9-897C-ACC531DFEF31}"/>
    <cellStyle name="Normal 4 4 2 4 4 5" xfId="18679" xr:uid="{704CF665-201F-414F-B8E9-3C5EBB7316AE}"/>
    <cellStyle name="Normal 4 4 2 4 4 6" xfId="10231" xr:uid="{87514430-E159-4A62-9468-D7E471B296A3}"/>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33896" xr:uid="{BB7FA319-C38D-4A18-82CF-66B2A89CEC59}"/>
    <cellStyle name="Normal 4 4 2 4 5 2 2 3" xfId="25455" xr:uid="{DE23CB0F-9667-4CF8-8100-94991C7F52D4}"/>
    <cellStyle name="Normal 4 4 2 4 5 2 2 4" xfId="17007" xr:uid="{0114F6BF-783E-4CE9-AD18-812383598F29}"/>
    <cellStyle name="Normal 4 4 2 4 5 2 3" xfId="29678" xr:uid="{1BED3464-4EEF-485D-A0B9-90ECBB9759F3}"/>
    <cellStyle name="Normal 4 4 2 4 5 2 4" xfId="21237" xr:uid="{A248DE47-799A-4A7D-9F47-E67CAA22AE60}"/>
    <cellStyle name="Normal 4 4 2 4 5 2 5" xfId="12789" xr:uid="{F8849C17-8985-42FE-AF7E-A299C8E5E585}"/>
    <cellStyle name="Normal 4 4 2 4 5 3" xfId="6412" xr:uid="{00000000-0005-0000-0000-00004E150000}"/>
    <cellStyle name="Normal 4 4 2 4 5 3 2" xfId="31751" xr:uid="{D95D10DA-3430-4D4C-876E-7EA9B15DB603}"/>
    <cellStyle name="Normal 4 4 2 4 5 3 3" xfId="23310" xr:uid="{535DB431-F29C-402D-ACED-5E8294948DD9}"/>
    <cellStyle name="Normal 4 4 2 4 5 3 4" xfId="14862" xr:uid="{8E938B7E-38F2-4AAA-929A-3E0F8732A08C}"/>
    <cellStyle name="Normal 4 4 2 4 5 4" xfId="27533" xr:uid="{A4722EAD-809A-41F6-ADCD-8A1B83F52ECD}"/>
    <cellStyle name="Normal 4 4 2 4 5 5" xfId="19092" xr:uid="{E770956C-F85E-4687-B10D-C6F5180D6BFB}"/>
    <cellStyle name="Normal 4 4 2 4 5 6" xfId="10644" xr:uid="{E48F5897-06C9-4CDD-8216-5CC08C58F11B}"/>
    <cellStyle name="Normal 4 4 2 4 6" xfId="2542" xr:uid="{00000000-0005-0000-0000-00004F150000}"/>
    <cellStyle name="Normal 4 4 2 4 6 2" xfId="6825" xr:uid="{00000000-0005-0000-0000-000050150000}"/>
    <cellStyle name="Normal 4 4 2 4 6 2 2" xfId="32164" xr:uid="{277226E1-018C-4D67-AA6D-019FB6EC07C2}"/>
    <cellStyle name="Normal 4 4 2 4 6 2 3" xfId="23723" xr:uid="{500998E5-FE83-4993-AE03-A66910EAF3EA}"/>
    <cellStyle name="Normal 4 4 2 4 6 2 4" xfId="15275" xr:uid="{B16E6305-0795-4367-8444-F929C98BB52B}"/>
    <cellStyle name="Normal 4 4 2 4 6 3" xfId="27946" xr:uid="{F6A453FA-789C-4E72-9E6B-54342E7173FD}"/>
    <cellStyle name="Normal 4 4 2 4 6 4" xfId="19505" xr:uid="{B193ED26-382B-4AAD-A939-AC0F10D522D7}"/>
    <cellStyle name="Normal 4 4 2 4 6 5" xfId="11057" xr:uid="{61FBB665-180F-4B6E-B4A5-0CCFDB954CEB}"/>
    <cellStyle name="Normal 4 4 2 4 7" xfId="4760" xr:uid="{00000000-0005-0000-0000-000051150000}"/>
    <cellStyle name="Normal 4 4 2 4 7 2" xfId="30099" xr:uid="{827BAF28-7BA9-43D6-9250-3EEE0E1D941A}"/>
    <cellStyle name="Normal 4 4 2 4 7 3" xfId="21658" xr:uid="{9F4899DF-B534-4626-8159-A728E70BBC58}"/>
    <cellStyle name="Normal 4 4 2 4 7 4" xfId="13210" xr:uid="{F8DFF559-BA7C-447D-8426-BFFA34155BE4}"/>
    <cellStyle name="Normal 4 4 2 4 8" xfId="25881" xr:uid="{70EC08E8-3746-441D-A870-375683C2C985}"/>
    <cellStyle name="Normal 4 4 2 4 9" xfId="17440" xr:uid="{5901D8C1-B4CC-43CA-B62A-5EB5B47429D6}"/>
    <cellStyle name="Normal 4 4 2 5" xfId="854" xr:uid="{00000000-0005-0000-0000-000052150000}"/>
    <cellStyle name="Normal 4 4 2 5 2" xfId="3089" xr:uid="{00000000-0005-0000-0000-000053150000}"/>
    <cellStyle name="Normal 4 4 2 5 2 2" xfId="7311" xr:uid="{00000000-0005-0000-0000-000054150000}"/>
    <cellStyle name="Normal 4 4 2 5 2 2 2" xfId="32650" xr:uid="{91AA76C8-38B4-4B8F-9438-09EA570A7CE3}"/>
    <cellStyle name="Normal 4 4 2 5 2 2 3" xfId="24209" xr:uid="{EC29AEBE-F0F7-44ED-88F2-AD864135C999}"/>
    <cellStyle name="Normal 4 4 2 5 2 2 4" xfId="15761" xr:uid="{97DE6C6E-3804-460C-89C3-4B4A85AFBC4F}"/>
    <cellStyle name="Normal 4 4 2 5 2 3" xfId="28432" xr:uid="{B239A6A4-9B97-4F15-9F25-555560CB21D5}"/>
    <cellStyle name="Normal 4 4 2 5 2 4" xfId="19991" xr:uid="{86538B69-2A99-4D63-870C-0CBD0D2386F0}"/>
    <cellStyle name="Normal 4 4 2 5 2 5" xfId="11543" xr:uid="{4F33F7A2-2B6C-45BD-AEF9-145DFD5A6067}"/>
    <cellStyle name="Normal 4 4 2 5 3" xfId="5166" xr:uid="{00000000-0005-0000-0000-000055150000}"/>
    <cellStyle name="Normal 4 4 2 5 3 2" xfId="30505" xr:uid="{549C69C1-1344-46EE-B731-14488CFE2F62}"/>
    <cellStyle name="Normal 4 4 2 5 3 3" xfId="22064" xr:uid="{58982D32-949D-485F-B21D-A3697F0A192E}"/>
    <cellStyle name="Normal 4 4 2 5 3 4" xfId="13616" xr:uid="{30E7D4ED-02F7-4B83-9D3B-AF2EFA7C1ED3}"/>
    <cellStyle name="Normal 4 4 2 5 4" xfId="26287" xr:uid="{0D200C7C-BE81-4103-8DEA-67C160196F22}"/>
    <cellStyle name="Normal 4 4 2 5 5" xfId="17846" xr:uid="{FC328B49-BF0A-4C94-9F14-380FB5F290DA}"/>
    <cellStyle name="Normal 4 4 2 5 6" xfId="9398" xr:uid="{59A2EABE-5BC0-4909-89CF-98D17F3E7244}"/>
    <cellStyle name="Normal 4 4 2 6" xfId="1272" xr:uid="{00000000-0005-0000-0000-000056150000}"/>
    <cellStyle name="Normal 4 4 2 6 2" xfId="3502" xr:uid="{00000000-0005-0000-0000-000057150000}"/>
    <cellStyle name="Normal 4 4 2 6 2 2" xfId="7724" xr:uid="{00000000-0005-0000-0000-000058150000}"/>
    <cellStyle name="Normal 4 4 2 6 2 2 2" xfId="33063" xr:uid="{99B4C92F-4FDB-4812-B1A7-86B98FA2D780}"/>
    <cellStyle name="Normal 4 4 2 6 2 2 3" xfId="24622" xr:uid="{D0F95F6F-42E6-4CC6-AF49-A6D65743426C}"/>
    <cellStyle name="Normal 4 4 2 6 2 2 4" xfId="16174" xr:uid="{43DA6F1F-D87C-4E98-BF51-22385F546C4C}"/>
    <cellStyle name="Normal 4 4 2 6 2 3" xfId="28845" xr:uid="{3EA70337-CABE-4489-888B-9010C7A7F493}"/>
    <cellStyle name="Normal 4 4 2 6 2 4" xfId="20404" xr:uid="{A19A41B1-01C7-4BC4-938A-94045BC2DB1F}"/>
    <cellStyle name="Normal 4 4 2 6 2 5" xfId="11956" xr:uid="{12108EB6-2DF3-43C0-9D92-25287C8F7BD4}"/>
    <cellStyle name="Normal 4 4 2 6 3" xfId="5579" xr:uid="{00000000-0005-0000-0000-000059150000}"/>
    <cellStyle name="Normal 4 4 2 6 3 2" xfId="30918" xr:uid="{1310EA60-3E7F-4389-9357-9C7684E67105}"/>
    <cellStyle name="Normal 4 4 2 6 3 3" xfId="22477" xr:uid="{90C25836-08DE-4C3A-82DC-818A68399827}"/>
    <cellStyle name="Normal 4 4 2 6 3 4" xfId="14029" xr:uid="{BB763EA0-9E2B-4069-9805-4B4B223DBC17}"/>
    <cellStyle name="Normal 4 4 2 6 4" xfId="26700" xr:uid="{0D4781E5-6468-42F5-9118-BD6EB19ADBE1}"/>
    <cellStyle name="Normal 4 4 2 6 5" xfId="18259" xr:uid="{7B75973E-0964-4AA6-AA13-97543B069E6E}"/>
    <cellStyle name="Normal 4 4 2 6 6" xfId="9811" xr:uid="{380EFA1A-9D52-45BA-A90E-0A9155BC1750}"/>
    <cellStyle name="Normal 4 4 2 7" xfId="1685" xr:uid="{00000000-0005-0000-0000-00005A150000}"/>
    <cellStyle name="Normal 4 4 2 7 2" xfId="3915" xr:uid="{00000000-0005-0000-0000-00005B150000}"/>
    <cellStyle name="Normal 4 4 2 7 2 2" xfId="8137" xr:uid="{00000000-0005-0000-0000-00005C150000}"/>
    <cellStyle name="Normal 4 4 2 7 2 2 2" xfId="33476" xr:uid="{47CEB374-F3F3-4E20-A3D2-5467EEE1204C}"/>
    <cellStyle name="Normal 4 4 2 7 2 2 3" xfId="25035" xr:uid="{06F81E3C-3CDD-40E2-AF1C-320CE394E926}"/>
    <cellStyle name="Normal 4 4 2 7 2 2 4" xfId="16587" xr:uid="{B210576C-160C-4A11-B7E6-007231E57256}"/>
    <cellStyle name="Normal 4 4 2 7 2 3" xfId="29258" xr:uid="{EF135E09-5AD0-4460-96E7-58138BBE0851}"/>
    <cellStyle name="Normal 4 4 2 7 2 4" xfId="20817" xr:uid="{552CBD9D-93EF-4FC8-A19D-606D422E5739}"/>
    <cellStyle name="Normal 4 4 2 7 2 5" xfId="12369" xr:uid="{1E042BDD-D5E0-40F7-B974-CE8BDF093564}"/>
    <cellStyle name="Normal 4 4 2 7 3" xfId="5992" xr:uid="{00000000-0005-0000-0000-00005D150000}"/>
    <cellStyle name="Normal 4 4 2 7 3 2" xfId="31331" xr:uid="{23C45E02-0502-4592-A70A-B12F3A0D0A49}"/>
    <cellStyle name="Normal 4 4 2 7 3 3" xfId="22890" xr:uid="{3F97DBCA-D35B-414C-8629-8A23E2B671B9}"/>
    <cellStyle name="Normal 4 4 2 7 3 4" xfId="14442" xr:uid="{8D6458CA-5DB6-4221-A8FA-510C2BECD886}"/>
    <cellStyle name="Normal 4 4 2 7 4" xfId="27113" xr:uid="{DD3F2F28-83AF-40DF-8856-8D15D25D1DF4}"/>
    <cellStyle name="Normal 4 4 2 7 5" xfId="18672" xr:uid="{59D8B69B-7F7D-4F11-B47D-E44F62416559}"/>
    <cellStyle name="Normal 4 4 2 7 6" xfId="10224" xr:uid="{FC7194C7-C7FE-4CE1-AFDF-047D21AC5F88}"/>
    <cellStyle name="Normal 4 4 2 8" xfId="2099" xr:uid="{00000000-0005-0000-0000-00005E150000}"/>
    <cellStyle name="Normal 4 4 2 8 2" xfId="4328" xr:uid="{00000000-0005-0000-0000-00005F150000}"/>
    <cellStyle name="Normal 4 4 2 8 2 2" xfId="8550" xr:uid="{00000000-0005-0000-0000-000060150000}"/>
    <cellStyle name="Normal 4 4 2 8 2 2 2" xfId="33889" xr:uid="{6E69AE05-E4AD-4C4A-9F6E-78091F3D872B}"/>
    <cellStyle name="Normal 4 4 2 8 2 2 3" xfId="25448" xr:uid="{279C8C12-286A-4179-84C8-9C44EEE9D079}"/>
    <cellStyle name="Normal 4 4 2 8 2 2 4" xfId="17000" xr:uid="{A770246D-CBD5-443E-8ADA-0D632B081CC1}"/>
    <cellStyle name="Normal 4 4 2 8 2 3" xfId="29671" xr:uid="{D98630B2-F1B9-46C0-9325-A1664ED7956C}"/>
    <cellStyle name="Normal 4 4 2 8 2 4" xfId="21230" xr:uid="{B0D3704B-3098-4F2F-99C9-5F5A1D61F5AC}"/>
    <cellStyle name="Normal 4 4 2 8 2 5" xfId="12782" xr:uid="{EDC82A9E-49A7-4218-A60F-2DF1A7B283C5}"/>
    <cellStyle name="Normal 4 4 2 8 3" xfId="6405" xr:uid="{00000000-0005-0000-0000-000061150000}"/>
    <cellStyle name="Normal 4 4 2 8 3 2" xfId="31744" xr:uid="{31C6A896-DAD7-4CAA-A0BD-3C71E87C3C8B}"/>
    <cellStyle name="Normal 4 4 2 8 3 3" xfId="23303" xr:uid="{C23EAF09-E796-40FA-B723-786AEED84CE9}"/>
    <cellStyle name="Normal 4 4 2 8 3 4" xfId="14855" xr:uid="{607BA7BB-4F06-4202-9958-AE6F245238AF}"/>
    <cellStyle name="Normal 4 4 2 8 4" xfId="27526" xr:uid="{D04870BF-8D42-4B57-9A14-7C348E26FEDA}"/>
    <cellStyle name="Normal 4 4 2 8 5" xfId="19085" xr:uid="{FADE670F-5963-40D4-94E8-C84F124FBB8D}"/>
    <cellStyle name="Normal 4 4 2 8 6" xfId="10637" xr:uid="{CE6A3FD2-BB10-46E7-8DCB-DE26180CC018}"/>
    <cellStyle name="Normal 4 4 2 9" xfId="2535" xr:uid="{00000000-0005-0000-0000-000062150000}"/>
    <cellStyle name="Normal 4 4 2 9 2" xfId="6818" xr:uid="{00000000-0005-0000-0000-000063150000}"/>
    <cellStyle name="Normal 4 4 2 9 2 2" xfId="32157" xr:uid="{BE78F045-0CB8-4317-8CE7-D36339A4EA30}"/>
    <cellStyle name="Normal 4 4 2 9 2 3" xfId="23716" xr:uid="{502BABF7-4766-4955-80D5-B1387436B8E4}"/>
    <cellStyle name="Normal 4 4 2 9 2 4" xfId="15268" xr:uid="{35D2A6B4-1B49-418F-A4D5-BFA131FA8494}"/>
    <cellStyle name="Normal 4 4 2 9 3" xfId="27939" xr:uid="{A26F7745-C65F-42E8-91BC-CFCCCAF40FA2}"/>
    <cellStyle name="Normal 4 4 2 9 4" xfId="19498" xr:uid="{DA43DB55-039E-4585-B54F-4C94E7410A6D}"/>
    <cellStyle name="Normal 4 4 2 9 5" xfId="11050" xr:uid="{76EB25F5-71D3-48D8-9A12-80839E2CF07B}"/>
    <cellStyle name="Normal 4 4 3" xfId="387" xr:uid="{00000000-0005-0000-0000-000064150000}"/>
    <cellStyle name="Normal 4 4 3 10" xfId="25882" xr:uid="{08BD2BB6-7C59-409B-AB72-84961C495A29}"/>
    <cellStyle name="Normal 4 4 3 11" xfId="17441" xr:uid="{8D4069FE-5B71-4B28-932D-AC6CE714811F}"/>
    <cellStyle name="Normal 4 4 3 12" xfId="8993" xr:uid="{09F0AA67-BB15-43B2-BC30-8796D378D981}"/>
    <cellStyle name="Normal 4 4 3 2" xfId="388" xr:uid="{00000000-0005-0000-0000-000065150000}"/>
    <cellStyle name="Normal 4 4 3 2 10" xfId="17442" xr:uid="{8652FA51-78E6-4535-9F4B-F5FDE636F415}"/>
    <cellStyle name="Normal 4 4 3 2 11" xfId="8994" xr:uid="{2695A815-1598-4273-A8AD-AE91ABFFC207}"/>
    <cellStyle name="Normal 4 4 3 2 2" xfId="389" xr:uid="{00000000-0005-0000-0000-000066150000}"/>
    <cellStyle name="Normal 4 4 3 2 2 10" xfId="8995" xr:uid="{3CE3C0A7-0F9A-404E-8665-1838C968189F}"/>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32660" xr:uid="{434EFAB5-C6A4-4222-9B59-EDAC5C494FA5}"/>
    <cellStyle name="Normal 4 4 3 2 2 2 2 2 3" xfId="24219" xr:uid="{AE5787D3-5FF6-48F0-9C6F-4665DD46EECD}"/>
    <cellStyle name="Normal 4 4 3 2 2 2 2 2 4" xfId="15771" xr:uid="{B3D18FBB-F8CB-4CE7-9DDC-A9FE59013D28}"/>
    <cellStyle name="Normal 4 4 3 2 2 2 2 3" xfId="28442" xr:uid="{9A4CEC6F-09A4-46E6-945B-30CEDE615F69}"/>
    <cellStyle name="Normal 4 4 3 2 2 2 2 4" xfId="20001" xr:uid="{09B1D09F-3436-481F-A591-BFA4C14F4349}"/>
    <cellStyle name="Normal 4 4 3 2 2 2 2 5" xfId="11553" xr:uid="{509B7128-2E40-4018-A9D0-7D3406259ACC}"/>
    <cellStyle name="Normal 4 4 3 2 2 2 3" xfId="5176" xr:uid="{00000000-0005-0000-0000-00006A150000}"/>
    <cellStyle name="Normal 4 4 3 2 2 2 3 2" xfId="30515" xr:uid="{AF674A3A-22CD-4EE6-8806-E89D178E1685}"/>
    <cellStyle name="Normal 4 4 3 2 2 2 3 3" xfId="22074" xr:uid="{65C7A4AD-5C4C-419F-B53F-EC510CB2DCAC}"/>
    <cellStyle name="Normal 4 4 3 2 2 2 3 4" xfId="13626" xr:uid="{6061F11B-BFD1-4847-9F14-8777893F663D}"/>
    <cellStyle name="Normal 4 4 3 2 2 2 4" xfId="26297" xr:uid="{D632F8FF-3E34-46D3-941F-CDBE6B54616F}"/>
    <cellStyle name="Normal 4 4 3 2 2 2 5" xfId="17856" xr:uid="{8C561496-A925-48DE-91E8-A44C24B74033}"/>
    <cellStyle name="Normal 4 4 3 2 2 2 6" xfId="9408" xr:uid="{A6A921D1-17E2-43B4-B88D-3F4B61A27298}"/>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33073" xr:uid="{5D2077B3-2021-44A6-8468-35613A62CDDD}"/>
    <cellStyle name="Normal 4 4 3 2 2 3 2 2 3" xfId="24632" xr:uid="{EF1345A3-B8DE-4AC9-882F-B3911FBA0C39}"/>
    <cellStyle name="Normal 4 4 3 2 2 3 2 2 4" xfId="16184" xr:uid="{BD1909B0-66D2-48B2-B34A-83E3FA0D9270}"/>
    <cellStyle name="Normal 4 4 3 2 2 3 2 3" xfId="28855" xr:uid="{D92354FB-6734-47E0-A1CA-B2395383D31A}"/>
    <cellStyle name="Normal 4 4 3 2 2 3 2 4" xfId="20414" xr:uid="{85C7EFD0-C880-45D1-9AF6-F11F3D87834B}"/>
    <cellStyle name="Normal 4 4 3 2 2 3 2 5" xfId="11966" xr:uid="{C59C8714-9DD0-47B2-BDCC-045E2D85BC11}"/>
    <cellStyle name="Normal 4 4 3 2 2 3 3" xfId="5589" xr:uid="{00000000-0005-0000-0000-00006E150000}"/>
    <cellStyle name="Normal 4 4 3 2 2 3 3 2" xfId="30928" xr:uid="{DA3F8A82-1A1E-4B0F-86F5-8827C24A8193}"/>
    <cellStyle name="Normal 4 4 3 2 2 3 3 3" xfId="22487" xr:uid="{2F09BBDA-3C24-4825-97F7-7644A1309C8B}"/>
    <cellStyle name="Normal 4 4 3 2 2 3 3 4" xfId="14039" xr:uid="{C9143A83-5FE6-41A9-A1CE-4C2BCC908034}"/>
    <cellStyle name="Normal 4 4 3 2 2 3 4" xfId="26710" xr:uid="{7250BBA7-1031-445A-951F-57BD363AFF06}"/>
    <cellStyle name="Normal 4 4 3 2 2 3 5" xfId="18269" xr:uid="{EC8DEFA5-DEBF-4300-8D14-6B557E34328A}"/>
    <cellStyle name="Normal 4 4 3 2 2 3 6" xfId="9821" xr:uid="{BD1AC688-0F89-48DF-B8C7-DDD891E6C2DF}"/>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33486" xr:uid="{BB28DD47-E843-479D-9CBA-7C66EB4DC34D}"/>
    <cellStyle name="Normal 4 4 3 2 2 4 2 2 3" xfId="25045" xr:uid="{99A6D4CE-641E-42BB-8782-4BA51F9F4C0A}"/>
    <cellStyle name="Normal 4 4 3 2 2 4 2 2 4" xfId="16597" xr:uid="{7162ED4F-D02C-41A6-8C85-B3300A3B7E2F}"/>
    <cellStyle name="Normal 4 4 3 2 2 4 2 3" xfId="29268" xr:uid="{131F7B62-6015-48E9-B4B8-585FD7697F2B}"/>
    <cellStyle name="Normal 4 4 3 2 2 4 2 4" xfId="20827" xr:uid="{D3B0B89F-50AF-4ADE-8AD7-DA8778BD7B53}"/>
    <cellStyle name="Normal 4 4 3 2 2 4 2 5" xfId="12379" xr:uid="{E6EDC41B-8CCA-461E-9759-FE9256073EC6}"/>
    <cellStyle name="Normal 4 4 3 2 2 4 3" xfId="6002" xr:uid="{00000000-0005-0000-0000-000072150000}"/>
    <cellStyle name="Normal 4 4 3 2 2 4 3 2" xfId="31341" xr:uid="{DBADBB67-C85E-48F5-ADBB-2D22B148DD87}"/>
    <cellStyle name="Normal 4 4 3 2 2 4 3 3" xfId="22900" xr:uid="{0746DE10-F78D-4817-A095-74045061C82E}"/>
    <cellStyle name="Normal 4 4 3 2 2 4 3 4" xfId="14452" xr:uid="{96C71036-C4BC-4ABD-BF57-48A8B988F5FE}"/>
    <cellStyle name="Normal 4 4 3 2 2 4 4" xfId="27123" xr:uid="{FAC3DCFC-655C-4ED3-890B-9E563F195A4C}"/>
    <cellStyle name="Normal 4 4 3 2 2 4 5" xfId="18682" xr:uid="{3258B293-6B09-4E65-93EB-D6B285DD5CC6}"/>
    <cellStyle name="Normal 4 4 3 2 2 4 6" xfId="10234" xr:uid="{EEB7E7AC-5815-4ADB-8999-BA163FCFFC1F}"/>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33899" xr:uid="{E9A512BC-15F8-4DDB-A270-82286F0ACE89}"/>
    <cellStyle name="Normal 4 4 3 2 2 5 2 2 3" xfId="25458" xr:uid="{EFA7E377-D59C-449A-8C78-368ED3C38747}"/>
    <cellStyle name="Normal 4 4 3 2 2 5 2 2 4" xfId="17010" xr:uid="{4C504414-7783-4968-89D8-45B9265D7F3F}"/>
    <cellStyle name="Normal 4 4 3 2 2 5 2 3" xfId="29681" xr:uid="{C0B81BE2-22BB-4F26-9A63-08D6E0C16B69}"/>
    <cellStyle name="Normal 4 4 3 2 2 5 2 4" xfId="21240" xr:uid="{70069858-D27B-49E3-A276-7055E2C91389}"/>
    <cellStyle name="Normal 4 4 3 2 2 5 2 5" xfId="12792" xr:uid="{0430726C-8690-4DDF-9110-A2650BFECAE8}"/>
    <cellStyle name="Normal 4 4 3 2 2 5 3" xfId="6415" xr:uid="{00000000-0005-0000-0000-000076150000}"/>
    <cellStyle name="Normal 4 4 3 2 2 5 3 2" xfId="31754" xr:uid="{1E3A32D9-9592-460A-9C50-29E3237493CA}"/>
    <cellStyle name="Normal 4 4 3 2 2 5 3 3" xfId="23313" xr:uid="{469E9A76-B31F-461D-960F-7904AEA7111D}"/>
    <cellStyle name="Normal 4 4 3 2 2 5 3 4" xfId="14865" xr:uid="{AB1F7D48-1BE7-4B92-8122-18F2CE24977E}"/>
    <cellStyle name="Normal 4 4 3 2 2 5 4" xfId="27536" xr:uid="{2480A22A-F1ED-426A-BD87-FD8FDBF2FD48}"/>
    <cellStyle name="Normal 4 4 3 2 2 5 5" xfId="19095" xr:uid="{51DE5304-3B21-4954-81B4-E862CEE52DC7}"/>
    <cellStyle name="Normal 4 4 3 2 2 5 6" xfId="10647" xr:uid="{C5747D54-99F3-45C1-8A72-41914A3083D9}"/>
    <cellStyle name="Normal 4 4 3 2 2 6" xfId="2545" xr:uid="{00000000-0005-0000-0000-000077150000}"/>
    <cellStyle name="Normal 4 4 3 2 2 6 2" xfId="6828" xr:uid="{00000000-0005-0000-0000-000078150000}"/>
    <cellStyle name="Normal 4 4 3 2 2 6 2 2" xfId="32167" xr:uid="{991341DC-A99E-4B8E-8D89-426F41E62EA1}"/>
    <cellStyle name="Normal 4 4 3 2 2 6 2 3" xfId="23726" xr:uid="{E6AB8269-CBE2-4EBF-B0B5-704B063D8FA1}"/>
    <cellStyle name="Normal 4 4 3 2 2 6 2 4" xfId="15278" xr:uid="{7DF159FE-C3B5-48CA-8ADA-D7F6DFE86C15}"/>
    <cellStyle name="Normal 4 4 3 2 2 6 3" xfId="27949" xr:uid="{DA25AB3B-6EC4-4CFE-8E84-CFE6FE5F4525}"/>
    <cellStyle name="Normal 4 4 3 2 2 6 4" xfId="19508" xr:uid="{503C30C9-9B01-417A-A452-40BCB92D04A4}"/>
    <cellStyle name="Normal 4 4 3 2 2 6 5" xfId="11060" xr:uid="{EEF50EF0-1826-4914-A54F-10A5C3139798}"/>
    <cellStyle name="Normal 4 4 3 2 2 7" xfId="4763" xr:uid="{00000000-0005-0000-0000-000079150000}"/>
    <cellStyle name="Normal 4 4 3 2 2 7 2" xfId="30102" xr:uid="{80AEB481-C3DF-4192-AAAD-5F2F73237DCB}"/>
    <cellStyle name="Normal 4 4 3 2 2 7 3" xfId="21661" xr:uid="{80CCC3D4-7999-4708-B30B-87387AC46311}"/>
    <cellStyle name="Normal 4 4 3 2 2 7 4" xfId="13213" xr:uid="{63C02C9F-12A7-4053-8134-6D630D73D58F}"/>
    <cellStyle name="Normal 4 4 3 2 2 8" xfId="25884" xr:uid="{66A15BCC-F078-4525-AA41-C1F3934E5793}"/>
    <cellStyle name="Normal 4 4 3 2 2 9" xfId="17443" xr:uid="{71C18981-5EAC-4ACB-97E4-957C248A0EDB}"/>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32659" xr:uid="{BB3E18A1-4091-4646-973C-2627608F77B6}"/>
    <cellStyle name="Normal 4 4 3 2 3 2 2 3" xfId="24218" xr:uid="{721B6B50-0DB3-401B-9D29-A2DD7572E82C}"/>
    <cellStyle name="Normal 4 4 3 2 3 2 2 4" xfId="15770" xr:uid="{57AF9A96-D525-4969-A3E2-4534846D8FDE}"/>
    <cellStyle name="Normal 4 4 3 2 3 2 3" xfId="28441" xr:uid="{0DD0D199-256E-46BC-9D42-543646C966E8}"/>
    <cellStyle name="Normal 4 4 3 2 3 2 4" xfId="20000" xr:uid="{82118359-A915-4EFF-A8DA-55DD592D633B}"/>
    <cellStyle name="Normal 4 4 3 2 3 2 5" xfId="11552" xr:uid="{AD71D8F5-38A0-434F-8B47-EB88AA4956CF}"/>
    <cellStyle name="Normal 4 4 3 2 3 3" xfId="5175" xr:uid="{00000000-0005-0000-0000-00007D150000}"/>
    <cellStyle name="Normal 4 4 3 2 3 3 2" xfId="30514" xr:uid="{657B6958-2B1F-4EDD-8A5A-959661544608}"/>
    <cellStyle name="Normal 4 4 3 2 3 3 3" xfId="22073" xr:uid="{975CB74F-6B17-4C72-9A07-9677811AA693}"/>
    <cellStyle name="Normal 4 4 3 2 3 3 4" xfId="13625" xr:uid="{6E2573DC-C923-4BA8-A37E-6E3686FA391D}"/>
    <cellStyle name="Normal 4 4 3 2 3 4" xfId="26296" xr:uid="{FCA2AFEA-6038-415F-83D8-AE71B77380C0}"/>
    <cellStyle name="Normal 4 4 3 2 3 5" xfId="17855" xr:uid="{5BF828F0-67A5-4090-8DCB-54A98D2E94E5}"/>
    <cellStyle name="Normal 4 4 3 2 3 6" xfId="9407" xr:uid="{26754B8D-4971-4FD8-8BA4-8B03D39E120A}"/>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33072" xr:uid="{7EF09EE0-1708-4349-BEFC-EB6CB4783FF1}"/>
    <cellStyle name="Normal 4 4 3 2 4 2 2 3" xfId="24631" xr:uid="{D0D613A8-D18A-410A-98F6-6C61273A13A3}"/>
    <cellStyle name="Normal 4 4 3 2 4 2 2 4" xfId="16183" xr:uid="{BF999116-A5EB-4F6A-87D2-1A58171527E1}"/>
    <cellStyle name="Normal 4 4 3 2 4 2 3" xfId="28854" xr:uid="{1AE71569-F6C8-4116-A6D4-2C5F9C005BB5}"/>
    <cellStyle name="Normal 4 4 3 2 4 2 4" xfId="20413" xr:uid="{6599FDBA-8C7D-49AB-A8E1-888DF0FCED4E}"/>
    <cellStyle name="Normal 4 4 3 2 4 2 5" xfId="11965" xr:uid="{72BF7D71-A97B-4D64-B575-D64C1305A5A1}"/>
    <cellStyle name="Normal 4 4 3 2 4 3" xfId="5588" xr:uid="{00000000-0005-0000-0000-000081150000}"/>
    <cellStyle name="Normal 4 4 3 2 4 3 2" xfId="30927" xr:uid="{32AAC31D-EF8F-4EC5-B8D4-94E8F49E6B45}"/>
    <cellStyle name="Normal 4 4 3 2 4 3 3" xfId="22486" xr:uid="{549AA1B7-3D6C-4295-8646-D9ED12AE6524}"/>
    <cellStyle name="Normal 4 4 3 2 4 3 4" xfId="14038" xr:uid="{52ED8507-08FB-4A62-93BC-F6B96FBB0F03}"/>
    <cellStyle name="Normal 4 4 3 2 4 4" xfId="26709" xr:uid="{CABB21E8-9553-48FE-A138-176A262B8C17}"/>
    <cellStyle name="Normal 4 4 3 2 4 5" xfId="18268" xr:uid="{07276B0B-A4AE-4B77-AF8D-F99BBC326BE9}"/>
    <cellStyle name="Normal 4 4 3 2 4 6" xfId="9820" xr:uid="{9EEA48A2-2CBE-4AB3-877B-873621119A74}"/>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33485" xr:uid="{80E6E253-05A9-40BF-80F1-F0272F611EF8}"/>
    <cellStyle name="Normal 4 4 3 2 5 2 2 3" xfId="25044" xr:uid="{3642B40C-ED19-433F-AFDE-340852E928A9}"/>
    <cellStyle name="Normal 4 4 3 2 5 2 2 4" xfId="16596" xr:uid="{AA169188-3B19-420D-9AE6-9C686B954982}"/>
    <cellStyle name="Normal 4 4 3 2 5 2 3" xfId="29267" xr:uid="{6CC3894E-D72D-4C01-BB42-5A52575FFE7E}"/>
    <cellStyle name="Normal 4 4 3 2 5 2 4" xfId="20826" xr:uid="{0DB76EF9-165B-4BB1-A9FA-B6A997FC4C84}"/>
    <cellStyle name="Normal 4 4 3 2 5 2 5" xfId="12378" xr:uid="{7CC2BDAE-CBE2-4125-A6E8-87FE5EC92A8D}"/>
    <cellStyle name="Normal 4 4 3 2 5 3" xfId="6001" xr:uid="{00000000-0005-0000-0000-000085150000}"/>
    <cellStyle name="Normal 4 4 3 2 5 3 2" xfId="31340" xr:uid="{E5331EA5-8788-4725-AF0E-24B14751089F}"/>
    <cellStyle name="Normal 4 4 3 2 5 3 3" xfId="22899" xr:uid="{7B10CA4D-B6B1-4E19-893C-086BCB6EA4E0}"/>
    <cellStyle name="Normal 4 4 3 2 5 3 4" xfId="14451" xr:uid="{CACBB994-BADA-44A7-93CE-CFB866DAAE68}"/>
    <cellStyle name="Normal 4 4 3 2 5 4" xfId="27122" xr:uid="{A23093CC-AE29-477C-B395-4C818D82A17B}"/>
    <cellStyle name="Normal 4 4 3 2 5 5" xfId="18681" xr:uid="{4D8971BD-10FC-4868-97C2-6D8DF24DC992}"/>
    <cellStyle name="Normal 4 4 3 2 5 6" xfId="10233" xr:uid="{057BA1F2-3416-4BB7-B897-3354E9837904}"/>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33898" xr:uid="{AAB9359F-880E-4DA2-B110-DBBA10869014}"/>
    <cellStyle name="Normal 4 4 3 2 6 2 2 3" xfId="25457" xr:uid="{41D83E4C-7F42-436C-87F1-C93D70A10CB7}"/>
    <cellStyle name="Normal 4 4 3 2 6 2 2 4" xfId="17009" xr:uid="{64B3210A-09C4-41AC-B61F-565726CCDFD2}"/>
    <cellStyle name="Normal 4 4 3 2 6 2 3" xfId="29680" xr:uid="{14500FC7-DB9B-4A15-A1DE-748FE120D696}"/>
    <cellStyle name="Normal 4 4 3 2 6 2 4" xfId="21239" xr:uid="{8C61B138-1BDC-49D5-B808-7EDD3C722F37}"/>
    <cellStyle name="Normal 4 4 3 2 6 2 5" xfId="12791" xr:uid="{98BB4397-B241-49EC-9D47-A820D20537DC}"/>
    <cellStyle name="Normal 4 4 3 2 6 3" xfId="6414" xr:uid="{00000000-0005-0000-0000-000089150000}"/>
    <cellStyle name="Normal 4 4 3 2 6 3 2" xfId="31753" xr:uid="{B7982C97-6E11-492F-B44D-4B56DE02BEBB}"/>
    <cellStyle name="Normal 4 4 3 2 6 3 3" xfId="23312" xr:uid="{350B8C69-CC37-4094-9C69-2CB72F92203B}"/>
    <cellStyle name="Normal 4 4 3 2 6 3 4" xfId="14864" xr:uid="{50A5D8A9-914B-4E81-AC00-2913739E37C2}"/>
    <cellStyle name="Normal 4 4 3 2 6 4" xfId="27535" xr:uid="{8DB74215-51BD-4CFA-A062-C2CEE9635D65}"/>
    <cellStyle name="Normal 4 4 3 2 6 5" xfId="19094" xr:uid="{87824F0F-19BE-41C6-AB4B-12FFC92B6499}"/>
    <cellStyle name="Normal 4 4 3 2 6 6" xfId="10646" xr:uid="{2145125F-F307-4FA8-AD70-1861287056DE}"/>
    <cellStyle name="Normal 4 4 3 2 7" xfId="2544" xr:uid="{00000000-0005-0000-0000-00008A150000}"/>
    <cellStyle name="Normal 4 4 3 2 7 2" xfId="6827" xr:uid="{00000000-0005-0000-0000-00008B150000}"/>
    <cellStyle name="Normal 4 4 3 2 7 2 2" xfId="32166" xr:uid="{0AE6E301-988A-423C-AABD-13C7D1FC20AF}"/>
    <cellStyle name="Normal 4 4 3 2 7 2 3" xfId="23725" xr:uid="{00BACBDA-3043-4AAC-AE42-88DEABEE325D}"/>
    <cellStyle name="Normal 4 4 3 2 7 2 4" xfId="15277" xr:uid="{61D6325D-8B82-4184-A3C5-4E2359E8FAF7}"/>
    <cellStyle name="Normal 4 4 3 2 7 3" xfId="27948" xr:uid="{40BD50C3-D4DE-452F-9286-380DF788CEB3}"/>
    <cellStyle name="Normal 4 4 3 2 7 4" xfId="19507" xr:uid="{565E86AF-5EB0-4914-A42D-C017248CC535}"/>
    <cellStyle name="Normal 4 4 3 2 7 5" xfId="11059" xr:uid="{7039C6F6-8EAC-4D45-A412-652C527F514B}"/>
    <cellStyle name="Normal 4 4 3 2 8" xfId="4762" xr:uid="{00000000-0005-0000-0000-00008C150000}"/>
    <cellStyle name="Normal 4 4 3 2 8 2" xfId="30101" xr:uid="{B84F3A3C-B560-41CC-84EE-7989A402657E}"/>
    <cellStyle name="Normal 4 4 3 2 8 3" xfId="21660" xr:uid="{D89C4141-33C6-4036-ACBF-CFD85C8DF585}"/>
    <cellStyle name="Normal 4 4 3 2 8 4" xfId="13212" xr:uid="{CCBBF8D5-3BCD-4557-9EAA-3E4356411BBE}"/>
    <cellStyle name="Normal 4 4 3 2 9" xfId="25883" xr:uid="{EA1E420C-5F0D-4EF4-995B-C27C87CF9FAC}"/>
    <cellStyle name="Normal 4 4 3 3" xfId="390" xr:uid="{00000000-0005-0000-0000-00008D150000}"/>
    <cellStyle name="Normal 4 4 3 3 10" xfId="8996" xr:uid="{3ED5E0F3-CA2F-41C1-8606-94E6D65EC1AA}"/>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32661" xr:uid="{B1DE9777-70F1-4C52-8C8F-30BCABA61078}"/>
    <cellStyle name="Normal 4 4 3 3 2 2 2 3" xfId="24220" xr:uid="{005F3F1C-677F-4C56-AFA3-DD88B3DCC4D3}"/>
    <cellStyle name="Normal 4 4 3 3 2 2 2 4" xfId="15772" xr:uid="{A90F1896-53DC-4860-8C1C-152173E3FF61}"/>
    <cellStyle name="Normal 4 4 3 3 2 2 3" xfId="28443" xr:uid="{289530AD-1B7A-42D5-9E0F-99AE6596FBCB}"/>
    <cellStyle name="Normal 4 4 3 3 2 2 4" xfId="20002" xr:uid="{02199B7D-08EE-40AA-B147-626D0FB1F13D}"/>
    <cellStyle name="Normal 4 4 3 3 2 2 5" xfId="11554" xr:uid="{4577496A-F198-42CE-9429-65D1DF4FEC3D}"/>
    <cellStyle name="Normal 4 4 3 3 2 3" xfId="5177" xr:uid="{00000000-0005-0000-0000-000091150000}"/>
    <cellStyle name="Normal 4 4 3 3 2 3 2" xfId="30516" xr:uid="{CEBCAF3B-BE12-4ED9-8FF2-BFE0E18BD1B4}"/>
    <cellStyle name="Normal 4 4 3 3 2 3 3" xfId="22075" xr:uid="{B4BB56CC-27BD-4DA4-BAF3-62BFD366521A}"/>
    <cellStyle name="Normal 4 4 3 3 2 3 4" xfId="13627" xr:uid="{06A0AB5A-9A55-43DC-BEB2-8C9DC8E5CCD2}"/>
    <cellStyle name="Normal 4 4 3 3 2 4" xfId="26298" xr:uid="{41B68332-3F25-44BD-9DB0-286E9102B4CC}"/>
    <cellStyle name="Normal 4 4 3 3 2 5" xfId="17857" xr:uid="{74DBF41F-56B9-4211-B220-E6F170FBFB61}"/>
    <cellStyle name="Normal 4 4 3 3 2 6" xfId="9409" xr:uid="{4CAF1066-C90E-4979-B834-041BE821E189}"/>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33074" xr:uid="{4E42563D-4F15-43C5-88EB-9C410C39B347}"/>
    <cellStyle name="Normal 4 4 3 3 3 2 2 3" xfId="24633" xr:uid="{AB6523A5-C6A8-43B1-B689-42D0F4A10415}"/>
    <cellStyle name="Normal 4 4 3 3 3 2 2 4" xfId="16185" xr:uid="{5EAA320A-35A7-4DD8-B5B2-1D9DEC9DCC4F}"/>
    <cellStyle name="Normal 4 4 3 3 3 2 3" xfId="28856" xr:uid="{49900899-A97C-436E-B5E3-82AB31CAE851}"/>
    <cellStyle name="Normal 4 4 3 3 3 2 4" xfId="20415" xr:uid="{74F40206-117D-4C2D-81C1-01C9C3708143}"/>
    <cellStyle name="Normal 4 4 3 3 3 2 5" xfId="11967" xr:uid="{68022408-D987-49EA-9153-66160D4C11DD}"/>
    <cellStyle name="Normal 4 4 3 3 3 3" xfId="5590" xr:uid="{00000000-0005-0000-0000-000095150000}"/>
    <cellStyle name="Normal 4 4 3 3 3 3 2" xfId="30929" xr:uid="{F06D6E5A-0F55-4C1A-8D03-2C28AB3AE934}"/>
    <cellStyle name="Normal 4 4 3 3 3 3 3" xfId="22488" xr:uid="{A9444743-5D46-46DF-B25B-DF000D0229E5}"/>
    <cellStyle name="Normal 4 4 3 3 3 3 4" xfId="14040" xr:uid="{FAEB7490-E47B-4267-BE1D-D5C7061C28AD}"/>
    <cellStyle name="Normal 4 4 3 3 3 4" xfId="26711" xr:uid="{5D927CA6-FFCF-4755-A8D2-82B59282F66A}"/>
    <cellStyle name="Normal 4 4 3 3 3 5" xfId="18270" xr:uid="{B2EF10DA-7EDB-4FF8-89EF-0534A497346C}"/>
    <cellStyle name="Normal 4 4 3 3 3 6" xfId="9822" xr:uid="{F5A4817D-D217-4F67-B9E4-7C412E18D865}"/>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33487" xr:uid="{9D927F57-4E78-40F3-92A9-27095C971E1D}"/>
    <cellStyle name="Normal 4 4 3 3 4 2 2 3" xfId="25046" xr:uid="{B4A1F54C-15C1-4511-AD6F-47F910435CAC}"/>
    <cellStyle name="Normal 4 4 3 3 4 2 2 4" xfId="16598" xr:uid="{4898EB47-09FF-4C4B-AC3C-0ECA87E80CEC}"/>
    <cellStyle name="Normal 4 4 3 3 4 2 3" xfId="29269" xr:uid="{291C65A3-0C15-4122-A3A1-DA511DEF34ED}"/>
    <cellStyle name="Normal 4 4 3 3 4 2 4" xfId="20828" xr:uid="{A3EEA7B2-67B4-4576-AB5B-36EF7F9A9638}"/>
    <cellStyle name="Normal 4 4 3 3 4 2 5" xfId="12380" xr:uid="{B909447A-AE8A-4C0C-89AE-702B3E5F0E79}"/>
    <cellStyle name="Normal 4 4 3 3 4 3" xfId="6003" xr:uid="{00000000-0005-0000-0000-000099150000}"/>
    <cellStyle name="Normal 4 4 3 3 4 3 2" xfId="31342" xr:uid="{737EB528-3336-4791-A56A-6E0D8029C589}"/>
    <cellStyle name="Normal 4 4 3 3 4 3 3" xfId="22901" xr:uid="{13027EDC-CC51-4287-B71D-8C883B79EC84}"/>
    <cellStyle name="Normal 4 4 3 3 4 3 4" xfId="14453" xr:uid="{517BC68B-0A17-4F56-9AF1-A205A319778B}"/>
    <cellStyle name="Normal 4 4 3 3 4 4" xfId="27124" xr:uid="{53096EB2-9D6D-495F-8629-ADDC11AC07E3}"/>
    <cellStyle name="Normal 4 4 3 3 4 5" xfId="18683" xr:uid="{7FDDAE4F-1B53-4940-A58D-55492CDAF9B5}"/>
    <cellStyle name="Normal 4 4 3 3 4 6" xfId="10235" xr:uid="{17960EB0-CE78-4EF3-8496-4B61FCAF9A0D}"/>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33900" xr:uid="{81902201-5C85-4D17-AE0E-DD2F1EABD9DF}"/>
    <cellStyle name="Normal 4 4 3 3 5 2 2 3" xfId="25459" xr:uid="{C4D1D37B-430B-45DA-B028-E3FBA370B1E9}"/>
    <cellStyle name="Normal 4 4 3 3 5 2 2 4" xfId="17011" xr:uid="{10E9E296-AB1C-42BE-AFED-590F86574C36}"/>
    <cellStyle name="Normal 4 4 3 3 5 2 3" xfId="29682" xr:uid="{0338A1F4-5C6F-4FC4-8BA4-F6AECED8BC58}"/>
    <cellStyle name="Normal 4 4 3 3 5 2 4" xfId="21241" xr:uid="{3BF9E57D-51FF-46CC-BA51-401F91681EF9}"/>
    <cellStyle name="Normal 4 4 3 3 5 2 5" xfId="12793" xr:uid="{3DF04B7C-8978-418B-9702-7EFDB9EA0A1D}"/>
    <cellStyle name="Normal 4 4 3 3 5 3" xfId="6416" xr:uid="{00000000-0005-0000-0000-00009D150000}"/>
    <cellStyle name="Normal 4 4 3 3 5 3 2" xfId="31755" xr:uid="{FD6CE5F8-BE87-4C56-B336-EC346DCCBB76}"/>
    <cellStyle name="Normal 4 4 3 3 5 3 3" xfId="23314" xr:uid="{21B7399A-0BAF-4D12-B0FF-B99D55CFC1C5}"/>
    <cellStyle name="Normal 4 4 3 3 5 3 4" xfId="14866" xr:uid="{46E832C2-7C6E-4EC7-8ED7-089CC26B5D2B}"/>
    <cellStyle name="Normal 4 4 3 3 5 4" xfId="27537" xr:uid="{94ED0ACA-A66A-4873-95B9-007449ED414B}"/>
    <cellStyle name="Normal 4 4 3 3 5 5" xfId="19096" xr:uid="{45130639-2E25-47E7-8672-354ABAF9A35D}"/>
    <cellStyle name="Normal 4 4 3 3 5 6" xfId="10648" xr:uid="{B7983237-6805-4001-BB64-E43FCE42A45D}"/>
    <cellStyle name="Normal 4 4 3 3 6" xfId="2546" xr:uid="{00000000-0005-0000-0000-00009E150000}"/>
    <cellStyle name="Normal 4 4 3 3 6 2" xfId="6829" xr:uid="{00000000-0005-0000-0000-00009F150000}"/>
    <cellStyle name="Normal 4 4 3 3 6 2 2" xfId="32168" xr:uid="{79116A8B-6159-4D88-A35E-32444235097A}"/>
    <cellStyle name="Normal 4 4 3 3 6 2 3" xfId="23727" xr:uid="{EF69D918-BD1B-45CB-8173-6AD38E3CB805}"/>
    <cellStyle name="Normal 4 4 3 3 6 2 4" xfId="15279" xr:uid="{F989B47A-D523-42DA-8665-4796455DFEBE}"/>
    <cellStyle name="Normal 4 4 3 3 6 3" xfId="27950" xr:uid="{B2263503-A939-4575-9F1A-D3EF98B0613E}"/>
    <cellStyle name="Normal 4 4 3 3 6 4" xfId="19509" xr:uid="{0772C09B-B24B-4085-9127-7526ABE71B59}"/>
    <cellStyle name="Normal 4 4 3 3 6 5" xfId="11061" xr:uid="{DD0D25CE-D1EB-4A44-8FF2-8B741858EE57}"/>
    <cellStyle name="Normal 4 4 3 3 7" xfId="4764" xr:uid="{00000000-0005-0000-0000-0000A0150000}"/>
    <cellStyle name="Normal 4 4 3 3 7 2" xfId="30103" xr:uid="{9E17DC25-B6DF-4E4C-8548-3E24AD7F1945}"/>
    <cellStyle name="Normal 4 4 3 3 7 3" xfId="21662" xr:uid="{8075D8E9-8EE3-44E1-A4F2-A448101241C2}"/>
    <cellStyle name="Normal 4 4 3 3 7 4" xfId="13214" xr:uid="{6F97F073-DE62-47E5-8D87-B8D076ECCBA8}"/>
    <cellStyle name="Normal 4 4 3 3 8" xfId="25885" xr:uid="{DFEF5503-FA73-4416-87B1-2CD6A2D9249B}"/>
    <cellStyle name="Normal 4 4 3 3 9" xfId="17444" xr:uid="{6779FFFC-CDFD-4BA0-AECD-AD3C9E9BE36D}"/>
    <cellStyle name="Normal 4 4 3 4" xfId="862" xr:uid="{00000000-0005-0000-0000-0000A1150000}"/>
    <cellStyle name="Normal 4 4 3 4 2" xfId="3097" xr:uid="{00000000-0005-0000-0000-0000A2150000}"/>
    <cellStyle name="Normal 4 4 3 4 2 2" xfId="7319" xr:uid="{00000000-0005-0000-0000-0000A3150000}"/>
    <cellStyle name="Normal 4 4 3 4 2 2 2" xfId="32658" xr:uid="{C6F7235F-393F-406F-B694-F8ED752477E2}"/>
    <cellStyle name="Normal 4 4 3 4 2 2 3" xfId="24217" xr:uid="{95478FA4-3C81-4F4B-B832-B32CF061AFDC}"/>
    <cellStyle name="Normal 4 4 3 4 2 2 4" xfId="15769" xr:uid="{2D9A647D-4852-4977-87F5-4434DF4E51A3}"/>
    <cellStyle name="Normal 4 4 3 4 2 3" xfId="28440" xr:uid="{1F7B0F6C-D396-46C3-A61E-3126FE8EE402}"/>
    <cellStyle name="Normal 4 4 3 4 2 4" xfId="19999" xr:uid="{7552527E-E1BD-4AD3-97BB-E7901916BC2B}"/>
    <cellStyle name="Normal 4 4 3 4 2 5" xfId="11551" xr:uid="{69007953-0D62-45F3-BD84-EB6609CE0AC0}"/>
    <cellStyle name="Normal 4 4 3 4 3" xfId="5174" xr:uid="{00000000-0005-0000-0000-0000A4150000}"/>
    <cellStyle name="Normal 4 4 3 4 3 2" xfId="30513" xr:uid="{6025BBCC-15F6-45A4-B944-2B2DAC488A79}"/>
    <cellStyle name="Normal 4 4 3 4 3 3" xfId="22072" xr:uid="{028F8B31-ECE5-4F0F-891D-17584C5C9653}"/>
    <cellStyle name="Normal 4 4 3 4 3 4" xfId="13624" xr:uid="{ABB38C86-4441-4E2D-AFC8-CF7F6FA23779}"/>
    <cellStyle name="Normal 4 4 3 4 4" xfId="26295" xr:uid="{654952E9-04B0-4CB7-8E81-3CE2C21E7164}"/>
    <cellStyle name="Normal 4 4 3 4 5" xfId="17854" xr:uid="{9748CAFC-1F58-4D98-94A8-F1D8AFCE1C86}"/>
    <cellStyle name="Normal 4 4 3 4 6" xfId="9406" xr:uid="{38DBC855-AE8D-4528-9D8B-09D48EAE5A59}"/>
    <cellStyle name="Normal 4 4 3 5" xfId="1280" xr:uid="{00000000-0005-0000-0000-0000A5150000}"/>
    <cellStyle name="Normal 4 4 3 5 2" xfId="3510" xr:uid="{00000000-0005-0000-0000-0000A6150000}"/>
    <cellStyle name="Normal 4 4 3 5 2 2" xfId="7732" xr:uid="{00000000-0005-0000-0000-0000A7150000}"/>
    <cellStyle name="Normal 4 4 3 5 2 2 2" xfId="33071" xr:uid="{CB6ADB70-CF23-48AB-BB33-6945AB749204}"/>
    <cellStyle name="Normal 4 4 3 5 2 2 3" xfId="24630" xr:uid="{14C13450-79F0-4611-923C-80B1011C62E7}"/>
    <cellStyle name="Normal 4 4 3 5 2 2 4" xfId="16182" xr:uid="{F4500D2D-3297-4580-A751-EFDB6BEEDE2C}"/>
    <cellStyle name="Normal 4 4 3 5 2 3" xfId="28853" xr:uid="{3062DEC0-39D4-4A61-B169-70983CFB7C96}"/>
    <cellStyle name="Normal 4 4 3 5 2 4" xfId="20412" xr:uid="{EE4A204E-D80F-4C39-9E9B-42CCB88C68AC}"/>
    <cellStyle name="Normal 4 4 3 5 2 5" xfId="11964" xr:uid="{838A0DD2-8F91-4FE0-A7D3-95179E8AE82D}"/>
    <cellStyle name="Normal 4 4 3 5 3" xfId="5587" xr:uid="{00000000-0005-0000-0000-0000A8150000}"/>
    <cellStyle name="Normal 4 4 3 5 3 2" xfId="30926" xr:uid="{DCBEFA46-7EF7-4F6A-B42D-9C16285D5586}"/>
    <cellStyle name="Normal 4 4 3 5 3 3" xfId="22485" xr:uid="{820C549F-CB72-4FAC-AB1B-77C6451509B1}"/>
    <cellStyle name="Normal 4 4 3 5 3 4" xfId="14037" xr:uid="{89CAAF6C-F12B-489F-9439-72A382231EEB}"/>
    <cellStyle name="Normal 4 4 3 5 4" xfId="26708" xr:uid="{79F2E470-9758-4CF3-B3AF-1B814EBC32F3}"/>
    <cellStyle name="Normal 4 4 3 5 5" xfId="18267" xr:uid="{4E66A18B-1AF5-4324-9F06-22969A48781B}"/>
    <cellStyle name="Normal 4 4 3 5 6" xfId="9819" xr:uid="{6855B884-572F-416D-BAC1-D985BE18F794}"/>
    <cellStyle name="Normal 4 4 3 6" xfId="1693" xr:uid="{00000000-0005-0000-0000-0000A9150000}"/>
    <cellStyle name="Normal 4 4 3 6 2" xfId="3923" xr:uid="{00000000-0005-0000-0000-0000AA150000}"/>
    <cellStyle name="Normal 4 4 3 6 2 2" xfId="8145" xr:uid="{00000000-0005-0000-0000-0000AB150000}"/>
    <cellStyle name="Normal 4 4 3 6 2 2 2" xfId="33484" xr:uid="{22D083BF-00C4-4E18-9259-A676DFC3EC1E}"/>
    <cellStyle name="Normal 4 4 3 6 2 2 3" xfId="25043" xr:uid="{7CF4B81E-B733-445A-969D-2DCACFBA949B}"/>
    <cellStyle name="Normal 4 4 3 6 2 2 4" xfId="16595" xr:uid="{4AC2AE22-5F72-4520-BFBA-68BE76F940DD}"/>
    <cellStyle name="Normal 4 4 3 6 2 3" xfId="29266" xr:uid="{D8FEE5A0-FB09-45FF-84F8-4FB47A89CC64}"/>
    <cellStyle name="Normal 4 4 3 6 2 4" xfId="20825" xr:uid="{320A1427-CC88-4091-BF89-D452181870F2}"/>
    <cellStyle name="Normal 4 4 3 6 2 5" xfId="12377" xr:uid="{E1AC9A21-BA4A-4E00-841A-BA9EE7839C92}"/>
    <cellStyle name="Normal 4 4 3 6 3" xfId="6000" xr:uid="{00000000-0005-0000-0000-0000AC150000}"/>
    <cellStyle name="Normal 4 4 3 6 3 2" xfId="31339" xr:uid="{544EC85A-CC24-4119-B594-FFB74A944259}"/>
    <cellStyle name="Normal 4 4 3 6 3 3" xfId="22898" xr:uid="{9E5B2E57-96A3-4FE4-9DAD-364F252FDD7D}"/>
    <cellStyle name="Normal 4 4 3 6 3 4" xfId="14450" xr:uid="{446D185D-6714-4FA7-955D-50D9D05293F1}"/>
    <cellStyle name="Normal 4 4 3 6 4" xfId="27121" xr:uid="{2C96432B-55F2-4E7B-BB6E-7E8C256F5A2F}"/>
    <cellStyle name="Normal 4 4 3 6 5" xfId="18680" xr:uid="{C9B322EB-0539-4340-A8DA-866F3548A656}"/>
    <cellStyle name="Normal 4 4 3 6 6" xfId="10232" xr:uid="{774CC62B-5611-41D3-93B3-8E361332915C}"/>
    <cellStyle name="Normal 4 4 3 7" xfId="2107" xr:uid="{00000000-0005-0000-0000-0000AD150000}"/>
    <cellStyle name="Normal 4 4 3 7 2" xfId="4336" xr:uid="{00000000-0005-0000-0000-0000AE150000}"/>
    <cellStyle name="Normal 4 4 3 7 2 2" xfId="8558" xr:uid="{00000000-0005-0000-0000-0000AF150000}"/>
    <cellStyle name="Normal 4 4 3 7 2 2 2" xfId="33897" xr:uid="{3F68EA64-31D1-4CC7-8B8B-0E91E2FA7D1A}"/>
    <cellStyle name="Normal 4 4 3 7 2 2 3" xfId="25456" xr:uid="{EC8D910B-4EE6-43C0-8503-D5E1725DBFBE}"/>
    <cellStyle name="Normal 4 4 3 7 2 2 4" xfId="17008" xr:uid="{AC9093CA-1C28-4782-8A49-B5F5B312AC3C}"/>
    <cellStyle name="Normal 4 4 3 7 2 3" xfId="29679" xr:uid="{523CEF81-EE57-43E2-89EB-9AE19BADFC0F}"/>
    <cellStyle name="Normal 4 4 3 7 2 4" xfId="21238" xr:uid="{099739D2-782E-4262-BAF7-A1E4A124E4F2}"/>
    <cellStyle name="Normal 4 4 3 7 2 5" xfId="12790" xr:uid="{B51A39D6-32E1-404D-BFE5-D86BACD11D6A}"/>
    <cellStyle name="Normal 4 4 3 7 3" xfId="6413" xr:uid="{00000000-0005-0000-0000-0000B0150000}"/>
    <cellStyle name="Normal 4 4 3 7 3 2" xfId="31752" xr:uid="{2BF5B6F0-4D47-417E-B4ED-B577208245D8}"/>
    <cellStyle name="Normal 4 4 3 7 3 3" xfId="23311" xr:uid="{6CE21EE5-458E-440D-8E6B-C2085E873707}"/>
    <cellStyle name="Normal 4 4 3 7 3 4" xfId="14863" xr:uid="{90BEE4B7-CD26-4AD7-A0CC-F72CBDF58637}"/>
    <cellStyle name="Normal 4 4 3 7 4" xfId="27534" xr:uid="{2E9E83A4-518F-427A-8F06-3ADCB12E0049}"/>
    <cellStyle name="Normal 4 4 3 7 5" xfId="19093" xr:uid="{1E39710A-5F9C-4884-97F2-18670EC0632B}"/>
    <cellStyle name="Normal 4 4 3 7 6" xfId="10645" xr:uid="{60CFFC1F-DB50-4EA3-9B80-864C197B8CE3}"/>
    <cellStyle name="Normal 4 4 3 8" xfId="2543" xr:uid="{00000000-0005-0000-0000-0000B1150000}"/>
    <cellStyle name="Normal 4 4 3 8 2" xfId="6826" xr:uid="{00000000-0005-0000-0000-0000B2150000}"/>
    <cellStyle name="Normal 4 4 3 8 2 2" xfId="32165" xr:uid="{296BFFCB-B632-4AE7-BB4A-54983CFD69F2}"/>
    <cellStyle name="Normal 4 4 3 8 2 3" xfId="23724" xr:uid="{8BD3B214-90D8-4040-8190-925FDA1DF677}"/>
    <cellStyle name="Normal 4 4 3 8 2 4" xfId="15276" xr:uid="{F9F9BC4B-F8AB-4C00-A95C-835B01EC72B4}"/>
    <cellStyle name="Normal 4 4 3 8 3" xfId="27947" xr:uid="{F6EE90A0-9D7B-41A0-84D9-84AEB384FB2B}"/>
    <cellStyle name="Normal 4 4 3 8 4" xfId="19506" xr:uid="{9A6A9D0E-3A0E-48A9-8725-BB2522F46A13}"/>
    <cellStyle name="Normal 4 4 3 8 5" xfId="11058" xr:uid="{55615700-24E2-4615-B98B-C31D1913212D}"/>
    <cellStyle name="Normal 4 4 3 9" xfId="4761" xr:uid="{00000000-0005-0000-0000-0000B3150000}"/>
    <cellStyle name="Normal 4 4 3 9 2" xfId="30100" xr:uid="{0EDD9771-90E7-4AA1-B5CC-8174C728A07A}"/>
    <cellStyle name="Normal 4 4 3 9 3" xfId="21659" xr:uid="{BE1EC477-70F3-49F3-ACB1-EC4DF84ED301}"/>
    <cellStyle name="Normal 4 4 3 9 4" xfId="13211" xr:uid="{3E930EA9-AFB7-4CA5-86CF-5475A6732653}"/>
    <cellStyle name="Normal 4 4 4" xfId="391" xr:uid="{00000000-0005-0000-0000-0000B4150000}"/>
    <cellStyle name="Normal 4 4 4 10" xfId="17445" xr:uid="{A446D71D-9F89-4132-B454-1CE9C044D9A7}"/>
    <cellStyle name="Normal 4 4 4 11" xfId="8997" xr:uid="{D6ACE982-73F9-4AEC-995F-6987D8E233B8}"/>
    <cellStyle name="Normal 4 4 4 2" xfId="392" xr:uid="{00000000-0005-0000-0000-0000B5150000}"/>
    <cellStyle name="Normal 4 4 4 2 10" xfId="8998" xr:uid="{4D219BF5-4D52-4616-BEB2-74EF7B669C79}"/>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32663" xr:uid="{38986D67-9DA2-4B7C-8F10-FE163DAC8BF2}"/>
    <cellStyle name="Normal 4 4 4 2 2 2 2 3" xfId="24222" xr:uid="{6BF74F51-7054-4629-A0A5-C9B2D2041B27}"/>
    <cellStyle name="Normal 4 4 4 2 2 2 2 4" xfId="15774" xr:uid="{980B4B57-838C-4C7E-9486-4C0F200D4D77}"/>
    <cellStyle name="Normal 4 4 4 2 2 2 3" xfId="28445" xr:uid="{C7B84590-F718-4785-98F6-2DABAE863BD8}"/>
    <cellStyle name="Normal 4 4 4 2 2 2 4" xfId="20004" xr:uid="{812D85CA-E895-49D4-8AB7-1C8BFA80968F}"/>
    <cellStyle name="Normal 4 4 4 2 2 2 5" xfId="11556" xr:uid="{9E12C21E-E608-4753-B1EC-51A381692A3C}"/>
    <cellStyle name="Normal 4 4 4 2 2 3" xfId="5179" xr:uid="{00000000-0005-0000-0000-0000B9150000}"/>
    <cellStyle name="Normal 4 4 4 2 2 3 2" xfId="30518" xr:uid="{1E0CF031-2F83-468F-A0A7-28CEC5402F29}"/>
    <cellStyle name="Normal 4 4 4 2 2 3 3" xfId="22077" xr:uid="{A2CE9D67-A3D2-4ACF-90FA-F9786CF5B5C4}"/>
    <cellStyle name="Normal 4 4 4 2 2 3 4" xfId="13629" xr:uid="{901B84E4-ED9F-4117-8179-585A9AFC264E}"/>
    <cellStyle name="Normal 4 4 4 2 2 4" xfId="26300" xr:uid="{52938554-5FB7-4B02-854D-3EB95E393DBA}"/>
    <cellStyle name="Normal 4 4 4 2 2 5" xfId="17859" xr:uid="{B8B102AB-2644-4B5A-885F-A494DC7348AB}"/>
    <cellStyle name="Normal 4 4 4 2 2 6" xfId="9411" xr:uid="{E37FEB39-2207-4759-AC38-E1A30861801E}"/>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33076" xr:uid="{6B648ADD-CDA1-4D08-8DB8-1940137D902B}"/>
    <cellStyle name="Normal 4 4 4 2 3 2 2 3" xfId="24635" xr:uid="{E55CB3D1-6A44-458F-9BDF-95A60412E053}"/>
    <cellStyle name="Normal 4 4 4 2 3 2 2 4" xfId="16187" xr:uid="{81A35A0D-AD2C-48E2-82B5-8C08AFC64BAA}"/>
    <cellStyle name="Normal 4 4 4 2 3 2 3" xfId="28858" xr:uid="{6427298C-A421-401A-9922-542A2748B0FA}"/>
    <cellStyle name="Normal 4 4 4 2 3 2 4" xfId="20417" xr:uid="{94DA8691-3E0C-4777-8DA6-5F5F43F6A81B}"/>
    <cellStyle name="Normal 4 4 4 2 3 2 5" xfId="11969" xr:uid="{E8A10BC1-75DF-4B59-99D0-27D8DA31184B}"/>
    <cellStyle name="Normal 4 4 4 2 3 3" xfId="5592" xr:uid="{00000000-0005-0000-0000-0000BD150000}"/>
    <cellStyle name="Normal 4 4 4 2 3 3 2" xfId="30931" xr:uid="{F5297F80-EF0B-497E-87B5-DE91605B00E7}"/>
    <cellStyle name="Normal 4 4 4 2 3 3 3" xfId="22490" xr:uid="{CDAF6047-528F-4135-A89B-0DA20E4ABE87}"/>
    <cellStyle name="Normal 4 4 4 2 3 3 4" xfId="14042" xr:uid="{C4E82749-86DA-43C2-B79B-2215209B0432}"/>
    <cellStyle name="Normal 4 4 4 2 3 4" xfId="26713" xr:uid="{CFE21940-15D5-4FCC-AADD-965BFB702F35}"/>
    <cellStyle name="Normal 4 4 4 2 3 5" xfId="18272" xr:uid="{779A3C9C-CE0A-4668-BA32-AE9BFC0DC06A}"/>
    <cellStyle name="Normal 4 4 4 2 3 6" xfId="9824" xr:uid="{4B04419E-484C-4771-A3FE-9593038E07CA}"/>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33489" xr:uid="{E4621469-3856-49F3-BC33-B18F8C02774E}"/>
    <cellStyle name="Normal 4 4 4 2 4 2 2 3" xfId="25048" xr:uid="{AAD9CDE7-4602-472F-8F1E-0492D1A4EFE9}"/>
    <cellStyle name="Normal 4 4 4 2 4 2 2 4" xfId="16600" xr:uid="{4E566676-BDDF-4034-BF12-72FD54CF727E}"/>
    <cellStyle name="Normal 4 4 4 2 4 2 3" xfId="29271" xr:uid="{60A64BBE-4AE1-4773-B185-8C87E5834D39}"/>
    <cellStyle name="Normal 4 4 4 2 4 2 4" xfId="20830" xr:uid="{876341B9-8BEE-456C-B4B0-B42F8E2A4888}"/>
    <cellStyle name="Normal 4 4 4 2 4 2 5" xfId="12382" xr:uid="{1C2FF1B5-E08A-4695-9EDC-275F2D755045}"/>
    <cellStyle name="Normal 4 4 4 2 4 3" xfId="6005" xr:uid="{00000000-0005-0000-0000-0000C1150000}"/>
    <cellStyle name="Normal 4 4 4 2 4 3 2" xfId="31344" xr:uid="{F785880C-D362-48DB-8332-4B0DE6C7915F}"/>
    <cellStyle name="Normal 4 4 4 2 4 3 3" xfId="22903" xr:uid="{43F0170A-7CC9-4572-BC23-38614AAF201A}"/>
    <cellStyle name="Normal 4 4 4 2 4 3 4" xfId="14455" xr:uid="{5E540C09-80B5-4B87-BE33-A7160B88A23C}"/>
    <cellStyle name="Normal 4 4 4 2 4 4" xfId="27126" xr:uid="{A8AE8596-852F-4009-8F8E-2014B66680F8}"/>
    <cellStyle name="Normal 4 4 4 2 4 5" xfId="18685" xr:uid="{4B3DCEFE-1AC3-4D15-AC65-0E83555F05D9}"/>
    <cellStyle name="Normal 4 4 4 2 4 6" xfId="10237" xr:uid="{C755EB84-7292-4399-B5B6-2CCBDA5F110D}"/>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33902" xr:uid="{48E61956-C664-44F1-B7B7-861B221165CD}"/>
    <cellStyle name="Normal 4 4 4 2 5 2 2 3" xfId="25461" xr:uid="{BAB14F5A-719A-46A4-9E43-0254CF3438D5}"/>
    <cellStyle name="Normal 4 4 4 2 5 2 2 4" xfId="17013" xr:uid="{028F32BA-5323-42C8-AF91-5E81EC05A1A0}"/>
    <cellStyle name="Normal 4 4 4 2 5 2 3" xfId="29684" xr:uid="{88BDD0FB-932D-4029-8336-BD5D27468D9B}"/>
    <cellStyle name="Normal 4 4 4 2 5 2 4" xfId="21243" xr:uid="{26D9F1AA-B8A9-44EA-9A29-91587467C5A7}"/>
    <cellStyle name="Normal 4 4 4 2 5 2 5" xfId="12795" xr:uid="{BA48A6A0-9E6C-458E-B213-540E6FA8C395}"/>
    <cellStyle name="Normal 4 4 4 2 5 3" xfId="6418" xr:uid="{00000000-0005-0000-0000-0000C5150000}"/>
    <cellStyle name="Normal 4 4 4 2 5 3 2" xfId="31757" xr:uid="{9BFA9C7A-4B32-40BD-9C20-0327823B79C5}"/>
    <cellStyle name="Normal 4 4 4 2 5 3 3" xfId="23316" xr:uid="{260AA0CD-9759-467F-B902-8063604C7B3C}"/>
    <cellStyle name="Normal 4 4 4 2 5 3 4" xfId="14868" xr:uid="{16CC4727-B930-480D-90E5-AC0B4918159F}"/>
    <cellStyle name="Normal 4 4 4 2 5 4" xfId="27539" xr:uid="{DB1AEB5C-A4D5-4843-AEE9-7D3D27D35CF7}"/>
    <cellStyle name="Normal 4 4 4 2 5 5" xfId="19098" xr:uid="{8ABE1A7C-2ED0-4567-AB2D-1880031BA7D4}"/>
    <cellStyle name="Normal 4 4 4 2 5 6" xfId="10650" xr:uid="{C6974AA0-8D35-4FA7-87E5-63161F9CF313}"/>
    <cellStyle name="Normal 4 4 4 2 6" xfId="2548" xr:uid="{00000000-0005-0000-0000-0000C6150000}"/>
    <cellStyle name="Normal 4 4 4 2 6 2" xfId="6831" xr:uid="{00000000-0005-0000-0000-0000C7150000}"/>
    <cellStyle name="Normal 4 4 4 2 6 2 2" xfId="32170" xr:uid="{AEE6ACC6-C6AF-4B34-8639-48281A1D3E0F}"/>
    <cellStyle name="Normal 4 4 4 2 6 2 3" xfId="23729" xr:uid="{3BB6FEB8-9688-4B7E-B91A-EDD6A1F6FFA7}"/>
    <cellStyle name="Normal 4 4 4 2 6 2 4" xfId="15281" xr:uid="{C7CB4D1C-6E07-479C-A29B-42750D43BBB1}"/>
    <cellStyle name="Normal 4 4 4 2 6 3" xfId="27952" xr:uid="{0F5C40FD-035B-4EE1-AB71-DA3BE255FEAC}"/>
    <cellStyle name="Normal 4 4 4 2 6 4" xfId="19511" xr:uid="{75AAFEDB-798C-4CBB-BD80-F2AC03DA3E1D}"/>
    <cellStyle name="Normal 4 4 4 2 6 5" xfId="11063" xr:uid="{955F846B-BC5F-4A8F-8411-5AC5F5B821FA}"/>
    <cellStyle name="Normal 4 4 4 2 7" xfId="4766" xr:uid="{00000000-0005-0000-0000-0000C8150000}"/>
    <cellStyle name="Normal 4 4 4 2 7 2" xfId="30105" xr:uid="{D41C6CCF-5655-4B32-9104-D535CACC9960}"/>
    <cellStyle name="Normal 4 4 4 2 7 3" xfId="21664" xr:uid="{26762BC2-BE85-4F0E-9B9E-5DE3789B80A8}"/>
    <cellStyle name="Normal 4 4 4 2 7 4" xfId="13216" xr:uid="{F7146A3B-CED3-4116-A867-C7A4EBC84C08}"/>
    <cellStyle name="Normal 4 4 4 2 8" xfId="25887" xr:uid="{34F5272A-3105-4453-B0AC-0AD0CC512678}"/>
    <cellStyle name="Normal 4 4 4 2 9" xfId="17446" xr:uid="{23AF4611-683D-4ED1-BD86-545BFBC0D72E}"/>
    <cellStyle name="Normal 4 4 4 3" xfId="866" xr:uid="{00000000-0005-0000-0000-0000C9150000}"/>
    <cellStyle name="Normal 4 4 4 3 2" xfId="3101" xr:uid="{00000000-0005-0000-0000-0000CA150000}"/>
    <cellStyle name="Normal 4 4 4 3 2 2" xfId="7323" xr:uid="{00000000-0005-0000-0000-0000CB150000}"/>
    <cellStyle name="Normal 4 4 4 3 2 2 2" xfId="32662" xr:uid="{3A0EFD35-F0A3-43A9-9728-054D1F45EB8C}"/>
    <cellStyle name="Normal 4 4 4 3 2 2 3" xfId="24221" xr:uid="{F5E14B76-DEB1-4843-A202-99128F3634EB}"/>
    <cellStyle name="Normal 4 4 4 3 2 2 4" xfId="15773" xr:uid="{26D3BE96-C0BD-4C74-AD55-3C3771EF6CB8}"/>
    <cellStyle name="Normal 4 4 4 3 2 3" xfId="28444" xr:uid="{E88D4A7B-0F10-45C9-B064-6B393BA10AA8}"/>
    <cellStyle name="Normal 4 4 4 3 2 4" xfId="20003" xr:uid="{E41C224F-8F32-4F9B-86EA-17B8EFC458BD}"/>
    <cellStyle name="Normal 4 4 4 3 2 5" xfId="11555" xr:uid="{37D01A45-E6CB-4AED-BC48-642088192903}"/>
    <cellStyle name="Normal 4 4 4 3 3" xfId="5178" xr:uid="{00000000-0005-0000-0000-0000CC150000}"/>
    <cellStyle name="Normal 4 4 4 3 3 2" xfId="30517" xr:uid="{227A71D3-A2D6-4351-ACC2-78A26F8B87D9}"/>
    <cellStyle name="Normal 4 4 4 3 3 3" xfId="22076" xr:uid="{135C48A1-9E48-44F3-BBF3-EF2D34A57F8B}"/>
    <cellStyle name="Normal 4 4 4 3 3 4" xfId="13628" xr:uid="{08FDC7A9-3D3A-416D-9775-9D9C5A65F1F4}"/>
    <cellStyle name="Normal 4 4 4 3 4" xfId="26299" xr:uid="{D91CAD9E-3A6A-4E99-8D87-B27343DCFC4C}"/>
    <cellStyle name="Normal 4 4 4 3 5" xfId="17858" xr:uid="{FE6D3150-3373-40BC-9364-AB93E56F9493}"/>
    <cellStyle name="Normal 4 4 4 3 6" xfId="9410" xr:uid="{10EF58D5-10FB-4423-B17E-86400D47038D}"/>
    <cellStyle name="Normal 4 4 4 4" xfId="1284" xr:uid="{00000000-0005-0000-0000-0000CD150000}"/>
    <cellStyle name="Normal 4 4 4 4 2" xfId="3514" xr:uid="{00000000-0005-0000-0000-0000CE150000}"/>
    <cellStyle name="Normal 4 4 4 4 2 2" xfId="7736" xr:uid="{00000000-0005-0000-0000-0000CF150000}"/>
    <cellStyle name="Normal 4 4 4 4 2 2 2" xfId="33075" xr:uid="{C62E6B40-54E0-4C4F-8623-436F28D5705B}"/>
    <cellStyle name="Normal 4 4 4 4 2 2 3" xfId="24634" xr:uid="{CECF8544-95CF-4D07-A689-631BA05E25E8}"/>
    <cellStyle name="Normal 4 4 4 4 2 2 4" xfId="16186" xr:uid="{7D2CD1F6-CE00-468B-93B9-69BB92379448}"/>
    <cellStyle name="Normal 4 4 4 4 2 3" xfId="28857" xr:uid="{9807C67F-B05E-4F0F-BDDE-313ECD5E293A}"/>
    <cellStyle name="Normal 4 4 4 4 2 4" xfId="20416" xr:uid="{5447FFAF-7855-4DC9-B920-FCA4E036BD9E}"/>
    <cellStyle name="Normal 4 4 4 4 2 5" xfId="11968" xr:uid="{8788BC95-6B85-46BB-B720-EA93CF9E60B0}"/>
    <cellStyle name="Normal 4 4 4 4 3" xfId="5591" xr:uid="{00000000-0005-0000-0000-0000D0150000}"/>
    <cellStyle name="Normal 4 4 4 4 3 2" xfId="30930" xr:uid="{58F77FE6-C42A-44BA-9235-8B15C4C35E8E}"/>
    <cellStyle name="Normal 4 4 4 4 3 3" xfId="22489" xr:uid="{27020560-B17B-4B61-880F-228FAD2967E5}"/>
    <cellStyle name="Normal 4 4 4 4 3 4" xfId="14041" xr:uid="{0D1699D1-8A5D-42C7-BC78-940CB248E185}"/>
    <cellStyle name="Normal 4 4 4 4 4" xfId="26712" xr:uid="{CBC15DD7-89B9-4152-B326-103EA274C26E}"/>
    <cellStyle name="Normal 4 4 4 4 5" xfId="18271" xr:uid="{0D430861-0FBE-48F2-884D-882A3E6354E7}"/>
    <cellStyle name="Normal 4 4 4 4 6" xfId="9823" xr:uid="{5288EF66-7E8B-41F3-A950-2DE5E4649047}"/>
    <cellStyle name="Normal 4 4 4 5" xfId="1697" xr:uid="{00000000-0005-0000-0000-0000D1150000}"/>
    <cellStyle name="Normal 4 4 4 5 2" xfId="3927" xr:uid="{00000000-0005-0000-0000-0000D2150000}"/>
    <cellStyle name="Normal 4 4 4 5 2 2" xfId="8149" xr:uid="{00000000-0005-0000-0000-0000D3150000}"/>
    <cellStyle name="Normal 4 4 4 5 2 2 2" xfId="33488" xr:uid="{0E73CBBE-7DC7-4E64-ADA0-3F38D03A515E}"/>
    <cellStyle name="Normal 4 4 4 5 2 2 3" xfId="25047" xr:uid="{6C9B8255-DDE4-4947-B1B6-BFFE7FBD27D7}"/>
    <cellStyle name="Normal 4 4 4 5 2 2 4" xfId="16599" xr:uid="{7611BC45-2AC4-40FA-BF6D-A73F9F2373F6}"/>
    <cellStyle name="Normal 4 4 4 5 2 3" xfId="29270" xr:uid="{1391218B-C483-4306-B957-0BB05FC8A01F}"/>
    <cellStyle name="Normal 4 4 4 5 2 4" xfId="20829" xr:uid="{F0CD95B1-46E8-4B88-AB5E-8854E9834D00}"/>
    <cellStyle name="Normal 4 4 4 5 2 5" xfId="12381" xr:uid="{ECA66B68-8E2C-4B82-8C1B-1689B8E29245}"/>
    <cellStyle name="Normal 4 4 4 5 3" xfId="6004" xr:uid="{00000000-0005-0000-0000-0000D4150000}"/>
    <cellStyle name="Normal 4 4 4 5 3 2" xfId="31343" xr:uid="{53F9E646-20B8-4578-96DD-B52798CB3A55}"/>
    <cellStyle name="Normal 4 4 4 5 3 3" xfId="22902" xr:uid="{DFE27533-2DC6-42CF-927D-E5D63F7613DE}"/>
    <cellStyle name="Normal 4 4 4 5 3 4" xfId="14454" xr:uid="{0E73F0A8-BF08-4D51-87D0-9AF2D9C3967C}"/>
    <cellStyle name="Normal 4 4 4 5 4" xfId="27125" xr:uid="{25165D94-3434-48D3-8976-C12328C3C4C0}"/>
    <cellStyle name="Normal 4 4 4 5 5" xfId="18684" xr:uid="{90A107A3-004A-49CD-B968-7AB5912DA889}"/>
    <cellStyle name="Normal 4 4 4 5 6" xfId="10236" xr:uid="{585CD664-541C-4A69-B2FC-34904B424445}"/>
    <cellStyle name="Normal 4 4 4 6" xfId="2111" xr:uid="{00000000-0005-0000-0000-0000D5150000}"/>
    <cellStyle name="Normal 4 4 4 6 2" xfId="4340" xr:uid="{00000000-0005-0000-0000-0000D6150000}"/>
    <cellStyle name="Normal 4 4 4 6 2 2" xfId="8562" xr:uid="{00000000-0005-0000-0000-0000D7150000}"/>
    <cellStyle name="Normal 4 4 4 6 2 2 2" xfId="33901" xr:uid="{C7CC258C-0C2D-4B1D-B404-08A48A14DC88}"/>
    <cellStyle name="Normal 4 4 4 6 2 2 3" xfId="25460" xr:uid="{EBC3BA27-2A77-4F82-AE7F-45B63186F215}"/>
    <cellStyle name="Normal 4 4 4 6 2 2 4" xfId="17012" xr:uid="{A606A0E6-E327-4B2B-A87A-83EFB6608B5C}"/>
    <cellStyle name="Normal 4 4 4 6 2 3" xfId="29683" xr:uid="{97357F50-3279-4DD2-9406-11232A0CBC7A}"/>
    <cellStyle name="Normal 4 4 4 6 2 4" xfId="21242" xr:uid="{C7D5C4AA-4472-4FCB-8282-E6BD5EFB5986}"/>
    <cellStyle name="Normal 4 4 4 6 2 5" xfId="12794" xr:uid="{8731FFCE-3B34-40CC-924A-63E6D9A7ADDE}"/>
    <cellStyle name="Normal 4 4 4 6 3" xfId="6417" xr:uid="{00000000-0005-0000-0000-0000D8150000}"/>
    <cellStyle name="Normal 4 4 4 6 3 2" xfId="31756" xr:uid="{9C626ABB-D38A-4DB3-800E-45B58EE4079E}"/>
    <cellStyle name="Normal 4 4 4 6 3 3" xfId="23315" xr:uid="{566532A0-6BB2-4506-A7FC-23FC0F74E64C}"/>
    <cellStyle name="Normal 4 4 4 6 3 4" xfId="14867" xr:uid="{53BCEB5F-64F3-4C67-9E20-A9ABC7085450}"/>
    <cellStyle name="Normal 4 4 4 6 4" xfId="27538" xr:uid="{1ED47C7C-0003-4D4B-B79E-330B26A4405C}"/>
    <cellStyle name="Normal 4 4 4 6 5" xfId="19097" xr:uid="{34F87B77-46CD-4B9F-8BED-A157CC9525DC}"/>
    <cellStyle name="Normal 4 4 4 6 6" xfId="10649" xr:uid="{10613408-A5D2-4205-8802-1C430263C859}"/>
    <cellStyle name="Normal 4 4 4 7" xfId="2547" xr:uid="{00000000-0005-0000-0000-0000D9150000}"/>
    <cellStyle name="Normal 4 4 4 7 2" xfId="6830" xr:uid="{00000000-0005-0000-0000-0000DA150000}"/>
    <cellStyle name="Normal 4 4 4 7 2 2" xfId="32169" xr:uid="{F58B6CF9-F90A-4AE9-A2B0-13936AFE469E}"/>
    <cellStyle name="Normal 4 4 4 7 2 3" xfId="23728" xr:uid="{32AFCEC6-32F9-4BCD-9203-6D00AE305741}"/>
    <cellStyle name="Normal 4 4 4 7 2 4" xfId="15280" xr:uid="{6F47398F-0E92-44F8-8E5A-A9864E4E4EC8}"/>
    <cellStyle name="Normal 4 4 4 7 3" xfId="27951" xr:uid="{EA67EBEA-880E-4978-B1AC-97575E1BE122}"/>
    <cellStyle name="Normal 4 4 4 7 4" xfId="19510" xr:uid="{27E195DD-B1C0-40C6-8BBA-A2274E12ECF3}"/>
    <cellStyle name="Normal 4 4 4 7 5" xfId="11062" xr:uid="{D0EAC686-8E73-46C4-B8C5-A422AEAA89D6}"/>
    <cellStyle name="Normal 4 4 4 8" xfId="4765" xr:uid="{00000000-0005-0000-0000-0000DB150000}"/>
    <cellStyle name="Normal 4 4 4 8 2" xfId="30104" xr:uid="{AB893448-C204-45A1-BA2C-193E43BB76A5}"/>
    <cellStyle name="Normal 4 4 4 8 3" xfId="21663" xr:uid="{0672488F-6F88-4D7C-9E79-1352232BBDC3}"/>
    <cellStyle name="Normal 4 4 4 8 4" xfId="13215" xr:uid="{E943761E-6E39-4369-A65A-AEB4DB058B5E}"/>
    <cellStyle name="Normal 4 4 4 9" xfId="25886" xr:uid="{1CE9A3EE-9D3D-41AA-9146-3F9F1646180A}"/>
    <cellStyle name="Normal 4 4 5" xfId="393" xr:uid="{00000000-0005-0000-0000-0000DC150000}"/>
    <cellStyle name="Normal 4 4 5 10" xfId="8999" xr:uid="{2A73FB27-E1FB-42E8-89DC-8481209019E0}"/>
    <cellStyle name="Normal 4 4 5 2" xfId="868" xr:uid="{00000000-0005-0000-0000-0000DD150000}"/>
    <cellStyle name="Normal 4 4 5 2 2" xfId="3103" xr:uid="{00000000-0005-0000-0000-0000DE150000}"/>
    <cellStyle name="Normal 4 4 5 2 2 2" xfId="7325" xr:uid="{00000000-0005-0000-0000-0000DF150000}"/>
    <cellStyle name="Normal 4 4 5 2 2 2 2" xfId="32664" xr:uid="{C0B89E39-B7A3-440E-BBB5-A0F3EC15CBA0}"/>
    <cellStyle name="Normal 4 4 5 2 2 2 3" xfId="24223" xr:uid="{090C8CF9-7BCE-4E26-8528-330D7DF9038B}"/>
    <cellStyle name="Normal 4 4 5 2 2 2 4" xfId="15775" xr:uid="{F7F08429-CAC1-49B1-B498-547A6FE1FEE4}"/>
    <cellStyle name="Normal 4 4 5 2 2 3" xfId="28446" xr:uid="{8EB6BA7A-414E-4FB9-8458-ABA36FC024EA}"/>
    <cellStyle name="Normal 4 4 5 2 2 4" xfId="20005" xr:uid="{72E216D9-3966-49BA-9EDE-7122B94B8C21}"/>
    <cellStyle name="Normal 4 4 5 2 2 5" xfId="11557" xr:uid="{4289FB0B-2A03-43D8-856D-0F10C704D5FC}"/>
    <cellStyle name="Normal 4 4 5 2 3" xfId="5180" xr:uid="{00000000-0005-0000-0000-0000E0150000}"/>
    <cellStyle name="Normal 4 4 5 2 3 2" xfId="30519" xr:uid="{43B90DC7-179E-4101-995D-AA30693B5F2D}"/>
    <cellStyle name="Normal 4 4 5 2 3 3" xfId="22078" xr:uid="{877104F2-E6A7-4647-B665-2E3172640C60}"/>
    <cellStyle name="Normal 4 4 5 2 3 4" xfId="13630" xr:uid="{3B87626C-B0E7-4990-8974-6359C720C8B1}"/>
    <cellStyle name="Normal 4 4 5 2 4" xfId="26301" xr:uid="{8D168716-2AC2-4C73-9FA9-3CEA9DBEE3B1}"/>
    <cellStyle name="Normal 4 4 5 2 5" xfId="17860" xr:uid="{F2EE33E6-4E09-4628-AF03-D48A4939F310}"/>
    <cellStyle name="Normal 4 4 5 2 6" xfId="9412" xr:uid="{EB315005-11E8-45BA-86D9-C7736CCCBFD6}"/>
    <cellStyle name="Normal 4 4 5 3" xfId="1286" xr:uid="{00000000-0005-0000-0000-0000E1150000}"/>
    <cellStyle name="Normal 4 4 5 3 2" xfId="3516" xr:uid="{00000000-0005-0000-0000-0000E2150000}"/>
    <cellStyle name="Normal 4 4 5 3 2 2" xfId="7738" xr:uid="{00000000-0005-0000-0000-0000E3150000}"/>
    <cellStyle name="Normal 4 4 5 3 2 2 2" xfId="33077" xr:uid="{764CB2F8-A047-4420-B5AE-99852F94D7AE}"/>
    <cellStyle name="Normal 4 4 5 3 2 2 3" xfId="24636" xr:uid="{746D6221-09C9-4B66-B7F0-4B70C684BA70}"/>
    <cellStyle name="Normal 4 4 5 3 2 2 4" xfId="16188" xr:uid="{5C620AD7-3F77-400D-A313-B24197542B1D}"/>
    <cellStyle name="Normal 4 4 5 3 2 3" xfId="28859" xr:uid="{BB2E2473-355D-4CB9-939C-1FB7DE29765E}"/>
    <cellStyle name="Normal 4 4 5 3 2 4" xfId="20418" xr:uid="{D2781AB7-7AD7-4F51-B3FC-9529377A0BD1}"/>
    <cellStyle name="Normal 4 4 5 3 2 5" xfId="11970" xr:uid="{1995B4DB-8490-4BDB-846B-52F65BCFE329}"/>
    <cellStyle name="Normal 4 4 5 3 3" xfId="5593" xr:uid="{00000000-0005-0000-0000-0000E4150000}"/>
    <cellStyle name="Normal 4 4 5 3 3 2" xfId="30932" xr:uid="{47B6F34C-CDF3-4677-A1EC-49E9916C690A}"/>
    <cellStyle name="Normal 4 4 5 3 3 3" xfId="22491" xr:uid="{CE504243-A5B6-4858-B84E-039069CAD241}"/>
    <cellStyle name="Normal 4 4 5 3 3 4" xfId="14043" xr:uid="{420AD6DF-B2E5-4E01-8FD1-366344DCC1D2}"/>
    <cellStyle name="Normal 4 4 5 3 4" xfId="26714" xr:uid="{6AF43AE6-FC70-4411-AFB0-28338C84ABF5}"/>
    <cellStyle name="Normal 4 4 5 3 5" xfId="18273" xr:uid="{CD583698-CFAE-45DF-91D2-52A10E8FAB6D}"/>
    <cellStyle name="Normal 4 4 5 3 6" xfId="9825" xr:uid="{9426CD08-F4B7-4050-9B29-30EBD6AD9E6F}"/>
    <cellStyle name="Normal 4 4 5 4" xfId="1699" xr:uid="{00000000-0005-0000-0000-0000E5150000}"/>
    <cellStyle name="Normal 4 4 5 4 2" xfId="3929" xr:uid="{00000000-0005-0000-0000-0000E6150000}"/>
    <cellStyle name="Normal 4 4 5 4 2 2" xfId="8151" xr:uid="{00000000-0005-0000-0000-0000E7150000}"/>
    <cellStyle name="Normal 4 4 5 4 2 2 2" xfId="33490" xr:uid="{ED26518A-6274-47B4-8840-1CA4B05E7F66}"/>
    <cellStyle name="Normal 4 4 5 4 2 2 3" xfId="25049" xr:uid="{24ABD272-AA55-4F63-92BB-DE6FDB199B7E}"/>
    <cellStyle name="Normal 4 4 5 4 2 2 4" xfId="16601" xr:uid="{1B726ECC-8E82-4169-B2E0-5625FCE0A233}"/>
    <cellStyle name="Normal 4 4 5 4 2 3" xfId="29272" xr:uid="{11DF4377-7764-4B1C-9D10-20630CA1D4EF}"/>
    <cellStyle name="Normal 4 4 5 4 2 4" xfId="20831" xr:uid="{4E295011-2E9F-4CD9-8AC4-EB5E3460A543}"/>
    <cellStyle name="Normal 4 4 5 4 2 5" xfId="12383" xr:uid="{43F2784D-158E-448E-9C49-262316DADBF4}"/>
    <cellStyle name="Normal 4 4 5 4 3" xfId="6006" xr:uid="{00000000-0005-0000-0000-0000E8150000}"/>
    <cellStyle name="Normal 4 4 5 4 3 2" xfId="31345" xr:uid="{6BD6EBB9-DDE5-4382-8CAB-BB700E02C63A}"/>
    <cellStyle name="Normal 4 4 5 4 3 3" xfId="22904" xr:uid="{906E0054-9635-43FF-82BC-B72D04F012F2}"/>
    <cellStyle name="Normal 4 4 5 4 3 4" xfId="14456" xr:uid="{2ACF23F2-F411-44A9-B6ED-CFFA5344391A}"/>
    <cellStyle name="Normal 4 4 5 4 4" xfId="27127" xr:uid="{6E50BCD4-3831-4118-A4A1-82F40D44B146}"/>
    <cellStyle name="Normal 4 4 5 4 5" xfId="18686" xr:uid="{9AF5F7F3-7970-478A-B4BB-C477A95107BF}"/>
    <cellStyle name="Normal 4 4 5 4 6" xfId="10238" xr:uid="{8125A7CE-97AD-473D-B809-5F6B85E112B8}"/>
    <cellStyle name="Normal 4 4 5 5" xfId="2113" xr:uid="{00000000-0005-0000-0000-0000E9150000}"/>
    <cellStyle name="Normal 4 4 5 5 2" xfId="4342" xr:uid="{00000000-0005-0000-0000-0000EA150000}"/>
    <cellStyle name="Normal 4 4 5 5 2 2" xfId="8564" xr:uid="{00000000-0005-0000-0000-0000EB150000}"/>
    <cellStyle name="Normal 4 4 5 5 2 2 2" xfId="33903" xr:uid="{6638D716-6BFA-4511-9BBA-202A32E6AB2B}"/>
    <cellStyle name="Normal 4 4 5 5 2 2 3" xfId="25462" xr:uid="{7A20C3CC-DB1E-4594-A783-88BC02FA77BA}"/>
    <cellStyle name="Normal 4 4 5 5 2 2 4" xfId="17014" xr:uid="{B2960D42-3473-46BD-9B1A-069FB8858034}"/>
    <cellStyle name="Normal 4 4 5 5 2 3" xfId="29685" xr:uid="{D0F2FF67-68F3-438C-95F8-5D35418F6903}"/>
    <cellStyle name="Normal 4 4 5 5 2 4" xfId="21244" xr:uid="{85EA1EAA-4720-40AD-8C7A-5749C69E6948}"/>
    <cellStyle name="Normal 4 4 5 5 2 5" xfId="12796" xr:uid="{E86F8509-D08C-4C52-A20D-8C4F63F5BE16}"/>
    <cellStyle name="Normal 4 4 5 5 3" xfId="6419" xr:uid="{00000000-0005-0000-0000-0000EC150000}"/>
    <cellStyle name="Normal 4 4 5 5 3 2" xfId="31758" xr:uid="{919A94A9-D2BA-4950-A8AA-6EB4273B40E3}"/>
    <cellStyle name="Normal 4 4 5 5 3 3" xfId="23317" xr:uid="{C39E57D6-FD35-49B7-BA65-C7413D5B079D}"/>
    <cellStyle name="Normal 4 4 5 5 3 4" xfId="14869" xr:uid="{7DB9DBE1-7789-488A-A672-3D9A8FDEE614}"/>
    <cellStyle name="Normal 4 4 5 5 4" xfId="27540" xr:uid="{C96F96ED-2A34-4C67-B664-670B185CCC73}"/>
    <cellStyle name="Normal 4 4 5 5 5" xfId="19099" xr:uid="{DD1BBFC7-587C-4705-9760-2758C72BC4B3}"/>
    <cellStyle name="Normal 4 4 5 5 6" xfId="10651" xr:uid="{043CCAF3-839D-4D89-891A-313100A62A49}"/>
    <cellStyle name="Normal 4 4 5 6" xfId="2549" xr:uid="{00000000-0005-0000-0000-0000ED150000}"/>
    <cellStyle name="Normal 4 4 5 6 2" xfId="6832" xr:uid="{00000000-0005-0000-0000-0000EE150000}"/>
    <cellStyle name="Normal 4 4 5 6 2 2" xfId="32171" xr:uid="{F16FBC6E-4A0B-4683-BE1A-A3D87DE78050}"/>
    <cellStyle name="Normal 4 4 5 6 2 3" xfId="23730" xr:uid="{14328971-7C39-410C-939E-2DB328DC816A}"/>
    <cellStyle name="Normal 4 4 5 6 2 4" xfId="15282" xr:uid="{ED2AD4CE-C8B9-4BDA-A5EB-38F485B7C478}"/>
    <cellStyle name="Normal 4 4 5 6 3" xfId="27953" xr:uid="{78E54E02-CAB5-41B5-964C-56855AF42320}"/>
    <cellStyle name="Normal 4 4 5 6 4" xfId="19512" xr:uid="{67BBE6DC-DDBC-4D50-B8F0-5F4595AFA472}"/>
    <cellStyle name="Normal 4 4 5 6 5" xfId="11064" xr:uid="{9030895D-DD54-4C3A-9876-F48C6D324D13}"/>
    <cellStyle name="Normal 4 4 5 7" xfId="4767" xr:uid="{00000000-0005-0000-0000-0000EF150000}"/>
    <cellStyle name="Normal 4 4 5 7 2" xfId="30106" xr:uid="{25FB4206-FCCD-452A-AB27-0494C3824E85}"/>
    <cellStyle name="Normal 4 4 5 7 3" xfId="21665" xr:uid="{F60D9693-5CC8-4605-BA6E-02717E0CAC98}"/>
    <cellStyle name="Normal 4 4 5 7 4" xfId="13217" xr:uid="{A271B146-659F-413B-976B-BA4578FCEAAC}"/>
    <cellStyle name="Normal 4 4 5 8" xfId="25888" xr:uid="{39FA9097-5119-488A-9DB7-3EFDD5F6DA3D}"/>
    <cellStyle name="Normal 4 4 5 9" xfId="17447" xr:uid="{2FEE959A-52F9-424D-A6E8-654270D0E40E}"/>
    <cellStyle name="Normal 4 4 6" xfId="853" xr:uid="{00000000-0005-0000-0000-0000F0150000}"/>
    <cellStyle name="Normal 4 4 6 2" xfId="3088" xr:uid="{00000000-0005-0000-0000-0000F1150000}"/>
    <cellStyle name="Normal 4 4 6 2 2" xfId="7310" xr:uid="{00000000-0005-0000-0000-0000F2150000}"/>
    <cellStyle name="Normal 4 4 6 2 2 2" xfId="32649" xr:uid="{776CF037-7C0E-44FA-8D41-51A73CACFFE2}"/>
    <cellStyle name="Normal 4 4 6 2 2 3" xfId="24208" xr:uid="{2FDBF361-941A-403A-BDD3-F1B44563077D}"/>
    <cellStyle name="Normal 4 4 6 2 2 4" xfId="15760" xr:uid="{03EA8C07-213E-4424-9E3E-5B774BC66E20}"/>
    <cellStyle name="Normal 4 4 6 2 3" xfId="28431" xr:uid="{54F6E37D-7066-41A3-AD35-DE842029ED91}"/>
    <cellStyle name="Normal 4 4 6 2 4" xfId="19990" xr:uid="{96B430C0-F33B-4CCC-B9E9-D4116C49DE27}"/>
    <cellStyle name="Normal 4 4 6 2 5" xfId="11542" xr:uid="{CC751D85-7361-4BFB-85EF-50B6C927EC8D}"/>
    <cellStyle name="Normal 4 4 6 3" xfId="5165" xr:uid="{00000000-0005-0000-0000-0000F3150000}"/>
    <cellStyle name="Normal 4 4 6 3 2" xfId="30504" xr:uid="{33E320A3-0C90-456E-A8B9-D2796B6ED2FD}"/>
    <cellStyle name="Normal 4 4 6 3 3" xfId="22063" xr:uid="{4933A7DB-EB8B-4D00-B2A7-B270BE89C797}"/>
    <cellStyle name="Normal 4 4 6 3 4" xfId="13615" xr:uid="{790D2E7C-89F5-49FA-8DBC-1C71FF3FFBB4}"/>
    <cellStyle name="Normal 4 4 6 4" xfId="26286" xr:uid="{F006AC7E-8F62-4471-BA37-CA2FF5FD978D}"/>
    <cellStyle name="Normal 4 4 6 5" xfId="17845" xr:uid="{91F56B3C-E58B-4CB3-B5E1-DFF85B75F1EE}"/>
    <cellStyle name="Normal 4 4 6 6" xfId="9397" xr:uid="{FE0DFD71-DABC-4345-9FE5-25FDB7583F04}"/>
    <cellStyle name="Normal 4 4 7" xfId="1271" xr:uid="{00000000-0005-0000-0000-0000F4150000}"/>
    <cellStyle name="Normal 4 4 7 2" xfId="3501" xr:uid="{00000000-0005-0000-0000-0000F5150000}"/>
    <cellStyle name="Normal 4 4 7 2 2" xfId="7723" xr:uid="{00000000-0005-0000-0000-0000F6150000}"/>
    <cellStyle name="Normal 4 4 7 2 2 2" xfId="33062" xr:uid="{C0408544-4997-44BE-B0F7-EB336AAA4D93}"/>
    <cellStyle name="Normal 4 4 7 2 2 3" xfId="24621" xr:uid="{5E0DEF3F-BE7E-4611-9E72-50676E696C3B}"/>
    <cellStyle name="Normal 4 4 7 2 2 4" xfId="16173" xr:uid="{ABE7C927-D5BD-4423-8A73-C934F17C0510}"/>
    <cellStyle name="Normal 4 4 7 2 3" xfId="28844" xr:uid="{897CCD37-D2EE-45A2-870F-0802736469F4}"/>
    <cellStyle name="Normal 4 4 7 2 4" xfId="20403" xr:uid="{52D54AC1-0C42-49BD-BA94-E31D2A2E4BFD}"/>
    <cellStyle name="Normal 4 4 7 2 5" xfId="11955" xr:uid="{CD916293-332D-492A-94A5-0A158D19C17E}"/>
    <cellStyle name="Normal 4 4 7 3" xfId="5578" xr:uid="{00000000-0005-0000-0000-0000F7150000}"/>
    <cellStyle name="Normal 4 4 7 3 2" xfId="30917" xr:uid="{AF84D96F-493B-4691-B20B-BC191835990B}"/>
    <cellStyle name="Normal 4 4 7 3 3" xfId="22476" xr:uid="{798A6BAA-A83B-494C-A0C0-F5AE62AAE2D8}"/>
    <cellStyle name="Normal 4 4 7 3 4" xfId="14028" xr:uid="{C7ED02A9-4357-45B8-884A-9C02F83D86AE}"/>
    <cellStyle name="Normal 4 4 7 4" xfId="26699" xr:uid="{750B8803-63F0-4F15-9136-3406DF2C629C}"/>
    <cellStyle name="Normal 4 4 7 5" xfId="18258" xr:uid="{4DE9707A-AE00-4F95-AFAC-8006157B83A3}"/>
    <cellStyle name="Normal 4 4 7 6" xfId="9810" xr:uid="{11505F83-367E-48AD-BA39-B632DB512753}"/>
    <cellStyle name="Normal 4 4 8" xfId="1684" xr:uid="{00000000-0005-0000-0000-0000F8150000}"/>
    <cellStyle name="Normal 4 4 8 2" xfId="3914" xr:uid="{00000000-0005-0000-0000-0000F9150000}"/>
    <cellStyle name="Normal 4 4 8 2 2" xfId="8136" xr:uid="{00000000-0005-0000-0000-0000FA150000}"/>
    <cellStyle name="Normal 4 4 8 2 2 2" xfId="33475" xr:uid="{BEC587EA-9041-4487-9A44-43732752AF55}"/>
    <cellStyle name="Normal 4 4 8 2 2 3" xfId="25034" xr:uid="{8B98E7F5-DA64-46A0-8791-FCFB50DFDF97}"/>
    <cellStyle name="Normal 4 4 8 2 2 4" xfId="16586" xr:uid="{0CE1EBA5-EFFC-457A-BE1C-CF6B5757D7F6}"/>
    <cellStyle name="Normal 4 4 8 2 3" xfId="29257" xr:uid="{04CEFAE6-B773-48C6-AB44-CCE1B7D43F1D}"/>
    <cellStyle name="Normal 4 4 8 2 4" xfId="20816" xr:uid="{4C391C2B-9642-41B5-B86A-C0446AD620CC}"/>
    <cellStyle name="Normal 4 4 8 2 5" xfId="12368" xr:uid="{54FD0420-47EF-454A-987E-89A65CE84818}"/>
    <cellStyle name="Normal 4 4 8 3" xfId="5991" xr:uid="{00000000-0005-0000-0000-0000FB150000}"/>
    <cellStyle name="Normal 4 4 8 3 2" xfId="31330" xr:uid="{AF21C99E-756A-48A9-9100-F0729319BABE}"/>
    <cellStyle name="Normal 4 4 8 3 3" xfId="22889" xr:uid="{21E8F553-472C-4F00-BB2C-4B1F651A514A}"/>
    <cellStyle name="Normal 4 4 8 3 4" xfId="14441" xr:uid="{FC206192-E38F-4608-AB72-1CDA382031D0}"/>
    <cellStyle name="Normal 4 4 8 4" xfId="27112" xr:uid="{3DEC4A43-6D3D-47F9-BC7D-4465C207E827}"/>
    <cellStyle name="Normal 4 4 8 5" xfId="18671" xr:uid="{3A00142E-1D29-4E9B-84E3-DE604083FFC6}"/>
    <cellStyle name="Normal 4 4 8 6" xfId="10223" xr:uid="{60747A4F-9896-448A-A538-D35FEE59C988}"/>
    <cellStyle name="Normal 4 4 9" xfId="2098" xr:uid="{00000000-0005-0000-0000-0000FC150000}"/>
    <cellStyle name="Normal 4 4 9 2" xfId="4327" xr:uid="{00000000-0005-0000-0000-0000FD150000}"/>
    <cellStyle name="Normal 4 4 9 2 2" xfId="8549" xr:uid="{00000000-0005-0000-0000-0000FE150000}"/>
    <cellStyle name="Normal 4 4 9 2 2 2" xfId="33888" xr:uid="{9E938AD3-6495-417E-A610-439BA00F093D}"/>
    <cellStyle name="Normal 4 4 9 2 2 3" xfId="25447" xr:uid="{56FDC363-9FB7-4AD9-B9D0-913C76C0E27F}"/>
    <cellStyle name="Normal 4 4 9 2 2 4" xfId="16999" xr:uid="{94072A93-B037-46F5-BA01-5A9E8700C3BA}"/>
    <cellStyle name="Normal 4 4 9 2 3" xfId="29670" xr:uid="{25BEA9B1-44DD-4032-A57B-3FE9533E055F}"/>
    <cellStyle name="Normal 4 4 9 2 4" xfId="21229" xr:uid="{54A14A81-A712-4E54-A86A-A186DBB87881}"/>
    <cellStyle name="Normal 4 4 9 2 5" xfId="12781" xr:uid="{DEB19676-9F49-40E6-B9A3-1243FD07114E}"/>
    <cellStyle name="Normal 4 4 9 3" xfId="6404" xr:uid="{00000000-0005-0000-0000-0000FF150000}"/>
    <cellStyle name="Normal 4 4 9 3 2" xfId="31743" xr:uid="{B8EC0112-B227-44BF-887C-9B5F9ADDC138}"/>
    <cellStyle name="Normal 4 4 9 3 3" xfId="23302" xr:uid="{21B5ECA6-0E09-4BDC-83F8-F2ECECF23C66}"/>
    <cellStyle name="Normal 4 4 9 3 4" xfId="14854" xr:uid="{6AF54808-3A82-4013-BCFA-BC69E1A579DF}"/>
    <cellStyle name="Normal 4 4 9 4" xfId="27525" xr:uid="{24A5F45D-862B-4BCD-8213-418DC3EBD5CA}"/>
    <cellStyle name="Normal 4 4 9 5" xfId="19084" xr:uid="{07CB46D1-1F70-41B8-A9F4-3F8D0CA5D1EC}"/>
    <cellStyle name="Normal 4 4 9 6" xfId="10636" xr:uid="{ACA8B228-3D78-4086-83CE-C46876189048}"/>
    <cellStyle name="Normal 4 5" xfId="394" xr:uid="{00000000-0005-0000-0000-000000160000}"/>
    <cellStyle name="Normal 4 6" xfId="395" xr:uid="{00000000-0005-0000-0000-000001160000}"/>
    <cellStyle name="Normal 4 6 10" xfId="4768" xr:uid="{00000000-0005-0000-0000-000002160000}"/>
    <cellStyle name="Normal 4 6 10 2" xfId="30107" xr:uid="{807D2357-90A6-4DD4-BADD-CD8AA1021E2D}"/>
    <cellStyle name="Normal 4 6 10 3" xfId="21666" xr:uid="{44060916-B015-4F85-9D56-572327484694}"/>
    <cellStyle name="Normal 4 6 10 4" xfId="13218" xr:uid="{7FCF1ECE-65AF-46C7-846B-B9807336A0E6}"/>
    <cellStyle name="Normal 4 6 11" xfId="25889" xr:uid="{9A686856-0E82-446C-B574-404911B17F95}"/>
    <cellStyle name="Normal 4 6 12" xfId="17448" xr:uid="{883E2A89-AE6F-497E-B4CF-A905EB48DC5D}"/>
    <cellStyle name="Normal 4 6 13" xfId="9000" xr:uid="{FC23D531-7548-4825-AB0E-6186AEB8DE5A}"/>
    <cellStyle name="Normal 4 6 2" xfId="396" xr:uid="{00000000-0005-0000-0000-000003160000}"/>
    <cellStyle name="Normal 4 6 2 10" xfId="25890" xr:uid="{01966B19-5EBD-46E9-AB3E-1EE6662AD0E9}"/>
    <cellStyle name="Normal 4 6 2 11" xfId="17449" xr:uid="{6AAD46C5-EF89-44F3-9F60-D75EB08664DC}"/>
    <cellStyle name="Normal 4 6 2 12" xfId="9001" xr:uid="{3976AF92-CCDB-4A3E-91CD-8252A66D9EAD}"/>
    <cellStyle name="Normal 4 6 2 2" xfId="397" xr:uid="{00000000-0005-0000-0000-000004160000}"/>
    <cellStyle name="Normal 4 6 2 2 10" xfId="17450" xr:uid="{8C62B15D-48D0-495F-A230-399AB9F48761}"/>
    <cellStyle name="Normal 4 6 2 2 11" xfId="9002" xr:uid="{E6AAC0A2-28A4-453B-BC4C-8ECF794D03EC}"/>
    <cellStyle name="Normal 4 6 2 2 2" xfId="398" xr:uid="{00000000-0005-0000-0000-000005160000}"/>
    <cellStyle name="Normal 4 6 2 2 2 10" xfId="9003" xr:uid="{229FD3E6-1E2D-4F55-A476-AF5A547EC7DB}"/>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32668" xr:uid="{D5614032-09CD-4A18-BAA9-02C72A13226E}"/>
    <cellStyle name="Normal 4 6 2 2 2 2 2 2 3" xfId="24227" xr:uid="{914523EE-CFC0-47D9-BC5F-2FF16A37A180}"/>
    <cellStyle name="Normal 4 6 2 2 2 2 2 2 4" xfId="15779" xr:uid="{790C2C8F-7F28-42A7-B252-BD7F4270DF5E}"/>
    <cellStyle name="Normal 4 6 2 2 2 2 2 3" xfId="28450" xr:uid="{7EB9CD98-099F-4858-988B-358503D34C24}"/>
    <cellStyle name="Normal 4 6 2 2 2 2 2 4" xfId="20009" xr:uid="{43C1CCE5-A999-4B3A-8F4B-FA425257C4FB}"/>
    <cellStyle name="Normal 4 6 2 2 2 2 2 5" xfId="11561" xr:uid="{3228477E-14A4-4EF1-8603-FBEC55192A29}"/>
    <cellStyle name="Normal 4 6 2 2 2 2 3" xfId="5184" xr:uid="{00000000-0005-0000-0000-000009160000}"/>
    <cellStyle name="Normal 4 6 2 2 2 2 3 2" xfId="30523" xr:uid="{5510BFF5-B210-47D1-BF41-FF06E42841D5}"/>
    <cellStyle name="Normal 4 6 2 2 2 2 3 3" xfId="22082" xr:uid="{E6FC4851-A168-48EC-842F-728BC50B5676}"/>
    <cellStyle name="Normal 4 6 2 2 2 2 3 4" xfId="13634" xr:uid="{6119A77F-196E-45F6-A15F-AD043E21C6B8}"/>
    <cellStyle name="Normal 4 6 2 2 2 2 4" xfId="26305" xr:uid="{74E92197-658B-4BFE-BAD4-9CC2EF9CE184}"/>
    <cellStyle name="Normal 4 6 2 2 2 2 5" xfId="17864" xr:uid="{B7295021-4FF4-402C-91BA-C3A2A0045D46}"/>
    <cellStyle name="Normal 4 6 2 2 2 2 6" xfId="9416" xr:uid="{DF341548-7440-4632-BFEB-D5D6D634A98E}"/>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33081" xr:uid="{46BCB073-1D6E-49B0-BC6F-27382374859F}"/>
    <cellStyle name="Normal 4 6 2 2 2 3 2 2 3" xfId="24640" xr:uid="{7A9EC821-704A-4D91-B98A-60D9F111F38F}"/>
    <cellStyle name="Normal 4 6 2 2 2 3 2 2 4" xfId="16192" xr:uid="{E0350695-7656-408B-B858-7094D8C25D7C}"/>
    <cellStyle name="Normal 4 6 2 2 2 3 2 3" xfId="28863" xr:uid="{81B087F9-3FB9-4AA7-BDD1-17D05644CEEC}"/>
    <cellStyle name="Normal 4 6 2 2 2 3 2 4" xfId="20422" xr:uid="{F7398E7E-83CB-4E68-8C19-54C09E2201A2}"/>
    <cellStyle name="Normal 4 6 2 2 2 3 2 5" xfId="11974" xr:uid="{DA4849E6-DEB8-45BD-9067-C7B0F7DDA0F2}"/>
    <cellStyle name="Normal 4 6 2 2 2 3 3" xfId="5597" xr:uid="{00000000-0005-0000-0000-00000D160000}"/>
    <cellStyle name="Normal 4 6 2 2 2 3 3 2" xfId="30936" xr:uid="{952A2A87-447B-41F8-A59A-CC65D0B83A4D}"/>
    <cellStyle name="Normal 4 6 2 2 2 3 3 3" xfId="22495" xr:uid="{57C15440-E7DC-4C4B-A27E-234EF7495FBD}"/>
    <cellStyle name="Normal 4 6 2 2 2 3 3 4" xfId="14047" xr:uid="{30880596-50FE-4AFA-9480-5D8D97CB6BEF}"/>
    <cellStyle name="Normal 4 6 2 2 2 3 4" xfId="26718" xr:uid="{A3370C52-1825-4A84-8F59-A9DDB8FF91DA}"/>
    <cellStyle name="Normal 4 6 2 2 2 3 5" xfId="18277" xr:uid="{A60ED06F-6C76-419E-B34A-06A3ED7B0EDE}"/>
    <cellStyle name="Normal 4 6 2 2 2 3 6" xfId="9829" xr:uid="{9514A4BD-0EDA-4AF4-B454-F0FFA853A967}"/>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33494" xr:uid="{D821FDE4-454B-4EAC-8736-6856262F1A6C}"/>
    <cellStyle name="Normal 4 6 2 2 2 4 2 2 3" xfId="25053" xr:uid="{6206AD5E-30C6-44F9-B5BF-82FD0C227A55}"/>
    <cellStyle name="Normal 4 6 2 2 2 4 2 2 4" xfId="16605" xr:uid="{B7596B9B-EC7D-42F4-9437-E0AE937250E1}"/>
    <cellStyle name="Normal 4 6 2 2 2 4 2 3" xfId="29276" xr:uid="{D23ED5CB-C444-4E6B-AE15-AD681CDC3ED3}"/>
    <cellStyle name="Normal 4 6 2 2 2 4 2 4" xfId="20835" xr:uid="{929BC539-F079-4EFC-B7ED-318CA38305F3}"/>
    <cellStyle name="Normal 4 6 2 2 2 4 2 5" xfId="12387" xr:uid="{F96FF90D-6466-4FE5-A658-68DC6D88657C}"/>
    <cellStyle name="Normal 4 6 2 2 2 4 3" xfId="6010" xr:uid="{00000000-0005-0000-0000-000011160000}"/>
    <cellStyle name="Normal 4 6 2 2 2 4 3 2" xfId="31349" xr:uid="{2833DCC2-CECC-4B91-8649-91C5B3E25949}"/>
    <cellStyle name="Normal 4 6 2 2 2 4 3 3" xfId="22908" xr:uid="{B7634CA3-D1A1-43E8-B741-977DC36E6BF0}"/>
    <cellStyle name="Normal 4 6 2 2 2 4 3 4" xfId="14460" xr:uid="{DFE1F232-9006-4A82-8CFF-17CB0A924653}"/>
    <cellStyle name="Normal 4 6 2 2 2 4 4" xfId="27131" xr:uid="{DAEA174C-E2FE-4BD6-924E-7CF3B8EFE1D9}"/>
    <cellStyle name="Normal 4 6 2 2 2 4 5" xfId="18690" xr:uid="{BB3D12D5-76FA-4156-BCE2-91F4D93776EE}"/>
    <cellStyle name="Normal 4 6 2 2 2 4 6" xfId="10242" xr:uid="{1A196F5E-C048-4448-80B4-8EC7C2D4F28A}"/>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33907" xr:uid="{465F3CD7-5933-4D41-97F4-C439C2A1D758}"/>
    <cellStyle name="Normal 4 6 2 2 2 5 2 2 3" xfId="25466" xr:uid="{18B50973-1EE4-4A63-978B-A6FEB6C05DB0}"/>
    <cellStyle name="Normal 4 6 2 2 2 5 2 2 4" xfId="17018" xr:uid="{FC24523B-20A7-40BE-A083-E4A06D7FAF56}"/>
    <cellStyle name="Normal 4 6 2 2 2 5 2 3" xfId="29689" xr:uid="{794C0C86-1FCD-46B7-868A-ECEBEC1E9144}"/>
    <cellStyle name="Normal 4 6 2 2 2 5 2 4" xfId="21248" xr:uid="{E6D6FFE6-B98F-41B7-94B0-CC5B1CD87CBF}"/>
    <cellStyle name="Normal 4 6 2 2 2 5 2 5" xfId="12800" xr:uid="{9B4E5775-3A7C-48CD-AB8F-BFD74EA231B2}"/>
    <cellStyle name="Normal 4 6 2 2 2 5 3" xfId="6423" xr:uid="{00000000-0005-0000-0000-000015160000}"/>
    <cellStyle name="Normal 4 6 2 2 2 5 3 2" xfId="31762" xr:uid="{A559B8C3-7124-4754-AC3E-0AC4E9260F06}"/>
    <cellStyle name="Normal 4 6 2 2 2 5 3 3" xfId="23321" xr:uid="{91A7B76C-8325-46A6-AB56-7E8D02ACD6DA}"/>
    <cellStyle name="Normal 4 6 2 2 2 5 3 4" xfId="14873" xr:uid="{A7DFC628-E260-4B62-B8CC-8BD421E669DD}"/>
    <cellStyle name="Normal 4 6 2 2 2 5 4" xfId="27544" xr:uid="{F9D637D9-5641-4351-A19C-65940127ADCB}"/>
    <cellStyle name="Normal 4 6 2 2 2 5 5" xfId="19103" xr:uid="{58F45FA1-FA56-4465-B46C-122A8785BBDA}"/>
    <cellStyle name="Normal 4 6 2 2 2 5 6" xfId="10655" xr:uid="{E8F59661-AE0B-43FE-B1FF-09B36DBE313E}"/>
    <cellStyle name="Normal 4 6 2 2 2 6" xfId="2553" xr:uid="{00000000-0005-0000-0000-000016160000}"/>
    <cellStyle name="Normal 4 6 2 2 2 6 2" xfId="6836" xr:uid="{00000000-0005-0000-0000-000017160000}"/>
    <cellStyle name="Normal 4 6 2 2 2 6 2 2" xfId="32175" xr:uid="{DDE75883-7696-4738-8382-70B3C83E8451}"/>
    <cellStyle name="Normal 4 6 2 2 2 6 2 3" xfId="23734" xr:uid="{921E0B39-9223-42C1-ACBE-D32F9501CE2F}"/>
    <cellStyle name="Normal 4 6 2 2 2 6 2 4" xfId="15286" xr:uid="{1651B8C8-1F96-4E2B-BD19-DE5D25C427AB}"/>
    <cellStyle name="Normal 4 6 2 2 2 6 3" xfId="27957" xr:uid="{9B1BC553-E079-4B82-99E5-9B46EB2778B6}"/>
    <cellStyle name="Normal 4 6 2 2 2 6 4" xfId="19516" xr:uid="{9FE86CB7-6EA6-4CCD-98A4-12026D52C1B1}"/>
    <cellStyle name="Normal 4 6 2 2 2 6 5" xfId="11068" xr:uid="{9C725352-518E-46E9-BFAB-8A185A1FF973}"/>
    <cellStyle name="Normal 4 6 2 2 2 7" xfId="4771" xr:uid="{00000000-0005-0000-0000-000018160000}"/>
    <cellStyle name="Normal 4 6 2 2 2 7 2" xfId="30110" xr:uid="{DA8BFA9D-B8A2-45A5-9B45-A0CBE9BAFB86}"/>
    <cellStyle name="Normal 4 6 2 2 2 7 3" xfId="21669" xr:uid="{BAFF0B70-18F8-4F07-B07F-92E1C09EE203}"/>
    <cellStyle name="Normal 4 6 2 2 2 7 4" xfId="13221" xr:uid="{A1C36B38-C3CE-47B8-A36D-1BA8388AE460}"/>
    <cellStyle name="Normal 4 6 2 2 2 8" xfId="25892" xr:uid="{0166C094-C700-4C05-9421-45CC4E61CDDD}"/>
    <cellStyle name="Normal 4 6 2 2 2 9" xfId="17451" xr:uid="{D267419D-0168-4843-B621-47AD84236D97}"/>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32667" xr:uid="{3CAEB1E4-DC6B-4CAE-980F-DC6E96E7A256}"/>
    <cellStyle name="Normal 4 6 2 2 3 2 2 3" xfId="24226" xr:uid="{7B726BF5-76DA-4641-AB16-B1E7012672AF}"/>
    <cellStyle name="Normal 4 6 2 2 3 2 2 4" xfId="15778" xr:uid="{BBD154CE-0985-41B3-AFA5-CE8ABC407E26}"/>
    <cellStyle name="Normal 4 6 2 2 3 2 3" xfId="28449" xr:uid="{5507A707-BAAE-4A5C-8D9E-033B59E82E84}"/>
    <cellStyle name="Normal 4 6 2 2 3 2 4" xfId="20008" xr:uid="{18321912-724F-4A0B-A491-7714D7ACC912}"/>
    <cellStyle name="Normal 4 6 2 2 3 2 5" xfId="11560" xr:uid="{8D4C052C-A529-42F4-A687-497AD8FC7702}"/>
    <cellStyle name="Normal 4 6 2 2 3 3" xfId="5183" xr:uid="{00000000-0005-0000-0000-00001C160000}"/>
    <cellStyle name="Normal 4 6 2 2 3 3 2" xfId="30522" xr:uid="{36F64DC5-5114-4C67-B064-B4A6F919A9B7}"/>
    <cellStyle name="Normal 4 6 2 2 3 3 3" xfId="22081" xr:uid="{A35D1719-C784-4EBC-A148-89DBE4955938}"/>
    <cellStyle name="Normal 4 6 2 2 3 3 4" xfId="13633" xr:uid="{BC5458DC-79D9-4B87-BF05-AA518F62F633}"/>
    <cellStyle name="Normal 4 6 2 2 3 4" xfId="26304" xr:uid="{57E364AD-3FFD-4417-8710-A5AE9C5AC0CF}"/>
    <cellStyle name="Normal 4 6 2 2 3 5" xfId="17863" xr:uid="{2D0547E8-487E-4559-8D9C-7CA224B41B49}"/>
    <cellStyle name="Normal 4 6 2 2 3 6" xfId="9415" xr:uid="{162F4492-9FBC-447B-BD8B-0DE8E82E6461}"/>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33080" xr:uid="{0963F0B8-6C99-4DD0-BCF1-9621960B82A4}"/>
    <cellStyle name="Normal 4 6 2 2 4 2 2 3" xfId="24639" xr:uid="{CC6F68D1-9C07-4DBB-A941-951B8BE1E5E4}"/>
    <cellStyle name="Normal 4 6 2 2 4 2 2 4" xfId="16191" xr:uid="{EFCBC613-BE17-48E9-B1D9-6681987D30DD}"/>
    <cellStyle name="Normal 4 6 2 2 4 2 3" xfId="28862" xr:uid="{CED8597A-B9AF-4241-9037-DA011A3A91C1}"/>
    <cellStyle name="Normal 4 6 2 2 4 2 4" xfId="20421" xr:uid="{F7973624-198F-4F5C-89DE-EB051899490A}"/>
    <cellStyle name="Normal 4 6 2 2 4 2 5" xfId="11973" xr:uid="{F8C19293-276A-49F7-A494-313219022E5F}"/>
    <cellStyle name="Normal 4 6 2 2 4 3" xfId="5596" xr:uid="{00000000-0005-0000-0000-000020160000}"/>
    <cellStyle name="Normal 4 6 2 2 4 3 2" xfId="30935" xr:uid="{7F73AB3A-81B6-4592-BF42-215C9483C5B2}"/>
    <cellStyle name="Normal 4 6 2 2 4 3 3" xfId="22494" xr:uid="{5E73D4B1-4761-4FD4-A86F-F774CFAED4E2}"/>
    <cellStyle name="Normal 4 6 2 2 4 3 4" xfId="14046" xr:uid="{60D65E48-710E-45D6-9442-E8849CB13E80}"/>
    <cellStyle name="Normal 4 6 2 2 4 4" xfId="26717" xr:uid="{D60A58F5-17B0-4E34-951A-73597F863444}"/>
    <cellStyle name="Normal 4 6 2 2 4 5" xfId="18276" xr:uid="{301F74A2-F146-450E-A36E-7FE2A1E635EA}"/>
    <cellStyle name="Normal 4 6 2 2 4 6" xfId="9828" xr:uid="{AF9B6873-3B3F-4B25-A419-3AA7B0C43FE6}"/>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33493" xr:uid="{BEE9C4D2-EBE2-4409-A05F-09DC04329E8F}"/>
    <cellStyle name="Normal 4 6 2 2 5 2 2 3" xfId="25052" xr:uid="{401EC66D-4445-4BE6-803A-47602C542F16}"/>
    <cellStyle name="Normal 4 6 2 2 5 2 2 4" xfId="16604" xr:uid="{8C873B6A-DF43-49A0-8FC3-05B8C746B88A}"/>
    <cellStyle name="Normal 4 6 2 2 5 2 3" xfId="29275" xr:uid="{AC7ED811-731B-42CC-8DBC-36B4BEFE5A52}"/>
    <cellStyle name="Normal 4 6 2 2 5 2 4" xfId="20834" xr:uid="{79E981BD-F507-4525-A1F5-6C868F71C36B}"/>
    <cellStyle name="Normal 4 6 2 2 5 2 5" xfId="12386" xr:uid="{526F86BC-D936-41DD-A8E9-F5A1DD194319}"/>
    <cellStyle name="Normal 4 6 2 2 5 3" xfId="6009" xr:uid="{00000000-0005-0000-0000-000024160000}"/>
    <cellStyle name="Normal 4 6 2 2 5 3 2" xfId="31348" xr:uid="{4BD55A34-D000-45CB-AE32-C6B473A90058}"/>
    <cellStyle name="Normal 4 6 2 2 5 3 3" xfId="22907" xr:uid="{B098A259-0A8D-4BDE-87D8-5BBB2D970C8C}"/>
    <cellStyle name="Normal 4 6 2 2 5 3 4" xfId="14459" xr:uid="{DA838BED-5113-4623-915C-92DD83B13AD3}"/>
    <cellStyle name="Normal 4 6 2 2 5 4" xfId="27130" xr:uid="{63C47561-3587-40A7-AED0-A0638F94F732}"/>
    <cellStyle name="Normal 4 6 2 2 5 5" xfId="18689" xr:uid="{D7FC1A2B-074A-4F66-87D1-138D38DF1FC8}"/>
    <cellStyle name="Normal 4 6 2 2 5 6" xfId="10241" xr:uid="{EA656A8B-8971-4AEC-9F98-4EA4B2639862}"/>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33906" xr:uid="{D64E6F18-D48E-4F98-AFAB-8AF1F9B098F2}"/>
    <cellStyle name="Normal 4 6 2 2 6 2 2 3" xfId="25465" xr:uid="{6DCB7641-806D-4A47-8B65-65BC50757E4F}"/>
    <cellStyle name="Normal 4 6 2 2 6 2 2 4" xfId="17017" xr:uid="{634F5319-522F-4374-96FE-D54264768FB6}"/>
    <cellStyle name="Normal 4 6 2 2 6 2 3" xfId="29688" xr:uid="{B38BCE33-99AE-4991-9742-DE935D29C400}"/>
    <cellStyle name="Normal 4 6 2 2 6 2 4" xfId="21247" xr:uid="{15129B26-DAA1-458A-9F09-BF5A32615929}"/>
    <cellStyle name="Normal 4 6 2 2 6 2 5" xfId="12799" xr:uid="{201E2DF1-DC55-42E4-BC40-D6F0B24E113A}"/>
    <cellStyle name="Normal 4 6 2 2 6 3" xfId="6422" xr:uid="{00000000-0005-0000-0000-000028160000}"/>
    <cellStyle name="Normal 4 6 2 2 6 3 2" xfId="31761" xr:uid="{2FE36EDB-B356-403E-A97A-25E2CE750140}"/>
    <cellStyle name="Normal 4 6 2 2 6 3 3" xfId="23320" xr:uid="{185C9325-D459-454A-9EF6-4608246A5CB3}"/>
    <cellStyle name="Normal 4 6 2 2 6 3 4" xfId="14872" xr:uid="{2FF29772-62B9-43F9-8974-6476558A1077}"/>
    <cellStyle name="Normal 4 6 2 2 6 4" xfId="27543" xr:uid="{14118101-1DC0-4CFF-93C7-70CAB371F062}"/>
    <cellStyle name="Normal 4 6 2 2 6 5" xfId="19102" xr:uid="{EE1505B3-F235-425F-A073-AC0AEA5E9E6C}"/>
    <cellStyle name="Normal 4 6 2 2 6 6" xfId="10654" xr:uid="{992FCB13-821A-492E-AFB3-7C750F4A691F}"/>
    <cellStyle name="Normal 4 6 2 2 7" xfId="2552" xr:uid="{00000000-0005-0000-0000-000029160000}"/>
    <cellStyle name="Normal 4 6 2 2 7 2" xfId="6835" xr:uid="{00000000-0005-0000-0000-00002A160000}"/>
    <cellStyle name="Normal 4 6 2 2 7 2 2" xfId="32174" xr:uid="{757F0EAE-7EC5-4C98-98A8-D21BBE876F36}"/>
    <cellStyle name="Normal 4 6 2 2 7 2 3" xfId="23733" xr:uid="{E5007EA7-86C8-405C-8CF7-DD3E9B2831C8}"/>
    <cellStyle name="Normal 4 6 2 2 7 2 4" xfId="15285" xr:uid="{834A6A44-B873-4AFE-96ED-D4CEFBD89ACB}"/>
    <cellStyle name="Normal 4 6 2 2 7 3" xfId="27956" xr:uid="{D48DF91F-EBCF-4FC9-8BCF-492B3AB37FE8}"/>
    <cellStyle name="Normal 4 6 2 2 7 4" xfId="19515" xr:uid="{E63D6547-8213-41C1-B039-B630F2ABF6E5}"/>
    <cellStyle name="Normal 4 6 2 2 7 5" xfId="11067" xr:uid="{3B2B773C-FC07-4FCF-AAC2-C68318813E46}"/>
    <cellStyle name="Normal 4 6 2 2 8" xfId="4770" xr:uid="{00000000-0005-0000-0000-00002B160000}"/>
    <cellStyle name="Normal 4 6 2 2 8 2" xfId="30109" xr:uid="{09CA0FB4-E515-40BE-A95D-D306AD734B44}"/>
    <cellStyle name="Normal 4 6 2 2 8 3" xfId="21668" xr:uid="{063D4DEE-BDC0-45B9-B4E6-7B9F70837C23}"/>
    <cellStyle name="Normal 4 6 2 2 8 4" xfId="13220" xr:uid="{CA74192C-20EC-46FF-9C1E-B49DA421AF48}"/>
    <cellStyle name="Normal 4 6 2 2 9" xfId="25891" xr:uid="{7760897D-C439-4F37-A99C-DF3C2CE32617}"/>
    <cellStyle name="Normal 4 6 2 3" xfId="399" xr:uid="{00000000-0005-0000-0000-00002C160000}"/>
    <cellStyle name="Normal 4 6 2 3 10" xfId="9004" xr:uid="{D6F8F8DC-468B-42BB-B0E8-BBE2CE88B23D}"/>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32669" xr:uid="{03C9D31B-6DA1-4FCF-99B7-6C7C80C340AE}"/>
    <cellStyle name="Normal 4 6 2 3 2 2 2 3" xfId="24228" xr:uid="{05C94014-2C79-446A-A0EC-D0806DB93095}"/>
    <cellStyle name="Normal 4 6 2 3 2 2 2 4" xfId="15780" xr:uid="{D4CE84C5-1376-4121-BA84-1DD3F8E281F5}"/>
    <cellStyle name="Normal 4 6 2 3 2 2 3" xfId="28451" xr:uid="{5CE6768B-B551-4252-AB8A-3AB619998258}"/>
    <cellStyle name="Normal 4 6 2 3 2 2 4" xfId="20010" xr:uid="{036354F3-34C4-4D8E-AE84-B0AEADB2BF4C}"/>
    <cellStyle name="Normal 4 6 2 3 2 2 5" xfId="11562" xr:uid="{183C0EFD-C8A4-4E53-B86F-C82AE1BA5B38}"/>
    <cellStyle name="Normal 4 6 2 3 2 3" xfId="5185" xr:uid="{00000000-0005-0000-0000-000030160000}"/>
    <cellStyle name="Normal 4 6 2 3 2 3 2" xfId="30524" xr:uid="{58DDC21E-C0D8-486D-A77B-9FAC169B7EF2}"/>
    <cellStyle name="Normal 4 6 2 3 2 3 3" xfId="22083" xr:uid="{DA958D96-5061-4933-B42C-160443920198}"/>
    <cellStyle name="Normal 4 6 2 3 2 3 4" xfId="13635" xr:uid="{4FF9F4E5-4FB2-4612-842D-ABEE4B9870C5}"/>
    <cellStyle name="Normal 4 6 2 3 2 4" xfId="26306" xr:uid="{1D488324-4C2D-4A82-9755-503C9FEEDD89}"/>
    <cellStyle name="Normal 4 6 2 3 2 5" xfId="17865" xr:uid="{ACFA2E1C-5993-485B-BA58-1E3CBC08925E}"/>
    <cellStyle name="Normal 4 6 2 3 2 6" xfId="9417" xr:uid="{A28DD6B1-BA08-4A23-9896-031CFC9A104D}"/>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33082" xr:uid="{E3FBB693-DD09-4FB9-B485-BE2017F807A4}"/>
    <cellStyle name="Normal 4 6 2 3 3 2 2 3" xfId="24641" xr:uid="{9E8668F8-5F73-460D-A847-1D7CB3B689DB}"/>
    <cellStyle name="Normal 4 6 2 3 3 2 2 4" xfId="16193" xr:uid="{E612B503-830E-448A-B97D-3999E55C9934}"/>
    <cellStyle name="Normal 4 6 2 3 3 2 3" xfId="28864" xr:uid="{E3AFE16C-51E8-4C52-BD2B-95FF8C1F2534}"/>
    <cellStyle name="Normal 4 6 2 3 3 2 4" xfId="20423" xr:uid="{08D3AF97-1FB6-424F-9D37-EB0C4EE228B2}"/>
    <cellStyle name="Normal 4 6 2 3 3 2 5" xfId="11975" xr:uid="{E3831D22-007A-4834-80AA-05A451FCA9F4}"/>
    <cellStyle name="Normal 4 6 2 3 3 3" xfId="5598" xr:uid="{00000000-0005-0000-0000-000034160000}"/>
    <cellStyle name="Normal 4 6 2 3 3 3 2" xfId="30937" xr:uid="{5CA60680-09C2-4F9C-9CB1-5A30A91585F7}"/>
    <cellStyle name="Normal 4 6 2 3 3 3 3" xfId="22496" xr:uid="{93777E93-1229-4BCD-B560-5BFB910B3ECA}"/>
    <cellStyle name="Normal 4 6 2 3 3 3 4" xfId="14048" xr:uid="{B55D4F64-484D-4E7E-867D-F2F11E197B1F}"/>
    <cellStyle name="Normal 4 6 2 3 3 4" xfId="26719" xr:uid="{84A0264B-85B6-436D-8681-EC6E39E39F9E}"/>
    <cellStyle name="Normal 4 6 2 3 3 5" xfId="18278" xr:uid="{CB6DE7C3-FB82-4A14-B1D8-23E6CE9FB7C0}"/>
    <cellStyle name="Normal 4 6 2 3 3 6" xfId="9830" xr:uid="{A77FBB22-4E6A-466A-B8A6-E0A1B3736385}"/>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33495" xr:uid="{DB6709B9-8001-4FB3-8A07-F764656DEAAC}"/>
    <cellStyle name="Normal 4 6 2 3 4 2 2 3" xfId="25054" xr:uid="{A5A693F2-83EA-491A-BC9B-F6419D67D7D8}"/>
    <cellStyle name="Normal 4 6 2 3 4 2 2 4" xfId="16606" xr:uid="{31F153E2-E3C2-4A31-989B-223C0565DA05}"/>
    <cellStyle name="Normal 4 6 2 3 4 2 3" xfId="29277" xr:uid="{EC5B255D-0182-43B3-A8CA-73A402FFB514}"/>
    <cellStyle name="Normal 4 6 2 3 4 2 4" xfId="20836" xr:uid="{F6CD6A48-26E8-4371-9EE9-237F957A19C5}"/>
    <cellStyle name="Normal 4 6 2 3 4 2 5" xfId="12388" xr:uid="{9BA6F545-7FCE-45CA-945C-2C2AC416A2C5}"/>
    <cellStyle name="Normal 4 6 2 3 4 3" xfId="6011" xr:uid="{00000000-0005-0000-0000-000038160000}"/>
    <cellStyle name="Normal 4 6 2 3 4 3 2" xfId="31350" xr:uid="{3793C954-366A-4AB4-8B68-C9BF9581BFEF}"/>
    <cellStyle name="Normal 4 6 2 3 4 3 3" xfId="22909" xr:uid="{D92BBA23-C053-4068-ADDD-27E6467E4ABB}"/>
    <cellStyle name="Normal 4 6 2 3 4 3 4" xfId="14461" xr:uid="{7648ACE5-C458-4088-ABCC-D8FFB2D6FEF5}"/>
    <cellStyle name="Normal 4 6 2 3 4 4" xfId="27132" xr:uid="{5C266642-BEA1-4EB5-A9F9-A45E21912E1E}"/>
    <cellStyle name="Normal 4 6 2 3 4 5" xfId="18691" xr:uid="{9B3EC734-F73B-487D-9F9F-64110AC43D0D}"/>
    <cellStyle name="Normal 4 6 2 3 4 6" xfId="10243" xr:uid="{BC73DC8A-7AC3-41E5-9737-0AE9D25F667D}"/>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33908" xr:uid="{5EE299EE-0D59-415C-9E23-68D125A086B0}"/>
    <cellStyle name="Normal 4 6 2 3 5 2 2 3" xfId="25467" xr:uid="{065A98B4-CEB8-436F-9F13-F673438A8B59}"/>
    <cellStyle name="Normal 4 6 2 3 5 2 2 4" xfId="17019" xr:uid="{AB2E403F-B88B-4381-9F28-A2685C0C56AD}"/>
    <cellStyle name="Normal 4 6 2 3 5 2 3" xfId="29690" xr:uid="{D0050E65-E805-4F69-8850-E42AA47AB076}"/>
    <cellStyle name="Normal 4 6 2 3 5 2 4" xfId="21249" xr:uid="{F8C32AC0-CF9B-4765-935D-050A90C94BAB}"/>
    <cellStyle name="Normal 4 6 2 3 5 2 5" xfId="12801" xr:uid="{173E8A35-A32A-4530-9381-B34357786467}"/>
    <cellStyle name="Normal 4 6 2 3 5 3" xfId="6424" xr:uid="{00000000-0005-0000-0000-00003C160000}"/>
    <cellStyle name="Normal 4 6 2 3 5 3 2" xfId="31763" xr:uid="{21A76BEA-DE84-4638-AF9C-5441D03EE2AD}"/>
    <cellStyle name="Normal 4 6 2 3 5 3 3" xfId="23322" xr:uid="{07B9FE3F-4850-49AF-881C-1D71F51C6B4A}"/>
    <cellStyle name="Normal 4 6 2 3 5 3 4" xfId="14874" xr:uid="{F8965F2A-F283-478C-B4FB-8A16290CA2EC}"/>
    <cellStyle name="Normal 4 6 2 3 5 4" xfId="27545" xr:uid="{18427A1B-F945-4DEC-9A02-00A89AE627D6}"/>
    <cellStyle name="Normal 4 6 2 3 5 5" xfId="19104" xr:uid="{D1494949-6148-453C-BAAE-181529A5CB6E}"/>
    <cellStyle name="Normal 4 6 2 3 5 6" xfId="10656" xr:uid="{C0169DD2-E6BA-4BAA-A7AB-0D1E1E9CF5CC}"/>
    <cellStyle name="Normal 4 6 2 3 6" xfId="2554" xr:uid="{00000000-0005-0000-0000-00003D160000}"/>
    <cellStyle name="Normal 4 6 2 3 6 2" xfId="6837" xr:uid="{00000000-0005-0000-0000-00003E160000}"/>
    <cellStyle name="Normal 4 6 2 3 6 2 2" xfId="32176" xr:uid="{1D024E86-034F-42C9-B1A4-254AED90AE75}"/>
    <cellStyle name="Normal 4 6 2 3 6 2 3" xfId="23735" xr:uid="{5E0A2068-E0ED-4072-ADAC-6F2C6EFFE7A5}"/>
    <cellStyle name="Normal 4 6 2 3 6 2 4" xfId="15287" xr:uid="{4252E9D1-DB43-4C0D-94D5-E091A6E5DD1E}"/>
    <cellStyle name="Normal 4 6 2 3 6 3" xfId="27958" xr:uid="{913AF39D-47C8-42FA-9FF2-FF2861FA6DF5}"/>
    <cellStyle name="Normal 4 6 2 3 6 4" xfId="19517" xr:uid="{2B4E235B-F59F-4422-8A39-D5CEA14CFF00}"/>
    <cellStyle name="Normal 4 6 2 3 6 5" xfId="11069" xr:uid="{DB793E8A-0891-49D5-B3DB-0038E0651077}"/>
    <cellStyle name="Normal 4 6 2 3 7" xfId="4772" xr:uid="{00000000-0005-0000-0000-00003F160000}"/>
    <cellStyle name="Normal 4 6 2 3 7 2" xfId="30111" xr:uid="{F9A3EE04-EF4C-460C-BDF3-F53DC3BBEEDE}"/>
    <cellStyle name="Normal 4 6 2 3 7 3" xfId="21670" xr:uid="{2E662652-224C-49FD-A1B3-7361FCFB1DF6}"/>
    <cellStyle name="Normal 4 6 2 3 7 4" xfId="13222" xr:uid="{7B9B814A-42E9-488E-ADF7-5BF958FD7F21}"/>
    <cellStyle name="Normal 4 6 2 3 8" xfId="25893" xr:uid="{3E8C47F4-0EE2-4C86-9B18-0C2966BE4A1D}"/>
    <cellStyle name="Normal 4 6 2 3 9" xfId="17452" xr:uid="{0F6371AD-AF94-4202-B191-F5F6777706EE}"/>
    <cellStyle name="Normal 4 6 2 4" xfId="870" xr:uid="{00000000-0005-0000-0000-000040160000}"/>
    <cellStyle name="Normal 4 6 2 4 2" xfId="3105" xr:uid="{00000000-0005-0000-0000-000041160000}"/>
    <cellStyle name="Normal 4 6 2 4 2 2" xfId="7327" xr:uid="{00000000-0005-0000-0000-000042160000}"/>
    <cellStyle name="Normal 4 6 2 4 2 2 2" xfId="32666" xr:uid="{83958AED-FC62-4840-85BA-A0E7C1A4442E}"/>
    <cellStyle name="Normal 4 6 2 4 2 2 3" xfId="24225" xr:uid="{1DB9BD54-7692-4B33-8358-5187BE021648}"/>
    <cellStyle name="Normal 4 6 2 4 2 2 4" xfId="15777" xr:uid="{CA19BCF6-5E41-4A88-A2C7-7F94AC92CBB1}"/>
    <cellStyle name="Normal 4 6 2 4 2 3" xfId="28448" xr:uid="{7F8B9039-9E10-4152-93F5-8754BEC5C0ED}"/>
    <cellStyle name="Normal 4 6 2 4 2 4" xfId="20007" xr:uid="{BC9B2933-FAE3-4810-ABA5-F5018DDDB84A}"/>
    <cellStyle name="Normal 4 6 2 4 2 5" xfId="11559" xr:uid="{30E817C3-B218-475F-B610-E266A07D33C7}"/>
    <cellStyle name="Normal 4 6 2 4 3" xfId="5182" xr:uid="{00000000-0005-0000-0000-000043160000}"/>
    <cellStyle name="Normal 4 6 2 4 3 2" xfId="30521" xr:uid="{023D85C8-DD2A-4035-9944-5991BDAD1050}"/>
    <cellStyle name="Normal 4 6 2 4 3 3" xfId="22080" xr:uid="{F236EEE4-03B1-4347-94C6-5125A99016ED}"/>
    <cellStyle name="Normal 4 6 2 4 3 4" xfId="13632" xr:uid="{14532590-93D7-4E62-9EB1-B853BCA71FD1}"/>
    <cellStyle name="Normal 4 6 2 4 4" xfId="26303" xr:uid="{CC6A4498-C6CB-44B8-AC58-88E35F476063}"/>
    <cellStyle name="Normal 4 6 2 4 5" xfId="17862" xr:uid="{F705258E-11DD-44F1-9184-46D5D8DB2CE5}"/>
    <cellStyle name="Normal 4 6 2 4 6" xfId="9414" xr:uid="{4A57BDBE-FF2E-4761-B5E4-828599ACFD13}"/>
    <cellStyle name="Normal 4 6 2 5" xfId="1288" xr:uid="{00000000-0005-0000-0000-000044160000}"/>
    <cellStyle name="Normal 4 6 2 5 2" xfId="3518" xr:uid="{00000000-0005-0000-0000-000045160000}"/>
    <cellStyle name="Normal 4 6 2 5 2 2" xfId="7740" xr:uid="{00000000-0005-0000-0000-000046160000}"/>
    <cellStyle name="Normal 4 6 2 5 2 2 2" xfId="33079" xr:uid="{F50AEC6E-C305-4B85-A317-9741B6E966AD}"/>
    <cellStyle name="Normal 4 6 2 5 2 2 3" xfId="24638" xr:uid="{CDD9007C-B2BB-4A91-A7AD-4FC6A6DCF8D5}"/>
    <cellStyle name="Normal 4 6 2 5 2 2 4" xfId="16190" xr:uid="{C3529363-B785-4B79-B2FC-CC1F9AB7451A}"/>
    <cellStyle name="Normal 4 6 2 5 2 3" xfId="28861" xr:uid="{EF6CE32A-A75D-475C-8D28-9D6D4FD527B6}"/>
    <cellStyle name="Normal 4 6 2 5 2 4" xfId="20420" xr:uid="{7EFA8A7D-CB94-4E23-A461-1C47E08715B7}"/>
    <cellStyle name="Normal 4 6 2 5 2 5" xfId="11972" xr:uid="{5A20947E-BE4B-497E-AF41-F5917E7B1D76}"/>
    <cellStyle name="Normal 4 6 2 5 3" xfId="5595" xr:uid="{00000000-0005-0000-0000-000047160000}"/>
    <cellStyle name="Normal 4 6 2 5 3 2" xfId="30934" xr:uid="{C5814650-D30D-47A3-957B-D35F1DDC0288}"/>
    <cellStyle name="Normal 4 6 2 5 3 3" xfId="22493" xr:uid="{70BB8630-A7C8-4476-9F74-70345FBB9FF6}"/>
    <cellStyle name="Normal 4 6 2 5 3 4" xfId="14045" xr:uid="{A2ED060E-F1C2-44FC-B51E-5535F0DEC1ED}"/>
    <cellStyle name="Normal 4 6 2 5 4" xfId="26716" xr:uid="{B19CE192-C9F7-40CF-9FD8-4949D54F144F}"/>
    <cellStyle name="Normal 4 6 2 5 5" xfId="18275" xr:uid="{F0729666-A336-474A-B944-8B2C8F5E787B}"/>
    <cellStyle name="Normal 4 6 2 5 6" xfId="9827" xr:uid="{505A9BCF-2B8E-4282-9AFA-6E1A547A1357}"/>
    <cellStyle name="Normal 4 6 2 6" xfId="1701" xr:uid="{00000000-0005-0000-0000-000048160000}"/>
    <cellStyle name="Normal 4 6 2 6 2" xfId="3931" xr:uid="{00000000-0005-0000-0000-000049160000}"/>
    <cellStyle name="Normal 4 6 2 6 2 2" xfId="8153" xr:uid="{00000000-0005-0000-0000-00004A160000}"/>
    <cellStyle name="Normal 4 6 2 6 2 2 2" xfId="33492" xr:uid="{E8FB3832-3C6E-40B9-83E9-AA96D20203DF}"/>
    <cellStyle name="Normal 4 6 2 6 2 2 3" xfId="25051" xr:uid="{D8E03086-60F5-4C88-91F1-6189EBAF56BD}"/>
    <cellStyle name="Normal 4 6 2 6 2 2 4" xfId="16603" xr:uid="{933A2D1B-24C4-4006-A23B-0EA42FB4F8A8}"/>
    <cellStyle name="Normal 4 6 2 6 2 3" xfId="29274" xr:uid="{AE356595-5320-4938-BE77-D448ABFE7F00}"/>
    <cellStyle name="Normal 4 6 2 6 2 4" xfId="20833" xr:uid="{E7F4B02C-A7CC-4B8A-B4C1-BA496B0C0477}"/>
    <cellStyle name="Normal 4 6 2 6 2 5" xfId="12385" xr:uid="{70E9456C-78D2-4328-827C-53994FF472E8}"/>
    <cellStyle name="Normal 4 6 2 6 3" xfId="6008" xr:uid="{00000000-0005-0000-0000-00004B160000}"/>
    <cellStyle name="Normal 4 6 2 6 3 2" xfId="31347" xr:uid="{6FE1848A-72ED-415C-880F-6317F312E719}"/>
    <cellStyle name="Normal 4 6 2 6 3 3" xfId="22906" xr:uid="{AB24BC61-8FD4-4FE7-AFFB-4B97EFBD2C77}"/>
    <cellStyle name="Normal 4 6 2 6 3 4" xfId="14458" xr:uid="{409FE59D-6260-4CB1-BB70-DAE82C222AF1}"/>
    <cellStyle name="Normal 4 6 2 6 4" xfId="27129" xr:uid="{914E16D2-DCC8-487C-84EC-BE03F359BD09}"/>
    <cellStyle name="Normal 4 6 2 6 5" xfId="18688" xr:uid="{98875EDB-145A-491C-9305-E746C3E489CD}"/>
    <cellStyle name="Normal 4 6 2 6 6" xfId="10240" xr:uid="{3C61CDF7-932A-49BC-92D8-63E009759D81}"/>
    <cellStyle name="Normal 4 6 2 7" xfId="2115" xr:uid="{00000000-0005-0000-0000-00004C160000}"/>
    <cellStyle name="Normal 4 6 2 7 2" xfId="4344" xr:uid="{00000000-0005-0000-0000-00004D160000}"/>
    <cellStyle name="Normal 4 6 2 7 2 2" xfId="8566" xr:uid="{00000000-0005-0000-0000-00004E160000}"/>
    <cellStyle name="Normal 4 6 2 7 2 2 2" xfId="33905" xr:uid="{941D7499-8EF9-4777-9911-D3F902074F43}"/>
    <cellStyle name="Normal 4 6 2 7 2 2 3" xfId="25464" xr:uid="{659C9184-2C39-450D-BC0F-688934DAA26D}"/>
    <cellStyle name="Normal 4 6 2 7 2 2 4" xfId="17016" xr:uid="{2EA17D59-A1AD-4DC1-A5EF-3FE6977C44B4}"/>
    <cellStyle name="Normal 4 6 2 7 2 3" xfId="29687" xr:uid="{23D67713-4574-4294-A086-84BBD1807E3D}"/>
    <cellStyle name="Normal 4 6 2 7 2 4" xfId="21246" xr:uid="{ABACA1D9-8718-4FD4-934E-DDC8570A89FC}"/>
    <cellStyle name="Normal 4 6 2 7 2 5" xfId="12798" xr:uid="{9B25BBCE-C0EB-42EF-9F9D-0EE4B6F21C3F}"/>
    <cellStyle name="Normal 4 6 2 7 3" xfId="6421" xr:uid="{00000000-0005-0000-0000-00004F160000}"/>
    <cellStyle name="Normal 4 6 2 7 3 2" xfId="31760" xr:uid="{0A95E05A-0B24-414A-B2F9-44087753E89B}"/>
    <cellStyle name="Normal 4 6 2 7 3 3" xfId="23319" xr:uid="{1CBE2A61-4195-4949-A0A1-15FE08DC6956}"/>
    <cellStyle name="Normal 4 6 2 7 3 4" xfId="14871" xr:uid="{9DD216EF-2B62-48D5-BD2C-65B7CB82C25B}"/>
    <cellStyle name="Normal 4 6 2 7 4" xfId="27542" xr:uid="{695D1CE6-B7D2-4367-A3E2-D5390DC1D4FD}"/>
    <cellStyle name="Normal 4 6 2 7 5" xfId="19101" xr:uid="{5198F494-3BF0-4B4A-A8D3-42DBF4E17370}"/>
    <cellStyle name="Normal 4 6 2 7 6" xfId="10653" xr:uid="{787427A0-5E35-42C2-9B33-3265BB3988C7}"/>
    <cellStyle name="Normal 4 6 2 8" xfId="2551" xr:uid="{00000000-0005-0000-0000-000050160000}"/>
    <cellStyle name="Normal 4 6 2 8 2" xfId="6834" xr:uid="{00000000-0005-0000-0000-000051160000}"/>
    <cellStyle name="Normal 4 6 2 8 2 2" xfId="32173" xr:uid="{7FE573F0-8559-4603-9372-65017769A04E}"/>
    <cellStyle name="Normal 4 6 2 8 2 3" xfId="23732" xr:uid="{5155CC2F-6EF3-4CDF-928E-D00EBF8719BB}"/>
    <cellStyle name="Normal 4 6 2 8 2 4" xfId="15284" xr:uid="{80EF9D0D-1B60-4725-8135-AF103B628AD0}"/>
    <cellStyle name="Normal 4 6 2 8 3" xfId="27955" xr:uid="{8A4ACDA9-C749-4EC9-BE14-EE5F24CD7ABD}"/>
    <cellStyle name="Normal 4 6 2 8 4" xfId="19514" xr:uid="{E6D51FD7-A8A5-45FC-806D-7BA04D35F35C}"/>
    <cellStyle name="Normal 4 6 2 8 5" xfId="11066" xr:uid="{27BE7D36-5301-496F-9DDF-70D865E01C6C}"/>
    <cellStyle name="Normal 4 6 2 9" xfId="4769" xr:uid="{00000000-0005-0000-0000-000052160000}"/>
    <cellStyle name="Normal 4 6 2 9 2" xfId="30108" xr:uid="{C82DF3C3-D6AE-47B9-A9C6-FEB04F007210}"/>
    <cellStyle name="Normal 4 6 2 9 3" xfId="21667" xr:uid="{564EB73A-216F-4574-A21C-00BFB17AFF72}"/>
    <cellStyle name="Normal 4 6 2 9 4" xfId="13219" xr:uid="{4B8899AB-ACDD-4D40-B759-E7F089B70ADD}"/>
    <cellStyle name="Normal 4 6 3" xfId="400" xr:uid="{00000000-0005-0000-0000-000053160000}"/>
    <cellStyle name="Normal 4 6 3 10" xfId="17453" xr:uid="{7DB06DBA-376A-4EC5-B6B8-5AF05E932A74}"/>
    <cellStyle name="Normal 4 6 3 11" xfId="9005" xr:uid="{64748C39-5D94-4A5E-9584-A7BB100F8F57}"/>
    <cellStyle name="Normal 4 6 3 2" xfId="401" xr:uid="{00000000-0005-0000-0000-000054160000}"/>
    <cellStyle name="Normal 4 6 3 2 10" xfId="9006" xr:uid="{2C787CB4-8F93-49CB-9CDE-78EAEE0B6C75}"/>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32671" xr:uid="{B4493CB1-A399-45D0-88FE-680B6C4229D3}"/>
    <cellStyle name="Normal 4 6 3 2 2 2 2 3" xfId="24230" xr:uid="{801F6037-65AB-4F2E-A372-D7415080CCA5}"/>
    <cellStyle name="Normal 4 6 3 2 2 2 2 4" xfId="15782" xr:uid="{E32AA69E-08CC-49A1-BBF6-96B0EE26001D}"/>
    <cellStyle name="Normal 4 6 3 2 2 2 3" xfId="28453" xr:uid="{B661AF92-116A-40F3-B7A4-3FBBAB5AF7B6}"/>
    <cellStyle name="Normal 4 6 3 2 2 2 4" xfId="20012" xr:uid="{07B9BECE-C82E-4D46-BC77-D60D067046A5}"/>
    <cellStyle name="Normal 4 6 3 2 2 2 5" xfId="11564" xr:uid="{E87405E3-A057-468C-A4EF-9F66E391BBA1}"/>
    <cellStyle name="Normal 4 6 3 2 2 3" xfId="5187" xr:uid="{00000000-0005-0000-0000-000058160000}"/>
    <cellStyle name="Normal 4 6 3 2 2 3 2" xfId="30526" xr:uid="{F1EB2200-3AFD-42DC-BFFC-E943ECC4C8A7}"/>
    <cellStyle name="Normal 4 6 3 2 2 3 3" xfId="22085" xr:uid="{D9F76C81-5431-43A9-94C6-F1B6B52C1CE1}"/>
    <cellStyle name="Normal 4 6 3 2 2 3 4" xfId="13637" xr:uid="{EB7923C8-2920-4991-9E28-6BC5ABF1EDF5}"/>
    <cellStyle name="Normal 4 6 3 2 2 4" xfId="26308" xr:uid="{8894F769-8BF9-4D82-88E9-9415A65D5B9B}"/>
    <cellStyle name="Normal 4 6 3 2 2 5" xfId="17867" xr:uid="{B476FC98-4993-4CD6-A6FC-101A6D44EDCD}"/>
    <cellStyle name="Normal 4 6 3 2 2 6" xfId="9419" xr:uid="{2D158FDC-66A8-4AF3-B6C7-5B85572C7BB6}"/>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33084" xr:uid="{8509867D-FF9B-4828-9AD1-F5D2C0F46564}"/>
    <cellStyle name="Normal 4 6 3 2 3 2 2 3" xfId="24643" xr:uid="{3400DF2F-4304-4C8E-8F4A-61D9846E433C}"/>
    <cellStyle name="Normal 4 6 3 2 3 2 2 4" xfId="16195" xr:uid="{1CADBF86-EB2F-40DE-AD01-63C4C9350283}"/>
    <cellStyle name="Normal 4 6 3 2 3 2 3" xfId="28866" xr:uid="{C7A2B301-C78F-4233-B127-8EAEA98F6B6D}"/>
    <cellStyle name="Normal 4 6 3 2 3 2 4" xfId="20425" xr:uid="{F7B5CCFC-2AE1-4D4A-BC2A-C480BA8A53A1}"/>
    <cellStyle name="Normal 4 6 3 2 3 2 5" xfId="11977" xr:uid="{C2F1B4A2-8BEE-4185-A088-4703683B1DE2}"/>
    <cellStyle name="Normal 4 6 3 2 3 3" xfId="5600" xr:uid="{00000000-0005-0000-0000-00005C160000}"/>
    <cellStyle name="Normal 4 6 3 2 3 3 2" xfId="30939" xr:uid="{D8018E63-7869-4B51-B8A6-8D3223F151E4}"/>
    <cellStyle name="Normal 4 6 3 2 3 3 3" xfId="22498" xr:uid="{6600EE89-71A1-4232-83C0-88FCD21312D8}"/>
    <cellStyle name="Normal 4 6 3 2 3 3 4" xfId="14050" xr:uid="{7C761283-4D18-4D3D-A37A-C5D78F4EF5F6}"/>
    <cellStyle name="Normal 4 6 3 2 3 4" xfId="26721" xr:uid="{605CCC8A-16B3-490B-90F1-B4E2AE0519ED}"/>
    <cellStyle name="Normal 4 6 3 2 3 5" xfId="18280" xr:uid="{96EFA2D3-DF8C-4045-8E01-65DBB47D2BC1}"/>
    <cellStyle name="Normal 4 6 3 2 3 6" xfId="9832" xr:uid="{7C2E8609-2D33-47C3-839A-9138BEF7D73F}"/>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33497" xr:uid="{DA5C2165-F45A-4283-9CB9-8DD227684576}"/>
    <cellStyle name="Normal 4 6 3 2 4 2 2 3" xfId="25056" xr:uid="{8B9FCC82-27EC-4008-AAD7-A780976565E7}"/>
    <cellStyle name="Normal 4 6 3 2 4 2 2 4" xfId="16608" xr:uid="{2C00BB88-084B-41A8-93C4-1FA2B1B67D4F}"/>
    <cellStyle name="Normal 4 6 3 2 4 2 3" xfId="29279" xr:uid="{4D5D7074-BF81-466D-B729-0A112A833D92}"/>
    <cellStyle name="Normal 4 6 3 2 4 2 4" xfId="20838" xr:uid="{6B128BC5-3569-4577-8334-F5B0A5FA8C78}"/>
    <cellStyle name="Normal 4 6 3 2 4 2 5" xfId="12390" xr:uid="{DF8B3260-F3BC-4652-8DB6-CF0562C3FF60}"/>
    <cellStyle name="Normal 4 6 3 2 4 3" xfId="6013" xr:uid="{00000000-0005-0000-0000-000060160000}"/>
    <cellStyle name="Normal 4 6 3 2 4 3 2" xfId="31352" xr:uid="{AE71D497-F5E1-4229-A961-C684B427954A}"/>
    <cellStyle name="Normal 4 6 3 2 4 3 3" xfId="22911" xr:uid="{CB8818A7-D3A4-4C6E-BEA6-3B6BF019686B}"/>
    <cellStyle name="Normal 4 6 3 2 4 3 4" xfId="14463" xr:uid="{E385F88D-2CBA-42B8-BE84-DC3C8528BEF7}"/>
    <cellStyle name="Normal 4 6 3 2 4 4" xfId="27134" xr:uid="{276AA4E1-F3E9-4562-BE23-79949CA8915A}"/>
    <cellStyle name="Normal 4 6 3 2 4 5" xfId="18693" xr:uid="{24DC1CDF-9F8F-4F50-9ADF-5DACBF9F2DE4}"/>
    <cellStyle name="Normal 4 6 3 2 4 6" xfId="10245" xr:uid="{E7F77A1A-5DDA-4E84-AD32-1C1F94F39687}"/>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33910" xr:uid="{FC388946-38FC-4289-ADCD-6921601DBE4C}"/>
    <cellStyle name="Normal 4 6 3 2 5 2 2 3" xfId="25469" xr:uid="{CECD4AB6-04F2-4BB1-9E47-7F58C7D79B41}"/>
    <cellStyle name="Normal 4 6 3 2 5 2 2 4" xfId="17021" xr:uid="{9DC27CB5-6CBA-4A40-867E-501A4265669E}"/>
    <cellStyle name="Normal 4 6 3 2 5 2 3" xfId="29692" xr:uid="{0EFBFF78-2C50-46A0-A370-D94416B82D8C}"/>
    <cellStyle name="Normal 4 6 3 2 5 2 4" xfId="21251" xr:uid="{4154FD23-84C1-4C5C-8F78-CEDEE125F4E2}"/>
    <cellStyle name="Normal 4 6 3 2 5 2 5" xfId="12803" xr:uid="{1FCBB884-6D64-4962-B8B5-472AA4765A40}"/>
    <cellStyle name="Normal 4 6 3 2 5 3" xfId="6426" xr:uid="{00000000-0005-0000-0000-000064160000}"/>
    <cellStyle name="Normal 4 6 3 2 5 3 2" xfId="31765" xr:uid="{AD31BA82-4A05-467D-B973-295279C2ED48}"/>
    <cellStyle name="Normal 4 6 3 2 5 3 3" xfId="23324" xr:uid="{B96292E8-527B-4321-A70E-0C7D2F3B92FF}"/>
    <cellStyle name="Normal 4 6 3 2 5 3 4" xfId="14876" xr:uid="{254E629D-FF8C-448A-BCFC-C61F4815CF35}"/>
    <cellStyle name="Normal 4 6 3 2 5 4" xfId="27547" xr:uid="{EFA7EA16-AE3B-4A87-9EE6-F9D051FAC875}"/>
    <cellStyle name="Normal 4 6 3 2 5 5" xfId="19106" xr:uid="{D8C3F3BF-03FE-4BE9-81CB-030400DB6C21}"/>
    <cellStyle name="Normal 4 6 3 2 5 6" xfId="10658" xr:uid="{89DCDB70-1F10-479A-A9F1-9EDCF40B17CB}"/>
    <cellStyle name="Normal 4 6 3 2 6" xfId="2556" xr:uid="{00000000-0005-0000-0000-000065160000}"/>
    <cellStyle name="Normal 4 6 3 2 6 2" xfId="6839" xr:uid="{00000000-0005-0000-0000-000066160000}"/>
    <cellStyle name="Normal 4 6 3 2 6 2 2" xfId="32178" xr:uid="{CA5D69A3-97DC-443B-85C9-5D56622C6A68}"/>
    <cellStyle name="Normal 4 6 3 2 6 2 3" xfId="23737" xr:uid="{550F3398-682F-45D6-8949-34614AFD4B08}"/>
    <cellStyle name="Normal 4 6 3 2 6 2 4" xfId="15289" xr:uid="{A62AA415-E9F8-4E63-A878-5DE99B5A31BB}"/>
    <cellStyle name="Normal 4 6 3 2 6 3" xfId="27960" xr:uid="{0C11C7CE-9F7E-4880-8B13-B6E400D2AF58}"/>
    <cellStyle name="Normal 4 6 3 2 6 4" xfId="19519" xr:uid="{E702BFDC-46A6-44D1-8303-37B19A299D91}"/>
    <cellStyle name="Normal 4 6 3 2 6 5" xfId="11071" xr:uid="{2EF5AFE9-593F-4AFD-A070-E72A59971F93}"/>
    <cellStyle name="Normal 4 6 3 2 7" xfId="4774" xr:uid="{00000000-0005-0000-0000-000067160000}"/>
    <cellStyle name="Normal 4 6 3 2 7 2" xfId="30113" xr:uid="{FD343BD2-02C4-4256-A4C6-2981382C41E6}"/>
    <cellStyle name="Normal 4 6 3 2 7 3" xfId="21672" xr:uid="{CFB37C88-8E6E-44CF-A9A8-E69557404847}"/>
    <cellStyle name="Normal 4 6 3 2 7 4" xfId="13224" xr:uid="{CA51ACA4-A32A-4C6F-ADEE-BEA59E156D4D}"/>
    <cellStyle name="Normal 4 6 3 2 8" xfId="25895" xr:uid="{236DBB2B-ACED-4D6F-A615-EB5319B210A6}"/>
    <cellStyle name="Normal 4 6 3 2 9" xfId="17454" xr:uid="{1D3F580F-D199-49E6-82AE-46A9CA844907}"/>
    <cellStyle name="Normal 4 6 3 3" xfId="874" xr:uid="{00000000-0005-0000-0000-000068160000}"/>
    <cellStyle name="Normal 4 6 3 3 2" xfId="3109" xr:uid="{00000000-0005-0000-0000-000069160000}"/>
    <cellStyle name="Normal 4 6 3 3 2 2" xfId="7331" xr:uid="{00000000-0005-0000-0000-00006A160000}"/>
    <cellStyle name="Normal 4 6 3 3 2 2 2" xfId="32670" xr:uid="{26786557-4CA4-4BAB-A22D-228CF0A4D587}"/>
    <cellStyle name="Normal 4 6 3 3 2 2 3" xfId="24229" xr:uid="{EF3E97A1-F353-4F9F-B379-3B31AE802A05}"/>
    <cellStyle name="Normal 4 6 3 3 2 2 4" xfId="15781" xr:uid="{900E9A1D-E41C-411B-8ADA-E2C262C04354}"/>
    <cellStyle name="Normal 4 6 3 3 2 3" xfId="28452" xr:uid="{60DC590C-501F-43FA-999D-8AF30369023B}"/>
    <cellStyle name="Normal 4 6 3 3 2 4" xfId="20011" xr:uid="{14EA4883-E68E-449C-96DF-123BEF47BF65}"/>
    <cellStyle name="Normal 4 6 3 3 2 5" xfId="11563" xr:uid="{630CC921-6CCD-42F1-9A46-49861CD09B15}"/>
    <cellStyle name="Normal 4 6 3 3 3" xfId="5186" xr:uid="{00000000-0005-0000-0000-00006B160000}"/>
    <cellStyle name="Normal 4 6 3 3 3 2" xfId="30525" xr:uid="{DCF5BF00-CB98-4B3B-8D99-81825A4C2140}"/>
    <cellStyle name="Normal 4 6 3 3 3 3" xfId="22084" xr:uid="{5F37542C-A5ED-423C-A356-AD8003663C30}"/>
    <cellStyle name="Normal 4 6 3 3 3 4" xfId="13636" xr:uid="{3CD381C2-E043-4E16-9DDA-D708AFF69407}"/>
    <cellStyle name="Normal 4 6 3 3 4" xfId="26307" xr:uid="{06BC6323-A051-4640-9871-75A94A55D309}"/>
    <cellStyle name="Normal 4 6 3 3 5" xfId="17866" xr:uid="{92952520-E7B8-4A03-8AAE-964FFD1BD46D}"/>
    <cellStyle name="Normal 4 6 3 3 6" xfId="9418" xr:uid="{A0BB966E-A4EF-4D30-8984-D3CD38C9DDBF}"/>
    <cellStyle name="Normal 4 6 3 4" xfId="1292" xr:uid="{00000000-0005-0000-0000-00006C160000}"/>
    <cellStyle name="Normal 4 6 3 4 2" xfId="3522" xr:uid="{00000000-0005-0000-0000-00006D160000}"/>
    <cellStyle name="Normal 4 6 3 4 2 2" xfId="7744" xr:uid="{00000000-0005-0000-0000-00006E160000}"/>
    <cellStyle name="Normal 4 6 3 4 2 2 2" xfId="33083" xr:uid="{4C5B79D0-70FF-42AF-90DA-F6283369464C}"/>
    <cellStyle name="Normal 4 6 3 4 2 2 3" xfId="24642" xr:uid="{A374AAD4-D3A2-4857-8B43-6FFB731F728C}"/>
    <cellStyle name="Normal 4 6 3 4 2 2 4" xfId="16194" xr:uid="{763889DA-D2F5-4150-9D87-1581A97C25A7}"/>
    <cellStyle name="Normal 4 6 3 4 2 3" xfId="28865" xr:uid="{E4A0394F-F2AC-4487-AEE8-C5CEBB755FCD}"/>
    <cellStyle name="Normal 4 6 3 4 2 4" xfId="20424" xr:uid="{63776C49-3157-4360-B68B-40558131DDC5}"/>
    <cellStyle name="Normal 4 6 3 4 2 5" xfId="11976" xr:uid="{6EE3FA34-0330-4B52-A300-430B5BEA6A43}"/>
    <cellStyle name="Normal 4 6 3 4 3" xfId="5599" xr:uid="{00000000-0005-0000-0000-00006F160000}"/>
    <cellStyle name="Normal 4 6 3 4 3 2" xfId="30938" xr:uid="{7FFFC037-3813-401A-8728-852D63B725DB}"/>
    <cellStyle name="Normal 4 6 3 4 3 3" xfId="22497" xr:uid="{83A22DCE-1792-4EEE-9704-BA425010A949}"/>
    <cellStyle name="Normal 4 6 3 4 3 4" xfId="14049" xr:uid="{1AC830B8-C4C2-4566-B705-0AC2296153EB}"/>
    <cellStyle name="Normal 4 6 3 4 4" xfId="26720" xr:uid="{DF995465-3807-48FC-AB80-B6914F18D27C}"/>
    <cellStyle name="Normal 4 6 3 4 5" xfId="18279" xr:uid="{6D9D4029-CB25-408A-8F1F-560A9E2DAAD3}"/>
    <cellStyle name="Normal 4 6 3 4 6" xfId="9831" xr:uid="{CC6BBD7D-A7CB-4627-B763-1399A36E4D97}"/>
    <cellStyle name="Normal 4 6 3 5" xfId="1705" xr:uid="{00000000-0005-0000-0000-000070160000}"/>
    <cellStyle name="Normal 4 6 3 5 2" xfId="3935" xr:uid="{00000000-0005-0000-0000-000071160000}"/>
    <cellStyle name="Normal 4 6 3 5 2 2" xfId="8157" xr:uid="{00000000-0005-0000-0000-000072160000}"/>
    <cellStyle name="Normal 4 6 3 5 2 2 2" xfId="33496" xr:uid="{E77B80CC-37C2-4E75-85CB-644E77AFB055}"/>
    <cellStyle name="Normal 4 6 3 5 2 2 3" xfId="25055" xr:uid="{EF02ECB0-6D5E-4038-B1DF-2B881EBF6C0A}"/>
    <cellStyle name="Normal 4 6 3 5 2 2 4" xfId="16607" xr:uid="{BF7C7A42-4033-42E5-B497-0C157661656E}"/>
    <cellStyle name="Normal 4 6 3 5 2 3" xfId="29278" xr:uid="{2E782BC5-5BAB-4317-9925-06B60A43CA79}"/>
    <cellStyle name="Normal 4 6 3 5 2 4" xfId="20837" xr:uid="{271C84F4-7EFF-4D59-BEF5-70A7E73D0BD1}"/>
    <cellStyle name="Normal 4 6 3 5 2 5" xfId="12389" xr:uid="{20582CF5-997D-45AC-97C2-E15C8988639C}"/>
    <cellStyle name="Normal 4 6 3 5 3" xfId="6012" xr:uid="{00000000-0005-0000-0000-000073160000}"/>
    <cellStyle name="Normal 4 6 3 5 3 2" xfId="31351" xr:uid="{7412CF11-F275-492C-9D7B-6210C79BD42E}"/>
    <cellStyle name="Normal 4 6 3 5 3 3" xfId="22910" xr:uid="{88390BDB-43A8-42D0-8D06-BA4444701A66}"/>
    <cellStyle name="Normal 4 6 3 5 3 4" xfId="14462" xr:uid="{527EDA0E-33C9-4C80-BBF4-D22541372CF1}"/>
    <cellStyle name="Normal 4 6 3 5 4" xfId="27133" xr:uid="{B70BC9E6-6BC6-4F70-902B-8E4D8C9A32ED}"/>
    <cellStyle name="Normal 4 6 3 5 5" xfId="18692" xr:uid="{8CFE50FE-8F4B-41C6-9CEC-E1BA6760C6C6}"/>
    <cellStyle name="Normal 4 6 3 5 6" xfId="10244" xr:uid="{EF84832D-ECC5-4FC5-8C12-BB50C838447F}"/>
    <cellStyle name="Normal 4 6 3 6" xfId="2119" xr:uid="{00000000-0005-0000-0000-000074160000}"/>
    <cellStyle name="Normal 4 6 3 6 2" xfId="4348" xr:uid="{00000000-0005-0000-0000-000075160000}"/>
    <cellStyle name="Normal 4 6 3 6 2 2" xfId="8570" xr:uid="{00000000-0005-0000-0000-000076160000}"/>
    <cellStyle name="Normal 4 6 3 6 2 2 2" xfId="33909" xr:uid="{F17A95AA-B8B3-4354-9516-91983856C672}"/>
    <cellStyle name="Normal 4 6 3 6 2 2 3" xfId="25468" xr:uid="{280F096D-E92C-486D-96BF-4F03BE246B52}"/>
    <cellStyle name="Normal 4 6 3 6 2 2 4" xfId="17020" xr:uid="{A82E5E83-9889-489E-B8D6-7A1003600AED}"/>
    <cellStyle name="Normal 4 6 3 6 2 3" xfId="29691" xr:uid="{E2B91921-58A5-48B0-A35A-BD8C24070384}"/>
    <cellStyle name="Normal 4 6 3 6 2 4" xfId="21250" xr:uid="{77CB7A86-EBFE-488A-8DBE-441A82054886}"/>
    <cellStyle name="Normal 4 6 3 6 2 5" xfId="12802" xr:uid="{B6482708-AA82-49E0-809A-B44CB0A2330E}"/>
    <cellStyle name="Normal 4 6 3 6 3" xfId="6425" xr:uid="{00000000-0005-0000-0000-000077160000}"/>
    <cellStyle name="Normal 4 6 3 6 3 2" xfId="31764" xr:uid="{F7ADD8AD-0817-4128-B564-3B8FE64BF8B0}"/>
    <cellStyle name="Normal 4 6 3 6 3 3" xfId="23323" xr:uid="{B192E612-E970-4A5D-A692-B818139294CF}"/>
    <cellStyle name="Normal 4 6 3 6 3 4" xfId="14875" xr:uid="{5EDC8896-A804-4096-B3C0-F3C291349081}"/>
    <cellStyle name="Normal 4 6 3 6 4" xfId="27546" xr:uid="{4B706963-E2CF-4A34-9BED-D14BF3954E74}"/>
    <cellStyle name="Normal 4 6 3 6 5" xfId="19105" xr:uid="{68C4C5CD-7ED0-464E-BADB-579F5377CD2A}"/>
    <cellStyle name="Normal 4 6 3 6 6" xfId="10657" xr:uid="{C3619F83-9208-40CE-BA37-D43B96ED3AC7}"/>
    <cellStyle name="Normal 4 6 3 7" xfId="2555" xr:uid="{00000000-0005-0000-0000-000078160000}"/>
    <cellStyle name="Normal 4 6 3 7 2" xfId="6838" xr:uid="{00000000-0005-0000-0000-000079160000}"/>
    <cellStyle name="Normal 4 6 3 7 2 2" xfId="32177" xr:uid="{A88EF793-A920-4E1F-82E6-988C3D9FD396}"/>
    <cellStyle name="Normal 4 6 3 7 2 3" xfId="23736" xr:uid="{45221A33-ECFC-45AA-BA7F-DA9D5C3C79C3}"/>
    <cellStyle name="Normal 4 6 3 7 2 4" xfId="15288" xr:uid="{0B3462C6-D7D7-4F82-8F2D-29BDC75DC8AB}"/>
    <cellStyle name="Normal 4 6 3 7 3" xfId="27959" xr:uid="{00C7B763-1E09-4AA0-9523-A227A1648EE1}"/>
    <cellStyle name="Normal 4 6 3 7 4" xfId="19518" xr:uid="{A7D38E6A-A20F-4573-8271-1C575EE81E34}"/>
    <cellStyle name="Normal 4 6 3 7 5" xfId="11070" xr:uid="{8F6ADAD5-491A-4322-A82E-318F7589C997}"/>
    <cellStyle name="Normal 4 6 3 8" xfId="4773" xr:uid="{00000000-0005-0000-0000-00007A160000}"/>
    <cellStyle name="Normal 4 6 3 8 2" xfId="30112" xr:uid="{E038ECA3-D810-4A9B-875A-F8B583DBA418}"/>
    <cellStyle name="Normal 4 6 3 8 3" xfId="21671" xr:uid="{84B111BB-F10A-48F8-AAB1-D94961387A31}"/>
    <cellStyle name="Normal 4 6 3 8 4" xfId="13223" xr:uid="{1E95B103-817A-4EDC-8E55-C4F75A83BEAF}"/>
    <cellStyle name="Normal 4 6 3 9" xfId="25894" xr:uid="{C9C49FDD-8A61-423A-90DB-FB0D740CF819}"/>
    <cellStyle name="Normal 4 6 4" xfId="402" xr:uid="{00000000-0005-0000-0000-00007B160000}"/>
    <cellStyle name="Normal 4 6 4 10" xfId="9007" xr:uid="{C0C34BB1-756B-4039-B68A-1569D45DBF01}"/>
    <cellStyle name="Normal 4 6 4 2" xfId="876" xr:uid="{00000000-0005-0000-0000-00007C160000}"/>
    <cellStyle name="Normal 4 6 4 2 2" xfId="3111" xr:uid="{00000000-0005-0000-0000-00007D160000}"/>
    <cellStyle name="Normal 4 6 4 2 2 2" xfId="7333" xr:uid="{00000000-0005-0000-0000-00007E160000}"/>
    <cellStyle name="Normal 4 6 4 2 2 2 2" xfId="32672" xr:uid="{E8B40BF3-D22A-41E8-8AE2-C3966362A4D4}"/>
    <cellStyle name="Normal 4 6 4 2 2 2 3" xfId="24231" xr:uid="{A7769BBB-01EA-4645-A738-F8EF95B84D2D}"/>
    <cellStyle name="Normal 4 6 4 2 2 2 4" xfId="15783" xr:uid="{9D64A145-2537-498E-B1A5-F1676CC5AB53}"/>
    <cellStyle name="Normal 4 6 4 2 2 3" xfId="28454" xr:uid="{53B83EB5-42B9-4B72-8CF9-50767B5B9B49}"/>
    <cellStyle name="Normal 4 6 4 2 2 4" xfId="20013" xr:uid="{D051FFB1-DC5B-4DD2-929E-DB96D3C77378}"/>
    <cellStyle name="Normal 4 6 4 2 2 5" xfId="11565" xr:uid="{1F3A0243-F186-4E6B-AFDD-0A8C75956D8B}"/>
    <cellStyle name="Normal 4 6 4 2 3" xfId="5188" xr:uid="{00000000-0005-0000-0000-00007F160000}"/>
    <cellStyle name="Normal 4 6 4 2 3 2" xfId="30527" xr:uid="{32270B93-D185-4B6F-BC3F-4EB22AA025D3}"/>
    <cellStyle name="Normal 4 6 4 2 3 3" xfId="22086" xr:uid="{055AC956-F15F-4106-B7DB-ED62047C5452}"/>
    <cellStyle name="Normal 4 6 4 2 3 4" xfId="13638" xr:uid="{72C88414-F4CA-44E2-BEEF-87FDD02EC3DC}"/>
    <cellStyle name="Normal 4 6 4 2 4" xfId="26309" xr:uid="{9DAD85AD-A920-48EE-A06C-E2740D0B511A}"/>
    <cellStyle name="Normal 4 6 4 2 5" xfId="17868" xr:uid="{293F3CA6-CDD2-43D0-AA33-0BC60BE5C128}"/>
    <cellStyle name="Normal 4 6 4 2 6" xfId="9420" xr:uid="{F18B625E-E26A-4C68-906E-6AA540A742AA}"/>
    <cellStyle name="Normal 4 6 4 3" xfId="1294" xr:uid="{00000000-0005-0000-0000-000080160000}"/>
    <cellStyle name="Normal 4 6 4 3 2" xfId="3524" xr:uid="{00000000-0005-0000-0000-000081160000}"/>
    <cellStyle name="Normal 4 6 4 3 2 2" xfId="7746" xr:uid="{00000000-0005-0000-0000-000082160000}"/>
    <cellStyle name="Normal 4 6 4 3 2 2 2" xfId="33085" xr:uid="{ABA7A355-FF4B-462A-A704-BFE3B70EB11D}"/>
    <cellStyle name="Normal 4 6 4 3 2 2 3" xfId="24644" xr:uid="{21FB4391-7B0B-4C63-ADD2-91A4E4FFFA78}"/>
    <cellStyle name="Normal 4 6 4 3 2 2 4" xfId="16196" xr:uid="{4AEAE443-CC31-48A3-A8E1-A7D9BFE8490A}"/>
    <cellStyle name="Normal 4 6 4 3 2 3" xfId="28867" xr:uid="{64E23BD3-5D37-4919-B16E-AE4ABC79CE75}"/>
    <cellStyle name="Normal 4 6 4 3 2 4" xfId="20426" xr:uid="{2820A8D8-FA51-4283-BCB3-1F6F21C2C7A7}"/>
    <cellStyle name="Normal 4 6 4 3 2 5" xfId="11978" xr:uid="{CDB0EFC6-D726-4F0E-B0E8-4C6E5E6270C9}"/>
    <cellStyle name="Normal 4 6 4 3 3" xfId="5601" xr:uid="{00000000-0005-0000-0000-000083160000}"/>
    <cellStyle name="Normal 4 6 4 3 3 2" xfId="30940" xr:uid="{27D9B51A-FA6D-4C7E-B41E-B3B4A15E198A}"/>
    <cellStyle name="Normal 4 6 4 3 3 3" xfId="22499" xr:uid="{2F4D6962-882B-4417-99D9-30050E7D2077}"/>
    <cellStyle name="Normal 4 6 4 3 3 4" xfId="14051" xr:uid="{AD370535-D411-47C8-B1A7-379A185F1A24}"/>
    <cellStyle name="Normal 4 6 4 3 4" xfId="26722" xr:uid="{8C013647-3340-43D5-A2EB-785F918BE3CF}"/>
    <cellStyle name="Normal 4 6 4 3 5" xfId="18281" xr:uid="{472D38CC-DFC3-45CF-B74A-099355CB1BC7}"/>
    <cellStyle name="Normal 4 6 4 3 6" xfId="9833" xr:uid="{D8D4CE7C-5C21-4DCB-A555-A86CDCC24BD8}"/>
    <cellStyle name="Normal 4 6 4 4" xfId="1707" xr:uid="{00000000-0005-0000-0000-000084160000}"/>
    <cellStyle name="Normal 4 6 4 4 2" xfId="3937" xr:uid="{00000000-0005-0000-0000-000085160000}"/>
    <cellStyle name="Normal 4 6 4 4 2 2" xfId="8159" xr:uid="{00000000-0005-0000-0000-000086160000}"/>
    <cellStyle name="Normal 4 6 4 4 2 2 2" xfId="33498" xr:uid="{3D7D4826-5774-41D2-A97E-6EF4E0866C57}"/>
    <cellStyle name="Normal 4 6 4 4 2 2 3" xfId="25057" xr:uid="{9B91516F-AF07-4E50-BEEC-F872F412C727}"/>
    <cellStyle name="Normal 4 6 4 4 2 2 4" xfId="16609" xr:uid="{DC0485EF-B302-48B3-AC97-9D36459E26E7}"/>
    <cellStyle name="Normal 4 6 4 4 2 3" xfId="29280" xr:uid="{F3FC28B1-82AA-4E6D-B52F-940314076812}"/>
    <cellStyle name="Normal 4 6 4 4 2 4" xfId="20839" xr:uid="{9524DF52-6809-4FAF-995A-00005E9A1136}"/>
    <cellStyle name="Normal 4 6 4 4 2 5" xfId="12391" xr:uid="{066B302C-B7E8-4064-B356-590628531E42}"/>
    <cellStyle name="Normal 4 6 4 4 3" xfId="6014" xr:uid="{00000000-0005-0000-0000-000087160000}"/>
    <cellStyle name="Normal 4 6 4 4 3 2" xfId="31353" xr:uid="{659DD36D-E6DE-485B-8E14-C698A841897B}"/>
    <cellStyle name="Normal 4 6 4 4 3 3" xfId="22912" xr:uid="{AA95E1C2-E19C-45B8-BC10-AA9EE02692A4}"/>
    <cellStyle name="Normal 4 6 4 4 3 4" xfId="14464" xr:uid="{59461B5D-E76A-42A8-8D05-2DC96B4326F9}"/>
    <cellStyle name="Normal 4 6 4 4 4" xfId="27135" xr:uid="{7BD3F3BA-A5D4-4B32-8A08-6F8DFA222E58}"/>
    <cellStyle name="Normal 4 6 4 4 5" xfId="18694" xr:uid="{A55F3EE4-AB1C-4ADB-AF64-4B49F0CA2D5A}"/>
    <cellStyle name="Normal 4 6 4 4 6" xfId="10246" xr:uid="{BA51A6CF-A85B-46F0-90D5-E6BB512A3D79}"/>
    <cellStyle name="Normal 4 6 4 5" xfId="2121" xr:uid="{00000000-0005-0000-0000-000088160000}"/>
    <cellStyle name="Normal 4 6 4 5 2" xfId="4350" xr:uid="{00000000-0005-0000-0000-000089160000}"/>
    <cellStyle name="Normal 4 6 4 5 2 2" xfId="8572" xr:uid="{00000000-0005-0000-0000-00008A160000}"/>
    <cellStyle name="Normal 4 6 4 5 2 2 2" xfId="33911" xr:uid="{09768B65-BD2B-4A41-801A-0BF07C1956F5}"/>
    <cellStyle name="Normal 4 6 4 5 2 2 3" xfId="25470" xr:uid="{0ED294A5-CA09-4AB0-9755-1CF7A4F0852D}"/>
    <cellStyle name="Normal 4 6 4 5 2 2 4" xfId="17022" xr:uid="{09B426CA-2A6D-4B3B-8CF5-D2E7767844CB}"/>
    <cellStyle name="Normal 4 6 4 5 2 3" xfId="29693" xr:uid="{BA63AEF9-327B-433D-948E-0D599F5F50AD}"/>
    <cellStyle name="Normal 4 6 4 5 2 4" xfId="21252" xr:uid="{15817AB2-7929-4DE7-B982-6705E484C19B}"/>
    <cellStyle name="Normal 4 6 4 5 2 5" xfId="12804" xr:uid="{41438B6E-983C-4319-A159-890C1EC6D7E7}"/>
    <cellStyle name="Normal 4 6 4 5 3" xfId="6427" xr:uid="{00000000-0005-0000-0000-00008B160000}"/>
    <cellStyle name="Normal 4 6 4 5 3 2" xfId="31766" xr:uid="{E76EDD95-3B7F-4265-B473-29ED3F778A4D}"/>
    <cellStyle name="Normal 4 6 4 5 3 3" xfId="23325" xr:uid="{288B173F-9FAA-40BD-8D3A-FA425FB161B2}"/>
    <cellStyle name="Normal 4 6 4 5 3 4" xfId="14877" xr:uid="{435C4A1E-C7B7-4F48-A8FF-DBE8D4CC36B5}"/>
    <cellStyle name="Normal 4 6 4 5 4" xfId="27548" xr:uid="{43F6D9E9-F7D4-46CF-B2B9-2ED4804C9D25}"/>
    <cellStyle name="Normal 4 6 4 5 5" xfId="19107" xr:uid="{8151745D-84BD-4985-9B87-23C7C2FC114A}"/>
    <cellStyle name="Normal 4 6 4 5 6" xfId="10659" xr:uid="{ABD2D987-09FD-42D8-9729-DE31B9E091A8}"/>
    <cellStyle name="Normal 4 6 4 6" xfId="2557" xr:uid="{00000000-0005-0000-0000-00008C160000}"/>
    <cellStyle name="Normal 4 6 4 6 2" xfId="6840" xr:uid="{00000000-0005-0000-0000-00008D160000}"/>
    <cellStyle name="Normal 4 6 4 6 2 2" xfId="32179" xr:uid="{E089DB08-5D2A-4D30-9046-CD7F3FE5682E}"/>
    <cellStyle name="Normal 4 6 4 6 2 3" xfId="23738" xr:uid="{CEB54A4F-743A-43FE-B8D3-DE9AE991A718}"/>
    <cellStyle name="Normal 4 6 4 6 2 4" xfId="15290" xr:uid="{88F19380-C73A-463D-A4D3-3A580BD38147}"/>
    <cellStyle name="Normal 4 6 4 6 3" xfId="27961" xr:uid="{F76BA0F5-F838-4F21-B474-D89226BF9F85}"/>
    <cellStyle name="Normal 4 6 4 6 4" xfId="19520" xr:uid="{D5BA9F53-3984-4DE3-B9C3-FBCBF52432C7}"/>
    <cellStyle name="Normal 4 6 4 6 5" xfId="11072" xr:uid="{CEC3E563-27B4-4D20-BA72-26616BB71804}"/>
    <cellStyle name="Normal 4 6 4 7" xfId="4775" xr:uid="{00000000-0005-0000-0000-00008E160000}"/>
    <cellStyle name="Normal 4 6 4 7 2" xfId="30114" xr:uid="{C5535194-0AE6-4B3B-8D6F-F3C146906A23}"/>
    <cellStyle name="Normal 4 6 4 7 3" xfId="21673" xr:uid="{98423E3F-FD43-4365-A5D0-CAC094AD7F1E}"/>
    <cellStyle name="Normal 4 6 4 7 4" xfId="13225" xr:uid="{2C8194D4-E8BC-44D2-A332-BFCFC75BCB81}"/>
    <cellStyle name="Normal 4 6 4 8" xfId="25896" xr:uid="{56E492DA-B0B2-49C5-859A-602CAE0ADE38}"/>
    <cellStyle name="Normal 4 6 4 9" xfId="17455" xr:uid="{9B135BC5-07E3-4C9C-BD37-F5E08D381648}"/>
    <cellStyle name="Normal 4 6 5" xfId="869" xr:uid="{00000000-0005-0000-0000-00008F160000}"/>
    <cellStyle name="Normal 4 6 5 2" xfId="3104" xr:uid="{00000000-0005-0000-0000-000090160000}"/>
    <cellStyle name="Normal 4 6 5 2 2" xfId="7326" xr:uid="{00000000-0005-0000-0000-000091160000}"/>
    <cellStyle name="Normal 4 6 5 2 2 2" xfId="32665" xr:uid="{36482546-036C-4576-87CB-B02944978F0C}"/>
    <cellStyle name="Normal 4 6 5 2 2 3" xfId="24224" xr:uid="{0040A5BE-27CE-4A75-B4AC-531BDB53DD45}"/>
    <cellStyle name="Normal 4 6 5 2 2 4" xfId="15776" xr:uid="{1E0F8C06-667D-4527-B64C-05C3F45ED8B3}"/>
    <cellStyle name="Normal 4 6 5 2 3" xfId="28447" xr:uid="{9E208F43-1E4A-428D-8A91-F13A533667F4}"/>
    <cellStyle name="Normal 4 6 5 2 4" xfId="20006" xr:uid="{8F7B43FA-3A51-4CC6-BF7B-ADF8C8FBEB28}"/>
    <cellStyle name="Normal 4 6 5 2 5" xfId="11558" xr:uid="{9ED55BDE-BBB8-4299-A32E-506A0C54BABB}"/>
    <cellStyle name="Normal 4 6 5 3" xfId="5181" xr:uid="{00000000-0005-0000-0000-000092160000}"/>
    <cellStyle name="Normal 4 6 5 3 2" xfId="30520" xr:uid="{448D329A-3D80-4DD3-B874-A829C8D6A338}"/>
    <cellStyle name="Normal 4 6 5 3 3" xfId="22079" xr:uid="{A2817820-3DEC-46EF-BD13-46FFCE399698}"/>
    <cellStyle name="Normal 4 6 5 3 4" xfId="13631" xr:uid="{CD61744C-2373-43AC-993B-1C7FB7C17B41}"/>
    <cellStyle name="Normal 4 6 5 4" xfId="26302" xr:uid="{32C0FEB6-B1F3-4A5C-B279-D22567C51E27}"/>
    <cellStyle name="Normal 4 6 5 5" xfId="17861" xr:uid="{6637A8F1-96E1-4B1E-BAFC-5D6DFE683BB1}"/>
    <cellStyle name="Normal 4 6 5 6" xfId="9413" xr:uid="{703CCF04-AECE-4B98-84C8-B06803ED9F71}"/>
    <cellStyle name="Normal 4 6 6" xfId="1287" xr:uid="{00000000-0005-0000-0000-000093160000}"/>
    <cellStyle name="Normal 4 6 6 2" xfId="3517" xr:uid="{00000000-0005-0000-0000-000094160000}"/>
    <cellStyle name="Normal 4 6 6 2 2" xfId="7739" xr:uid="{00000000-0005-0000-0000-000095160000}"/>
    <cellStyle name="Normal 4 6 6 2 2 2" xfId="33078" xr:uid="{D99D1B31-CBAC-4A56-9A17-EDDEBFC3B856}"/>
    <cellStyle name="Normal 4 6 6 2 2 3" xfId="24637" xr:uid="{3862355E-9212-4CED-B94C-AE215F12FACF}"/>
    <cellStyle name="Normal 4 6 6 2 2 4" xfId="16189" xr:uid="{F129AF01-E923-4035-AC9D-4619DDAB9BFE}"/>
    <cellStyle name="Normal 4 6 6 2 3" xfId="28860" xr:uid="{2EF2E3F7-A001-4F49-AC9B-18358499684A}"/>
    <cellStyle name="Normal 4 6 6 2 4" xfId="20419" xr:uid="{944C4339-E4B7-4D1C-AD5C-C6DBB09AB19E}"/>
    <cellStyle name="Normal 4 6 6 2 5" xfId="11971" xr:uid="{F5F579D6-521C-496A-8D19-C7DBDB005E6B}"/>
    <cellStyle name="Normal 4 6 6 3" xfId="5594" xr:uid="{00000000-0005-0000-0000-000096160000}"/>
    <cellStyle name="Normal 4 6 6 3 2" xfId="30933" xr:uid="{87C5732A-BEAB-4654-8B72-16277EE782D1}"/>
    <cellStyle name="Normal 4 6 6 3 3" xfId="22492" xr:uid="{573C5FBD-53AB-4D6A-BCE2-71BDE33ACA0F}"/>
    <cellStyle name="Normal 4 6 6 3 4" xfId="14044" xr:uid="{DC841E8B-3B75-43BC-85DE-82CF67DC3E94}"/>
    <cellStyle name="Normal 4 6 6 4" xfId="26715" xr:uid="{5DA7B260-7EBF-49CB-A891-3249A175CD88}"/>
    <cellStyle name="Normal 4 6 6 5" xfId="18274" xr:uid="{D24A3DFE-B845-4D7C-AC50-E41F9B3C1579}"/>
    <cellStyle name="Normal 4 6 6 6" xfId="9826" xr:uid="{A3B68717-79CD-4D91-9DDF-809D82DDD750}"/>
    <cellStyle name="Normal 4 6 7" xfId="1700" xr:uid="{00000000-0005-0000-0000-000097160000}"/>
    <cellStyle name="Normal 4 6 7 2" xfId="3930" xr:uid="{00000000-0005-0000-0000-000098160000}"/>
    <cellStyle name="Normal 4 6 7 2 2" xfId="8152" xr:uid="{00000000-0005-0000-0000-000099160000}"/>
    <cellStyle name="Normal 4 6 7 2 2 2" xfId="33491" xr:uid="{E8AA083E-AD05-4312-B7A3-40897BDBD5BA}"/>
    <cellStyle name="Normal 4 6 7 2 2 3" xfId="25050" xr:uid="{180D2029-F72C-4759-BD9F-B5863B7E8611}"/>
    <cellStyle name="Normal 4 6 7 2 2 4" xfId="16602" xr:uid="{35CA1B37-EE36-4E3F-9684-D3CE1F680406}"/>
    <cellStyle name="Normal 4 6 7 2 3" xfId="29273" xr:uid="{0E477B7C-A1D9-4B2A-BEBF-90B73C090D44}"/>
    <cellStyle name="Normal 4 6 7 2 4" xfId="20832" xr:uid="{E9B154C9-A8B7-4701-A3A0-27872E5FF414}"/>
    <cellStyle name="Normal 4 6 7 2 5" xfId="12384" xr:uid="{4CF5CFF7-A9DA-4D87-A8A7-5EB9E6C8627A}"/>
    <cellStyle name="Normal 4 6 7 3" xfId="6007" xr:uid="{00000000-0005-0000-0000-00009A160000}"/>
    <cellStyle name="Normal 4 6 7 3 2" xfId="31346" xr:uid="{20063CB6-2821-410F-B506-363943CB4061}"/>
    <cellStyle name="Normal 4 6 7 3 3" xfId="22905" xr:uid="{77F7B86A-EE11-43CB-80A9-B33FA5EA58B8}"/>
    <cellStyle name="Normal 4 6 7 3 4" xfId="14457" xr:uid="{84A2B7F0-9045-4522-BB92-16A368E82FA2}"/>
    <cellStyle name="Normal 4 6 7 4" xfId="27128" xr:uid="{1F3DD031-C4E2-4016-B7B5-BA8C909A0099}"/>
    <cellStyle name="Normal 4 6 7 5" xfId="18687" xr:uid="{55D9434B-3B5C-400A-90E1-E6DF52E53F23}"/>
    <cellStyle name="Normal 4 6 7 6" xfId="10239" xr:uid="{D7D27040-AE42-4752-8DD0-B8809882D4CA}"/>
    <cellStyle name="Normal 4 6 8" xfId="2114" xr:uid="{00000000-0005-0000-0000-00009B160000}"/>
    <cellStyle name="Normal 4 6 8 2" xfId="4343" xr:uid="{00000000-0005-0000-0000-00009C160000}"/>
    <cellStyle name="Normal 4 6 8 2 2" xfId="8565" xr:uid="{00000000-0005-0000-0000-00009D160000}"/>
    <cellStyle name="Normal 4 6 8 2 2 2" xfId="33904" xr:uid="{64526474-49E5-4472-8D30-21AC17C6E75F}"/>
    <cellStyle name="Normal 4 6 8 2 2 3" xfId="25463" xr:uid="{F0694CE3-2854-47C6-86AE-AD31424E700A}"/>
    <cellStyle name="Normal 4 6 8 2 2 4" xfId="17015" xr:uid="{75A13668-0F8A-4380-99B8-DD2886C8E25E}"/>
    <cellStyle name="Normal 4 6 8 2 3" xfId="29686" xr:uid="{D90F1503-A4D2-418D-A45A-E6D9263A76DC}"/>
    <cellStyle name="Normal 4 6 8 2 4" xfId="21245" xr:uid="{81B5700C-75BF-497A-B958-1D9ED55594C2}"/>
    <cellStyle name="Normal 4 6 8 2 5" xfId="12797" xr:uid="{72E9C2EF-FAF4-4CAB-A804-914DC12F8CE3}"/>
    <cellStyle name="Normal 4 6 8 3" xfId="6420" xr:uid="{00000000-0005-0000-0000-00009E160000}"/>
    <cellStyle name="Normal 4 6 8 3 2" xfId="31759" xr:uid="{69037066-1155-4F3A-8427-C06AE584DBC2}"/>
    <cellStyle name="Normal 4 6 8 3 3" xfId="23318" xr:uid="{3F83E1A4-B50D-40AF-9973-EC6D3AFCBA8F}"/>
    <cellStyle name="Normal 4 6 8 3 4" xfId="14870" xr:uid="{A537DB31-BC41-40D4-81FF-9ACBE7DFC2B8}"/>
    <cellStyle name="Normal 4 6 8 4" xfId="27541" xr:uid="{19A52582-9947-4F72-9752-B33100CFE31E}"/>
    <cellStyle name="Normal 4 6 8 5" xfId="19100" xr:uid="{03A4C231-3369-4668-A919-3735D7B1B8CE}"/>
    <cellStyle name="Normal 4 6 8 6" xfId="10652" xr:uid="{44E83021-B85A-4378-9560-78359714B7A4}"/>
    <cellStyle name="Normal 4 6 9" xfId="2550" xr:uid="{00000000-0005-0000-0000-00009F160000}"/>
    <cellStyle name="Normal 4 6 9 2" xfId="6833" xr:uid="{00000000-0005-0000-0000-0000A0160000}"/>
    <cellStyle name="Normal 4 6 9 2 2" xfId="32172" xr:uid="{61CE7A56-70E4-44DA-ACE6-FC3FE3C55997}"/>
    <cellStyle name="Normal 4 6 9 2 3" xfId="23731" xr:uid="{9EC0D512-C093-471E-8A3A-724FD88064F4}"/>
    <cellStyle name="Normal 4 6 9 2 4" xfId="15283" xr:uid="{9441FBAE-5B1C-485C-9E91-1FFF8A5ACB0C}"/>
    <cellStyle name="Normal 4 6 9 3" xfId="27954" xr:uid="{54052516-E324-4D5D-97EF-E024FA902F20}"/>
    <cellStyle name="Normal 4 6 9 4" xfId="19513" xr:uid="{7EEE7DCD-3715-4DBC-B337-D40247F9B81C}"/>
    <cellStyle name="Normal 4 6 9 5" xfId="11065" xr:uid="{6FBDA43C-D9A2-43FE-A364-E521AB2F19BE}"/>
    <cellStyle name="Normal 4 7" xfId="403" xr:uid="{00000000-0005-0000-0000-0000A1160000}"/>
    <cellStyle name="Normal 4 7 10" xfId="17456" xr:uid="{8C1207B9-CC5A-41AA-B7F4-E1381C0FA832}"/>
    <cellStyle name="Normal 4 7 11" xfId="9008" xr:uid="{BD8F2488-F56A-431A-B972-CCCAE45797EC}"/>
    <cellStyle name="Normal 4 7 2" xfId="404" xr:uid="{00000000-0005-0000-0000-0000A2160000}"/>
    <cellStyle name="Normal 4 7 2 10" xfId="9009" xr:uid="{6B6CFDBB-56A8-4B88-9200-4858EB9FEE40}"/>
    <cellStyle name="Normal 4 7 2 2" xfId="878" xr:uid="{00000000-0005-0000-0000-0000A3160000}"/>
    <cellStyle name="Normal 4 7 2 2 2" xfId="3113" xr:uid="{00000000-0005-0000-0000-0000A4160000}"/>
    <cellStyle name="Normal 4 7 2 2 2 2" xfId="7335" xr:uid="{00000000-0005-0000-0000-0000A5160000}"/>
    <cellStyle name="Normal 4 7 2 2 2 2 2" xfId="32674" xr:uid="{FE032AD2-FE6D-4607-B470-77A5D6F1897F}"/>
    <cellStyle name="Normal 4 7 2 2 2 2 3" xfId="24233" xr:uid="{21ACA90C-A469-4473-9653-3229BA9642AA}"/>
    <cellStyle name="Normal 4 7 2 2 2 2 4" xfId="15785" xr:uid="{7E94F69B-7944-4C72-809C-522EA67D475C}"/>
    <cellStyle name="Normal 4 7 2 2 2 3" xfId="28456" xr:uid="{6B8DA452-BFC6-4113-BD0C-A3437ECF8BAE}"/>
    <cellStyle name="Normal 4 7 2 2 2 4" xfId="20015" xr:uid="{D05D1A75-265B-4FE3-B1C2-9A8BE0D629CB}"/>
    <cellStyle name="Normal 4 7 2 2 2 5" xfId="11567" xr:uid="{6EAC258B-B880-4BF5-8114-BB4766C08B5F}"/>
    <cellStyle name="Normal 4 7 2 2 3" xfId="5190" xr:uid="{00000000-0005-0000-0000-0000A6160000}"/>
    <cellStyle name="Normal 4 7 2 2 3 2" xfId="30529" xr:uid="{5B858557-8768-44CA-8CB5-1827E1E0A715}"/>
    <cellStyle name="Normal 4 7 2 2 3 3" xfId="22088" xr:uid="{F3AADEFD-3C7E-4630-8A7D-976FDEEB5C38}"/>
    <cellStyle name="Normal 4 7 2 2 3 4" xfId="13640" xr:uid="{2DF93472-AE84-4A13-9FB9-4234D6080B31}"/>
    <cellStyle name="Normal 4 7 2 2 4" xfId="26311" xr:uid="{ED45020B-A55D-4337-88E6-B9EFDA8385EE}"/>
    <cellStyle name="Normal 4 7 2 2 5" xfId="17870" xr:uid="{F519C164-B2DB-45A3-9013-C6F0228338B7}"/>
    <cellStyle name="Normal 4 7 2 2 6" xfId="9422" xr:uid="{660490CE-D48F-4CB3-AD83-6A03DE8B37CE}"/>
    <cellStyle name="Normal 4 7 2 3" xfId="1296" xr:uid="{00000000-0005-0000-0000-0000A7160000}"/>
    <cellStyle name="Normal 4 7 2 3 2" xfId="3526" xr:uid="{00000000-0005-0000-0000-0000A8160000}"/>
    <cellStyle name="Normal 4 7 2 3 2 2" xfId="7748" xr:uid="{00000000-0005-0000-0000-0000A9160000}"/>
    <cellStyle name="Normal 4 7 2 3 2 2 2" xfId="33087" xr:uid="{A856A98C-FBDE-4905-999E-98E2EBA174CC}"/>
    <cellStyle name="Normal 4 7 2 3 2 2 3" xfId="24646" xr:uid="{E992EA35-C7D0-48AD-9DF8-26E22B747D4B}"/>
    <cellStyle name="Normal 4 7 2 3 2 2 4" xfId="16198" xr:uid="{EA16DFBA-358B-4613-BC1E-CB8B363624EB}"/>
    <cellStyle name="Normal 4 7 2 3 2 3" xfId="28869" xr:uid="{162FDE43-121F-45E6-BDB6-8632EB6AD6B4}"/>
    <cellStyle name="Normal 4 7 2 3 2 4" xfId="20428" xr:uid="{8E0D4B90-029D-4767-B2DA-ACABE6E5ADF0}"/>
    <cellStyle name="Normal 4 7 2 3 2 5" xfId="11980" xr:uid="{A8448196-1007-40E6-A8B0-03EC30E93703}"/>
    <cellStyle name="Normal 4 7 2 3 3" xfId="5603" xr:uid="{00000000-0005-0000-0000-0000AA160000}"/>
    <cellStyle name="Normal 4 7 2 3 3 2" xfId="30942" xr:uid="{29F75FF1-CD41-42BC-B392-49E6C22E22CB}"/>
    <cellStyle name="Normal 4 7 2 3 3 3" xfId="22501" xr:uid="{306EE113-B3FD-4254-8056-DB3D6CAD4168}"/>
    <cellStyle name="Normal 4 7 2 3 3 4" xfId="14053" xr:uid="{A8120B2C-4C11-4E2C-8824-C94362EAB82A}"/>
    <cellStyle name="Normal 4 7 2 3 4" xfId="26724" xr:uid="{D7E5930B-8D48-4426-9906-876680B40D4F}"/>
    <cellStyle name="Normal 4 7 2 3 5" xfId="18283" xr:uid="{21DA5D3B-314C-427A-8DA1-1FB4B45B9D09}"/>
    <cellStyle name="Normal 4 7 2 3 6" xfId="9835" xr:uid="{7F0E5DDE-2B32-4E87-94B5-71C9FC88BC7F}"/>
    <cellStyle name="Normal 4 7 2 4" xfId="1709" xr:uid="{00000000-0005-0000-0000-0000AB160000}"/>
    <cellStyle name="Normal 4 7 2 4 2" xfId="3939" xr:uid="{00000000-0005-0000-0000-0000AC160000}"/>
    <cellStyle name="Normal 4 7 2 4 2 2" xfId="8161" xr:uid="{00000000-0005-0000-0000-0000AD160000}"/>
    <cellStyle name="Normal 4 7 2 4 2 2 2" xfId="33500" xr:uid="{DE676CD2-94A0-421B-A943-54124C8124CC}"/>
    <cellStyle name="Normal 4 7 2 4 2 2 3" xfId="25059" xr:uid="{78174091-AB3C-4998-A8FF-F4EF00675543}"/>
    <cellStyle name="Normal 4 7 2 4 2 2 4" xfId="16611" xr:uid="{B8F165CB-69BE-4C27-8808-2AA5250C4DCF}"/>
    <cellStyle name="Normal 4 7 2 4 2 3" xfId="29282" xr:uid="{5DE22832-BC82-4C17-99AC-088A1E451DC8}"/>
    <cellStyle name="Normal 4 7 2 4 2 4" xfId="20841" xr:uid="{394A4FCB-16BE-42FD-9AA0-525866AD5235}"/>
    <cellStyle name="Normal 4 7 2 4 2 5" xfId="12393" xr:uid="{755E655F-8C34-4181-9B5E-CE4A554291FB}"/>
    <cellStyle name="Normal 4 7 2 4 3" xfId="6016" xr:uid="{00000000-0005-0000-0000-0000AE160000}"/>
    <cellStyle name="Normal 4 7 2 4 3 2" xfId="31355" xr:uid="{37DE421B-72A0-47C9-A1EA-F065D2066377}"/>
    <cellStyle name="Normal 4 7 2 4 3 3" xfId="22914" xr:uid="{83F42995-286C-46BF-BE19-14D2ACD0C1ED}"/>
    <cellStyle name="Normal 4 7 2 4 3 4" xfId="14466" xr:uid="{4C0902F8-23D1-441A-A3C3-F163A390C08C}"/>
    <cellStyle name="Normal 4 7 2 4 4" xfId="27137" xr:uid="{EF31CF7F-6E1F-4E41-A36C-BC9213853E79}"/>
    <cellStyle name="Normal 4 7 2 4 5" xfId="18696" xr:uid="{FE374A66-9807-4773-B797-59BEE75FD17F}"/>
    <cellStyle name="Normal 4 7 2 4 6" xfId="10248" xr:uid="{67C8FB3B-4922-414D-AF19-C103E69D9D68}"/>
    <cellStyle name="Normal 4 7 2 5" xfId="2123" xr:uid="{00000000-0005-0000-0000-0000AF160000}"/>
    <cellStyle name="Normal 4 7 2 5 2" xfId="4352" xr:uid="{00000000-0005-0000-0000-0000B0160000}"/>
    <cellStyle name="Normal 4 7 2 5 2 2" xfId="8574" xr:uid="{00000000-0005-0000-0000-0000B1160000}"/>
    <cellStyle name="Normal 4 7 2 5 2 2 2" xfId="33913" xr:uid="{365EAD0D-194D-43B8-888B-413477D690B2}"/>
    <cellStyle name="Normal 4 7 2 5 2 2 3" xfId="25472" xr:uid="{697BB550-BAD8-4C92-A84F-DF6E3A7CAE4D}"/>
    <cellStyle name="Normal 4 7 2 5 2 2 4" xfId="17024" xr:uid="{7DA6E3C4-0A4E-4DCD-A8A9-A83B60B5A0CE}"/>
    <cellStyle name="Normal 4 7 2 5 2 3" xfId="29695" xr:uid="{37FF07B9-D1CE-4E42-980A-528C41D42409}"/>
    <cellStyle name="Normal 4 7 2 5 2 4" xfId="21254" xr:uid="{E88612DC-FD9A-4CCA-9C37-EAD8E5E03B19}"/>
    <cellStyle name="Normal 4 7 2 5 2 5" xfId="12806" xr:uid="{4A03A5EC-F7BA-42D7-976B-33A8CEB8B79E}"/>
    <cellStyle name="Normal 4 7 2 5 3" xfId="6429" xr:uid="{00000000-0005-0000-0000-0000B2160000}"/>
    <cellStyle name="Normal 4 7 2 5 3 2" xfId="31768" xr:uid="{D12B6926-7099-403B-B2EF-CD99A6760DB3}"/>
    <cellStyle name="Normal 4 7 2 5 3 3" xfId="23327" xr:uid="{9086C820-D970-4EC0-A287-C8E447BD6C5D}"/>
    <cellStyle name="Normal 4 7 2 5 3 4" xfId="14879" xr:uid="{9AC81FB3-4DE6-4859-B752-F46C662625F8}"/>
    <cellStyle name="Normal 4 7 2 5 4" xfId="27550" xr:uid="{EB38021D-0B25-4004-A191-E00FBC3685F3}"/>
    <cellStyle name="Normal 4 7 2 5 5" xfId="19109" xr:uid="{75141F12-8280-4623-9EC9-379B3741F358}"/>
    <cellStyle name="Normal 4 7 2 5 6" xfId="10661" xr:uid="{F8250980-1594-43D5-BE9B-9945DE84683E}"/>
    <cellStyle name="Normal 4 7 2 6" xfId="2559" xr:uid="{00000000-0005-0000-0000-0000B3160000}"/>
    <cellStyle name="Normal 4 7 2 6 2" xfId="6842" xr:uid="{00000000-0005-0000-0000-0000B4160000}"/>
    <cellStyle name="Normal 4 7 2 6 2 2" xfId="32181" xr:uid="{A7BC5ED1-0016-4C37-8161-3860CE19C467}"/>
    <cellStyle name="Normal 4 7 2 6 2 3" xfId="23740" xr:uid="{6C9C5461-72F7-4BB0-91F2-916594E86138}"/>
    <cellStyle name="Normal 4 7 2 6 2 4" xfId="15292" xr:uid="{1AEE3F3A-1F98-41CC-86AB-60EC438D160A}"/>
    <cellStyle name="Normal 4 7 2 6 3" xfId="27963" xr:uid="{69807D26-1FEF-469E-8548-774944B482B4}"/>
    <cellStyle name="Normal 4 7 2 6 4" xfId="19522" xr:uid="{1F99172D-FE97-41DB-A834-450310222354}"/>
    <cellStyle name="Normal 4 7 2 6 5" xfId="11074" xr:uid="{1F972D66-44E3-41DA-BA1E-1BCB46A259AD}"/>
    <cellStyle name="Normal 4 7 2 7" xfId="4777" xr:uid="{00000000-0005-0000-0000-0000B5160000}"/>
    <cellStyle name="Normal 4 7 2 7 2" xfId="30116" xr:uid="{6376D1C6-3B6A-4AC8-AA5C-FACF8F46695A}"/>
    <cellStyle name="Normal 4 7 2 7 3" xfId="21675" xr:uid="{15D0C433-9336-4AA3-8477-5AA12B4CB1BD}"/>
    <cellStyle name="Normal 4 7 2 7 4" xfId="13227" xr:uid="{CC8EA2FC-7B7B-44BF-9E48-19932266731E}"/>
    <cellStyle name="Normal 4 7 2 8" xfId="25898" xr:uid="{761664CC-4691-444E-AC30-4C73EC62E84F}"/>
    <cellStyle name="Normal 4 7 2 9" xfId="17457" xr:uid="{CF956014-1D3F-4074-8579-5D5267CA958F}"/>
    <cellStyle name="Normal 4 7 3" xfId="877" xr:uid="{00000000-0005-0000-0000-0000B6160000}"/>
    <cellStyle name="Normal 4 7 3 2" xfId="3112" xr:uid="{00000000-0005-0000-0000-0000B7160000}"/>
    <cellStyle name="Normal 4 7 3 2 2" xfId="7334" xr:uid="{00000000-0005-0000-0000-0000B8160000}"/>
    <cellStyle name="Normal 4 7 3 2 2 2" xfId="32673" xr:uid="{CC18264E-F0AF-4A72-B1A0-591F127A7031}"/>
    <cellStyle name="Normal 4 7 3 2 2 3" xfId="24232" xr:uid="{46E9C877-1736-4E96-AB55-2569D0323961}"/>
    <cellStyle name="Normal 4 7 3 2 2 4" xfId="15784" xr:uid="{3B6BBD13-059D-4E53-99E6-330087763B70}"/>
    <cellStyle name="Normal 4 7 3 2 3" xfId="28455" xr:uid="{0AE1F7B8-87CF-44B4-AAEC-6490F20EEA5A}"/>
    <cellStyle name="Normal 4 7 3 2 4" xfId="20014" xr:uid="{8E96E99B-067C-43BF-9359-BD54FDBF1167}"/>
    <cellStyle name="Normal 4 7 3 2 5" xfId="11566" xr:uid="{A97476AE-25F7-43EC-A5A6-10771536FB16}"/>
    <cellStyle name="Normal 4 7 3 3" xfId="5189" xr:uid="{00000000-0005-0000-0000-0000B9160000}"/>
    <cellStyle name="Normal 4 7 3 3 2" xfId="30528" xr:uid="{E1539568-AE87-48C2-A059-591CA4AABE07}"/>
    <cellStyle name="Normal 4 7 3 3 3" xfId="22087" xr:uid="{2594967B-2EB3-42F9-8B06-4C3602B91ACF}"/>
    <cellStyle name="Normal 4 7 3 3 4" xfId="13639" xr:uid="{784E6FD1-CDD7-4B6C-A036-955DF3A30F28}"/>
    <cellStyle name="Normal 4 7 3 4" xfId="26310" xr:uid="{33D7D4F0-10DB-4380-985A-008E466F814C}"/>
    <cellStyle name="Normal 4 7 3 5" xfId="17869" xr:uid="{C0AD43B8-4B6F-47C0-BE86-6E7C48453889}"/>
    <cellStyle name="Normal 4 7 3 6" xfId="9421" xr:uid="{3377DC7F-0EA5-4D36-BCB8-19C4BD5D152D}"/>
    <cellStyle name="Normal 4 7 4" xfId="1295" xr:uid="{00000000-0005-0000-0000-0000BA160000}"/>
    <cellStyle name="Normal 4 7 4 2" xfId="3525" xr:uid="{00000000-0005-0000-0000-0000BB160000}"/>
    <cellStyle name="Normal 4 7 4 2 2" xfId="7747" xr:uid="{00000000-0005-0000-0000-0000BC160000}"/>
    <cellStyle name="Normal 4 7 4 2 2 2" xfId="33086" xr:uid="{96B9F234-0288-4AE7-8C4C-F59C3476E305}"/>
    <cellStyle name="Normal 4 7 4 2 2 3" xfId="24645" xr:uid="{2EEBDDCC-0918-4CF8-8C95-78580183BECE}"/>
    <cellStyle name="Normal 4 7 4 2 2 4" xfId="16197" xr:uid="{97EE304E-E01F-429C-B28B-A1458324DCD4}"/>
    <cellStyle name="Normal 4 7 4 2 3" xfId="28868" xr:uid="{61892989-86EE-464A-B206-32D6A8883F81}"/>
    <cellStyle name="Normal 4 7 4 2 4" xfId="20427" xr:uid="{77C648B4-619C-4F7D-8D34-5CC190D89401}"/>
    <cellStyle name="Normal 4 7 4 2 5" xfId="11979" xr:uid="{1922E3A8-17E7-4498-ACEF-25C1085F6339}"/>
    <cellStyle name="Normal 4 7 4 3" xfId="5602" xr:uid="{00000000-0005-0000-0000-0000BD160000}"/>
    <cellStyle name="Normal 4 7 4 3 2" xfId="30941" xr:uid="{0C453A2F-1E40-4B50-BD07-7A6724337584}"/>
    <cellStyle name="Normal 4 7 4 3 3" xfId="22500" xr:uid="{FBDE0424-6F94-4E85-9CF9-980D3E470C75}"/>
    <cellStyle name="Normal 4 7 4 3 4" xfId="14052" xr:uid="{979F184D-75BC-4904-9E2D-1A5FC942E823}"/>
    <cellStyle name="Normal 4 7 4 4" xfId="26723" xr:uid="{BB498B90-67CC-4621-998D-483EE991E3EB}"/>
    <cellStyle name="Normal 4 7 4 5" xfId="18282" xr:uid="{6F83C3BE-387A-4802-A5BE-28AA316927B5}"/>
    <cellStyle name="Normal 4 7 4 6" xfId="9834" xr:uid="{C6951295-7771-4E87-8AFE-E8E06797672A}"/>
    <cellStyle name="Normal 4 7 5" xfId="1708" xr:uid="{00000000-0005-0000-0000-0000BE160000}"/>
    <cellStyle name="Normal 4 7 5 2" xfId="3938" xr:uid="{00000000-0005-0000-0000-0000BF160000}"/>
    <cellStyle name="Normal 4 7 5 2 2" xfId="8160" xr:uid="{00000000-0005-0000-0000-0000C0160000}"/>
    <cellStyle name="Normal 4 7 5 2 2 2" xfId="33499" xr:uid="{3DDA8A40-99B5-462F-9938-288A15DFF335}"/>
    <cellStyle name="Normal 4 7 5 2 2 3" xfId="25058" xr:uid="{46224479-3B11-455F-A8AD-A20C0379EBAD}"/>
    <cellStyle name="Normal 4 7 5 2 2 4" xfId="16610" xr:uid="{30E6351A-54FD-4D7B-8666-19C1F248E0AD}"/>
    <cellStyle name="Normal 4 7 5 2 3" xfId="29281" xr:uid="{EC2743E0-72A0-443B-85F1-2AEF0D36ACB3}"/>
    <cellStyle name="Normal 4 7 5 2 4" xfId="20840" xr:uid="{7D391D42-AEA8-43FA-864B-663029DBA083}"/>
    <cellStyle name="Normal 4 7 5 2 5" xfId="12392" xr:uid="{971EF484-C8BE-4929-AAB2-33C2C6721938}"/>
    <cellStyle name="Normal 4 7 5 3" xfId="6015" xr:uid="{00000000-0005-0000-0000-0000C1160000}"/>
    <cellStyle name="Normal 4 7 5 3 2" xfId="31354" xr:uid="{3A31ABBA-AF8A-44D6-8CAF-3A30E6062ED1}"/>
    <cellStyle name="Normal 4 7 5 3 3" xfId="22913" xr:uid="{EC5EE84E-24ED-4A0E-ACB8-1700F7F887BF}"/>
    <cellStyle name="Normal 4 7 5 3 4" xfId="14465" xr:uid="{4AE2F125-72B2-4A82-AFF0-96A86C895E4B}"/>
    <cellStyle name="Normal 4 7 5 4" xfId="27136" xr:uid="{865DF5A2-E914-4B49-8E70-0229074C5042}"/>
    <cellStyle name="Normal 4 7 5 5" xfId="18695" xr:uid="{99D04D14-0F5B-4EBC-AB98-2A2DC8DDD4A3}"/>
    <cellStyle name="Normal 4 7 5 6" xfId="10247" xr:uid="{424CD64B-CC17-4877-AFFB-27ED534AB4B2}"/>
    <cellStyle name="Normal 4 7 6" xfId="2122" xr:uid="{00000000-0005-0000-0000-0000C2160000}"/>
    <cellStyle name="Normal 4 7 6 2" xfId="4351" xr:uid="{00000000-0005-0000-0000-0000C3160000}"/>
    <cellStyle name="Normal 4 7 6 2 2" xfId="8573" xr:uid="{00000000-0005-0000-0000-0000C4160000}"/>
    <cellStyle name="Normal 4 7 6 2 2 2" xfId="33912" xr:uid="{E233F085-CDFD-4BB1-9E18-14592D7C4C07}"/>
    <cellStyle name="Normal 4 7 6 2 2 3" xfId="25471" xr:uid="{422F4239-14F9-434F-AB4E-07AA7CADD6EF}"/>
    <cellStyle name="Normal 4 7 6 2 2 4" xfId="17023" xr:uid="{2CD291E8-261C-412A-8B66-0EFBD010F5E9}"/>
    <cellStyle name="Normal 4 7 6 2 3" xfId="29694" xr:uid="{45B6C306-2687-4E0B-AF8A-70B5F2C4D360}"/>
    <cellStyle name="Normal 4 7 6 2 4" xfId="21253" xr:uid="{F09935C5-2DF5-4D36-A478-BA5B477FD3EF}"/>
    <cellStyle name="Normal 4 7 6 2 5" xfId="12805" xr:uid="{8F74213F-C177-49E2-84F8-1FD8F417B3EC}"/>
    <cellStyle name="Normal 4 7 6 3" xfId="6428" xr:uid="{00000000-0005-0000-0000-0000C5160000}"/>
    <cellStyle name="Normal 4 7 6 3 2" xfId="31767" xr:uid="{4CE23FE6-2D62-4A08-BFDE-FD9D275D1837}"/>
    <cellStyle name="Normal 4 7 6 3 3" xfId="23326" xr:uid="{D180B39A-F6AF-4BD6-87FF-4C2C307CC40A}"/>
    <cellStyle name="Normal 4 7 6 3 4" xfId="14878" xr:uid="{A2885EC5-C163-440D-B403-175DE05CCB92}"/>
    <cellStyle name="Normal 4 7 6 4" xfId="27549" xr:uid="{80FFD96E-2573-4172-A991-F5604ACFE27B}"/>
    <cellStyle name="Normal 4 7 6 5" xfId="19108" xr:uid="{5FEAF4DE-1006-4CF4-989F-D3856F6E9A24}"/>
    <cellStyle name="Normal 4 7 6 6" xfId="10660" xr:uid="{1A21F4CE-BA0D-4BC9-8FA8-CB972EBFC53F}"/>
    <cellStyle name="Normal 4 7 7" xfId="2558" xr:uid="{00000000-0005-0000-0000-0000C6160000}"/>
    <cellStyle name="Normal 4 7 7 2" xfId="6841" xr:uid="{00000000-0005-0000-0000-0000C7160000}"/>
    <cellStyle name="Normal 4 7 7 2 2" xfId="32180" xr:uid="{8C113978-BF94-4693-8302-002F37CBC729}"/>
    <cellStyle name="Normal 4 7 7 2 3" xfId="23739" xr:uid="{43562F9A-DEA7-4B10-BB85-8A64698D54C8}"/>
    <cellStyle name="Normal 4 7 7 2 4" xfId="15291" xr:uid="{EC7D23DE-935F-4F96-B649-5AC0708CF518}"/>
    <cellStyle name="Normal 4 7 7 3" xfId="27962" xr:uid="{DC718816-664B-4811-806B-111CD978CB8C}"/>
    <cellStyle name="Normal 4 7 7 4" xfId="19521" xr:uid="{E1185EF6-BF97-4830-862C-AAD5C6947FA0}"/>
    <cellStyle name="Normal 4 7 7 5" xfId="11073" xr:uid="{20F47344-646F-4CEF-BD15-C27A1119E320}"/>
    <cellStyle name="Normal 4 7 8" xfId="4776" xr:uid="{00000000-0005-0000-0000-0000C8160000}"/>
    <cellStyle name="Normal 4 7 8 2" xfId="30115" xr:uid="{455348AE-7DF8-442E-B54B-F464A057FFBA}"/>
    <cellStyle name="Normal 4 7 8 3" xfId="21674" xr:uid="{3B8FDF75-8494-4CA5-AEF1-70BD834C8D2D}"/>
    <cellStyle name="Normal 4 7 8 4" xfId="13226" xr:uid="{FA4F0018-600F-4060-8788-B056C75FC40B}"/>
    <cellStyle name="Normal 4 7 9" xfId="25897" xr:uid="{E0EF40B2-A4C7-47F7-A406-F063480AC742}"/>
    <cellStyle name="Normal 4 8" xfId="405" xr:uid="{00000000-0005-0000-0000-0000C9160000}"/>
    <cellStyle name="Normal 4 8 10" xfId="9010" xr:uid="{7514597F-7434-4471-8A09-4EBCE3D165A2}"/>
    <cellStyle name="Normal 4 8 2" xfId="879" xr:uid="{00000000-0005-0000-0000-0000CA160000}"/>
    <cellStyle name="Normal 4 8 2 2" xfId="3114" xr:uid="{00000000-0005-0000-0000-0000CB160000}"/>
    <cellStyle name="Normal 4 8 2 2 2" xfId="7336" xr:uid="{00000000-0005-0000-0000-0000CC160000}"/>
    <cellStyle name="Normal 4 8 2 2 2 2" xfId="32675" xr:uid="{9E3541CA-799E-41F4-8E23-84A5B58CC87D}"/>
    <cellStyle name="Normal 4 8 2 2 2 3" xfId="24234" xr:uid="{79EFB3BA-6812-4C7D-B83F-AB66A3326124}"/>
    <cellStyle name="Normal 4 8 2 2 2 4" xfId="15786" xr:uid="{8B0B5E66-B632-4165-8ED3-B5D171C96CD9}"/>
    <cellStyle name="Normal 4 8 2 2 3" xfId="28457" xr:uid="{4FEF1AEE-6528-4937-A832-B6CDEA156D05}"/>
    <cellStyle name="Normal 4 8 2 2 4" xfId="20016" xr:uid="{77DFD7BC-353F-49D5-96B2-13ABBBCAA512}"/>
    <cellStyle name="Normal 4 8 2 2 5" xfId="11568" xr:uid="{DB2C8469-3E91-40EB-BDF8-2B2D4FA3C186}"/>
    <cellStyle name="Normal 4 8 2 3" xfId="5191" xr:uid="{00000000-0005-0000-0000-0000CD160000}"/>
    <cellStyle name="Normal 4 8 2 3 2" xfId="30530" xr:uid="{1DD65BE9-1838-4C7B-A02E-C85A8A977D2E}"/>
    <cellStyle name="Normal 4 8 2 3 3" xfId="22089" xr:uid="{4C1E6B1F-4FA6-4D95-B063-3FCEA95F0509}"/>
    <cellStyle name="Normal 4 8 2 3 4" xfId="13641" xr:uid="{20514A4F-7AF7-4D4C-99D7-069A6DCBE41A}"/>
    <cellStyle name="Normal 4 8 2 4" xfId="26312" xr:uid="{1AE4C7BA-6A65-43F4-8E1E-8935A20BA6EB}"/>
    <cellStyle name="Normal 4 8 2 5" xfId="17871" xr:uid="{83284768-D5C7-47D4-84EB-0B863C64E02D}"/>
    <cellStyle name="Normal 4 8 2 6" xfId="9423" xr:uid="{8881F962-1CEE-4B67-A481-66C9F569B7EF}"/>
    <cellStyle name="Normal 4 8 3" xfId="1297" xr:uid="{00000000-0005-0000-0000-0000CE160000}"/>
    <cellStyle name="Normal 4 8 3 2" xfId="3527" xr:uid="{00000000-0005-0000-0000-0000CF160000}"/>
    <cellStyle name="Normal 4 8 3 2 2" xfId="7749" xr:uid="{00000000-0005-0000-0000-0000D0160000}"/>
    <cellStyle name="Normal 4 8 3 2 2 2" xfId="33088" xr:uid="{A012C43A-FAAD-4FE8-B9BF-8BBD338FF710}"/>
    <cellStyle name="Normal 4 8 3 2 2 3" xfId="24647" xr:uid="{A0C0DB6E-5AB7-4FA2-B262-A83DBEA95A9E}"/>
    <cellStyle name="Normal 4 8 3 2 2 4" xfId="16199" xr:uid="{85227BA5-B95D-4ABD-939B-AFB6F6A21D04}"/>
    <cellStyle name="Normal 4 8 3 2 3" xfId="28870" xr:uid="{52CA54BA-C5A5-4795-B161-E2F4B5FAFDD2}"/>
    <cellStyle name="Normal 4 8 3 2 4" xfId="20429" xr:uid="{688D3C40-F2D9-401C-A449-3066EAFA9BCF}"/>
    <cellStyle name="Normal 4 8 3 2 5" xfId="11981" xr:uid="{E4513ECB-8766-49B7-BA2F-1EBE8577016A}"/>
    <cellStyle name="Normal 4 8 3 3" xfId="5604" xr:uid="{00000000-0005-0000-0000-0000D1160000}"/>
    <cellStyle name="Normal 4 8 3 3 2" xfId="30943" xr:uid="{CB20874D-B5E4-4922-A0BA-C083DE7097FD}"/>
    <cellStyle name="Normal 4 8 3 3 3" xfId="22502" xr:uid="{2D30ECB4-BFA8-4CC2-AC34-E6BF2742F37C}"/>
    <cellStyle name="Normal 4 8 3 3 4" xfId="14054" xr:uid="{28EC5BF1-1240-4AB9-9B1A-1756BBBA09BA}"/>
    <cellStyle name="Normal 4 8 3 4" xfId="26725" xr:uid="{4E701D58-BD5D-49F1-9CED-2E13260CEE67}"/>
    <cellStyle name="Normal 4 8 3 5" xfId="18284" xr:uid="{0A4CF29E-8ACB-464E-9C0D-D3B26533DEB1}"/>
    <cellStyle name="Normal 4 8 3 6" xfId="9836" xr:uid="{FA92B0A7-AE78-4BBB-8183-6EB15DF0DD0F}"/>
    <cellStyle name="Normal 4 8 4" xfId="1710" xr:uid="{00000000-0005-0000-0000-0000D2160000}"/>
    <cellStyle name="Normal 4 8 4 2" xfId="3940" xr:uid="{00000000-0005-0000-0000-0000D3160000}"/>
    <cellStyle name="Normal 4 8 4 2 2" xfId="8162" xr:uid="{00000000-0005-0000-0000-0000D4160000}"/>
    <cellStyle name="Normal 4 8 4 2 2 2" xfId="33501" xr:uid="{AAD4340A-9A1D-477A-963C-C64BF99263E8}"/>
    <cellStyle name="Normal 4 8 4 2 2 3" xfId="25060" xr:uid="{4BB409CD-9519-4283-834E-B7A31F860001}"/>
    <cellStyle name="Normal 4 8 4 2 2 4" xfId="16612" xr:uid="{E7871BA2-EC3F-471D-B127-8C6EB162FEFA}"/>
    <cellStyle name="Normal 4 8 4 2 3" xfId="29283" xr:uid="{F335199F-14BA-4E4D-9C15-736EFFF85352}"/>
    <cellStyle name="Normal 4 8 4 2 4" xfId="20842" xr:uid="{60E6FE1B-182C-49E5-9020-1F21F7E5BB1A}"/>
    <cellStyle name="Normal 4 8 4 2 5" xfId="12394" xr:uid="{DCBC285F-E7B0-4BC3-9768-E0504D99DAAE}"/>
    <cellStyle name="Normal 4 8 4 3" xfId="6017" xr:uid="{00000000-0005-0000-0000-0000D5160000}"/>
    <cellStyle name="Normal 4 8 4 3 2" xfId="31356" xr:uid="{D02B7B80-0948-421D-959C-691812AE6CE8}"/>
    <cellStyle name="Normal 4 8 4 3 3" xfId="22915" xr:uid="{C403D4B0-EE23-4553-9F8C-3C5C1E26AD80}"/>
    <cellStyle name="Normal 4 8 4 3 4" xfId="14467" xr:uid="{70834887-6577-4CD6-8E69-59EB147BB422}"/>
    <cellStyle name="Normal 4 8 4 4" xfId="27138" xr:uid="{C4E5B4B3-FB9C-4200-8D6E-EE78C8A26994}"/>
    <cellStyle name="Normal 4 8 4 5" xfId="18697" xr:uid="{5AD288C5-7188-4A1D-A009-385D561B3202}"/>
    <cellStyle name="Normal 4 8 4 6" xfId="10249" xr:uid="{310B22D6-8B1B-4F63-8518-AD133171C020}"/>
    <cellStyle name="Normal 4 8 5" xfId="2124" xr:uid="{00000000-0005-0000-0000-0000D6160000}"/>
    <cellStyle name="Normal 4 8 5 2" xfId="4353" xr:uid="{00000000-0005-0000-0000-0000D7160000}"/>
    <cellStyle name="Normal 4 8 5 2 2" xfId="8575" xr:uid="{00000000-0005-0000-0000-0000D8160000}"/>
    <cellStyle name="Normal 4 8 5 2 2 2" xfId="33914" xr:uid="{ACC87B65-7725-490F-AF43-79027164B1E1}"/>
    <cellStyle name="Normal 4 8 5 2 2 3" xfId="25473" xr:uid="{DE6F59A3-6F9D-4000-A63D-4CBE836C4E86}"/>
    <cellStyle name="Normal 4 8 5 2 2 4" xfId="17025" xr:uid="{F77EC077-5E52-4EA7-B772-FB1FA7E2ECD5}"/>
    <cellStyle name="Normal 4 8 5 2 3" xfId="29696" xr:uid="{F5B5735E-CD2F-4496-AC58-2D16BE14670E}"/>
    <cellStyle name="Normal 4 8 5 2 4" xfId="21255" xr:uid="{E4B143C5-4B9C-4B0A-8122-26616178EA9C}"/>
    <cellStyle name="Normal 4 8 5 2 5" xfId="12807" xr:uid="{4CE8B5A0-E1F1-402F-97EF-14D69700EE5C}"/>
    <cellStyle name="Normal 4 8 5 3" xfId="6430" xr:uid="{00000000-0005-0000-0000-0000D9160000}"/>
    <cellStyle name="Normal 4 8 5 3 2" xfId="31769" xr:uid="{B6CC4252-1414-47C1-A4FB-943E6C35AE52}"/>
    <cellStyle name="Normal 4 8 5 3 3" xfId="23328" xr:uid="{FDD798E6-0DBC-4821-98DE-E7962FFEC06A}"/>
    <cellStyle name="Normal 4 8 5 3 4" xfId="14880" xr:uid="{6062234A-67A6-495C-9A51-56BE31D475B5}"/>
    <cellStyle name="Normal 4 8 5 4" xfId="27551" xr:uid="{B0DB5E31-3F99-424E-A77E-B8CFC7849717}"/>
    <cellStyle name="Normal 4 8 5 5" xfId="19110" xr:uid="{5FCF42E1-FF00-4B6F-9443-8FDC32AA4DB2}"/>
    <cellStyle name="Normal 4 8 5 6" xfId="10662" xr:uid="{BD6D5171-B692-4966-BD33-B19C257EC24A}"/>
    <cellStyle name="Normal 4 8 6" xfId="2560" xr:uid="{00000000-0005-0000-0000-0000DA160000}"/>
    <cellStyle name="Normal 4 8 6 2" xfId="6843" xr:uid="{00000000-0005-0000-0000-0000DB160000}"/>
    <cellStyle name="Normal 4 8 6 2 2" xfId="32182" xr:uid="{31BDF952-C3D0-43E5-BE36-A4B759494236}"/>
    <cellStyle name="Normal 4 8 6 2 3" xfId="23741" xr:uid="{EEFCA1F0-0D00-4892-985E-3735E341DA31}"/>
    <cellStyle name="Normal 4 8 6 2 4" xfId="15293" xr:uid="{4EFAF2AD-CC07-4EB2-8CA3-4CB19372C1A4}"/>
    <cellStyle name="Normal 4 8 6 3" xfId="27964" xr:uid="{93708491-D1AE-43BC-A1C8-AF6B667DB91F}"/>
    <cellStyle name="Normal 4 8 6 4" xfId="19523" xr:uid="{C647B4DE-D66D-4315-8C11-2360939FEFAE}"/>
    <cellStyle name="Normal 4 8 6 5" xfId="11075" xr:uid="{F171256D-234D-44EB-A551-CC423F68B7FF}"/>
    <cellStyle name="Normal 4 8 7" xfId="4778" xr:uid="{00000000-0005-0000-0000-0000DC160000}"/>
    <cellStyle name="Normal 4 8 7 2" xfId="30117" xr:uid="{612F2899-C661-467B-B895-51216C8F82CE}"/>
    <cellStyle name="Normal 4 8 7 3" xfId="21676" xr:uid="{F1DF5ACA-2A12-439A-97B7-7015B6B7C927}"/>
    <cellStyle name="Normal 4 8 7 4" xfId="13228" xr:uid="{AD2F1DB7-AA08-4B41-9501-0620098F109E}"/>
    <cellStyle name="Normal 4 8 8" xfId="25899" xr:uid="{94CD1ABA-903D-4CE1-9EE1-582AE9F9BDE5}"/>
    <cellStyle name="Normal 4 8 9" xfId="17458" xr:uid="{A0349184-C530-4F96-84C2-C9DE7D3AF117}"/>
    <cellStyle name="Normal 4 9" xfId="4715" xr:uid="{00000000-0005-0000-0000-0000DD160000}"/>
    <cellStyle name="Normal 4 9 2" xfId="30054" xr:uid="{260D5ECD-74CF-4593-AE6C-F22216986A1E}"/>
    <cellStyle name="Normal 4 9 3" xfId="21613" xr:uid="{E658C94D-4392-4C89-80AD-7B3AA39C51FD}"/>
    <cellStyle name="Normal 4 9 4" xfId="13165" xr:uid="{8E149234-4933-4BCE-9D14-192A6D2AEEC1}"/>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33502" xr:uid="{BE88E656-C65F-40A7-A5BB-28376399032D}"/>
    <cellStyle name="Normal 5 10 2 2 3" xfId="25061" xr:uid="{F493DE87-7EE2-4330-A4CD-922FD044C475}"/>
    <cellStyle name="Normal 5 10 2 2 4" xfId="16613" xr:uid="{5ADB8144-72F6-4A27-8067-1353DB967055}"/>
    <cellStyle name="Normal 5 10 2 3" xfId="29284" xr:uid="{BF8E3F79-0FB7-4504-AA1C-E1F93F823970}"/>
    <cellStyle name="Normal 5 10 2 4" xfId="20843" xr:uid="{08FF6087-422E-426A-AF76-A73301D087CF}"/>
    <cellStyle name="Normal 5 10 2 5" xfId="12395" xr:uid="{1ABAF797-912E-42A0-8B5F-DD2C93B2A320}"/>
    <cellStyle name="Normal 5 10 3" xfId="6018" xr:uid="{00000000-0005-0000-0000-0000E2160000}"/>
    <cellStyle name="Normal 5 10 3 2" xfId="31357" xr:uid="{FCE633C3-0F5C-4A66-8768-A0844615698C}"/>
    <cellStyle name="Normal 5 10 3 3" xfId="22916" xr:uid="{044C3B6D-A8F8-4617-99F1-0FF5A2CFC3F6}"/>
    <cellStyle name="Normal 5 10 3 4" xfId="14468" xr:uid="{D949F3B2-CB04-4BA5-BACE-A3C81CA26D01}"/>
    <cellStyle name="Normal 5 10 4" xfId="27139" xr:uid="{75F82390-6424-4637-945C-76DCD280666D}"/>
    <cellStyle name="Normal 5 10 5" xfId="18698" xr:uid="{F682ABBE-8C8F-46D3-AAFC-0EECC89BE0D4}"/>
    <cellStyle name="Normal 5 10 6" xfId="10250" xr:uid="{A6095EDB-401B-4DDE-8537-AF566150BA2D}"/>
    <cellStyle name="Normal 5 11" xfId="2125" xr:uid="{00000000-0005-0000-0000-0000E3160000}"/>
    <cellStyle name="Normal 5 11 2" xfId="4354" xr:uid="{00000000-0005-0000-0000-0000E4160000}"/>
    <cellStyle name="Normal 5 11 2 2" xfId="8576" xr:uid="{00000000-0005-0000-0000-0000E5160000}"/>
    <cellStyle name="Normal 5 11 2 2 2" xfId="33915" xr:uid="{DC23D819-7E3A-4ADE-9DBE-6ADF9F996605}"/>
    <cellStyle name="Normal 5 11 2 2 3" xfId="25474" xr:uid="{6794D65E-C333-4021-8EEF-F9416910F949}"/>
    <cellStyle name="Normal 5 11 2 2 4" xfId="17026" xr:uid="{4F038754-FA2E-4193-9A11-61B590B27E70}"/>
    <cellStyle name="Normal 5 11 2 3" xfId="29697" xr:uid="{63D6645F-6793-4233-8965-F9F5B3702140}"/>
    <cellStyle name="Normal 5 11 2 4" xfId="21256" xr:uid="{BC14D033-3A86-4FEC-BF61-9F2769DA0F5C}"/>
    <cellStyle name="Normal 5 11 2 5" xfId="12808" xr:uid="{4F9A9DF9-FDAF-48DA-801C-EC4DA4D1BD5C}"/>
    <cellStyle name="Normal 5 11 3" xfId="6431" xr:uid="{00000000-0005-0000-0000-0000E6160000}"/>
    <cellStyle name="Normal 5 11 3 2" xfId="31770" xr:uid="{8B17B240-8632-42EC-8368-C25CF946F017}"/>
    <cellStyle name="Normal 5 11 3 3" xfId="23329" xr:uid="{55EC8A85-6AD0-445F-9BBC-AD3D55ECD87D}"/>
    <cellStyle name="Normal 5 11 3 4" xfId="14881" xr:uid="{23D430D1-5B3E-458F-B1CC-C5D3FFC072FC}"/>
    <cellStyle name="Normal 5 11 4" xfId="27552" xr:uid="{CE00B879-20F7-4B6E-9050-DEC6551D4608}"/>
    <cellStyle name="Normal 5 11 5" xfId="19111" xr:uid="{8D7CF930-A758-4830-B3B2-C4C819B1CBA4}"/>
    <cellStyle name="Normal 5 11 6" xfId="10663" xr:uid="{C554C32B-8B36-4C50-B108-86B28824D3B5}"/>
    <cellStyle name="Normal 5 12" xfId="2561" xr:uid="{00000000-0005-0000-0000-0000E7160000}"/>
    <cellStyle name="Normal 5 12 2" xfId="6844" xr:uid="{00000000-0005-0000-0000-0000E8160000}"/>
    <cellStyle name="Normal 5 12 2 2" xfId="32183" xr:uid="{41E53B42-58AC-46DE-816C-A479785C0A10}"/>
    <cellStyle name="Normal 5 12 2 3" xfId="23742" xr:uid="{710B6BB7-42B0-4258-8C6E-E7F60CF907EE}"/>
    <cellStyle name="Normal 5 12 2 4" xfId="15294" xr:uid="{50727F69-DD6F-4E1D-BC22-B367C132DAE0}"/>
    <cellStyle name="Normal 5 12 3" xfId="27965" xr:uid="{19F48348-7791-4946-9674-58AB33E42829}"/>
    <cellStyle name="Normal 5 12 4" xfId="19524" xr:uid="{16BF44E5-F2FC-4C46-B5C6-421AD7D9F09C}"/>
    <cellStyle name="Normal 5 12 5" xfId="11076" xr:uid="{20332D57-CA7C-40C6-8CA4-95B8FBCE21C7}"/>
    <cellStyle name="Normal 5 13" xfId="4779" xr:uid="{00000000-0005-0000-0000-0000E9160000}"/>
    <cellStyle name="Normal 5 13 2" xfId="30118" xr:uid="{61B8B953-0BC6-4797-B83E-CE5857E1DFAF}"/>
    <cellStyle name="Normal 5 13 3" xfId="21677" xr:uid="{9452E7B6-C6AE-4C44-8787-F97C4086A98D}"/>
    <cellStyle name="Normal 5 13 4" xfId="13229" xr:uid="{96C0D42B-65E0-42F2-8258-596314C14543}"/>
    <cellStyle name="Normal 5 14" xfId="25900" xr:uid="{38E98CBD-E85F-4252-A8E3-193413B0EA32}"/>
    <cellStyle name="Normal 5 15" xfId="17459" xr:uid="{AD9787B2-FC96-4287-A039-BAFC5A8C5151}"/>
    <cellStyle name="Normal 5 16" xfId="9011" xr:uid="{AFC01F31-10D8-40B7-8031-FE6A3FBD57CC}"/>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33916" xr:uid="{0D5BD4A5-BCC8-49DC-9D66-0F04C2A19DF8}"/>
    <cellStyle name="Normal 5 2 10 2 2 3" xfId="25475" xr:uid="{85CC4460-C510-444D-9AFC-020F967CE8FB}"/>
    <cellStyle name="Normal 5 2 10 2 2 4" xfId="17027" xr:uid="{E299A4FA-3719-4476-AC9B-B29C399D4F89}"/>
    <cellStyle name="Normal 5 2 10 2 3" xfId="29698" xr:uid="{C754DBF1-B37A-49F3-A714-31A964B6DF36}"/>
    <cellStyle name="Normal 5 2 10 2 4" xfId="21257" xr:uid="{04ABA173-4E63-4967-BD11-DF9CDFECBEB3}"/>
    <cellStyle name="Normal 5 2 10 2 5" xfId="12809" xr:uid="{4A24F007-3B56-4FE5-964E-9F5C4E0BF0DC}"/>
    <cellStyle name="Normal 5 2 10 3" xfId="6432" xr:uid="{00000000-0005-0000-0000-0000EE160000}"/>
    <cellStyle name="Normal 5 2 10 3 2" xfId="31771" xr:uid="{1C5728D0-FAC1-42DA-B6E8-937336A67ED5}"/>
    <cellStyle name="Normal 5 2 10 3 3" xfId="23330" xr:uid="{75146120-D8BF-4FAA-938D-8A0DCC712A12}"/>
    <cellStyle name="Normal 5 2 10 3 4" xfId="14882" xr:uid="{7048C86E-FA03-4FE7-943E-F57E1F042E69}"/>
    <cellStyle name="Normal 5 2 10 4" xfId="27553" xr:uid="{DA0749DD-EF91-4255-99BB-D908AA2674D1}"/>
    <cellStyle name="Normal 5 2 10 5" xfId="19112" xr:uid="{B0C168FE-61BB-462E-9CE1-50ED13B8EE3F}"/>
    <cellStyle name="Normal 5 2 10 6" xfId="10664" xr:uid="{C8CB92ED-B178-4AA1-A1FE-40DB07073042}"/>
    <cellStyle name="Normal 5 2 11" xfId="2562" xr:uid="{00000000-0005-0000-0000-0000EF160000}"/>
    <cellStyle name="Normal 5 2 11 2" xfId="6845" xr:uid="{00000000-0005-0000-0000-0000F0160000}"/>
    <cellStyle name="Normal 5 2 11 2 2" xfId="32184" xr:uid="{2D1239BF-7FDB-44B2-B276-9B51CD5B1423}"/>
    <cellStyle name="Normal 5 2 11 2 3" xfId="23743" xr:uid="{63AE4A0A-3556-4A6D-937F-038AB865B4E8}"/>
    <cellStyle name="Normal 5 2 11 2 4" xfId="15295" xr:uid="{7AF7A00A-0F45-43B7-A016-45B31A6D4455}"/>
    <cellStyle name="Normal 5 2 11 3" xfId="27966" xr:uid="{A46D2F35-32ED-46A6-AA18-217BD86D93DF}"/>
    <cellStyle name="Normal 5 2 11 4" xfId="19525" xr:uid="{C8167F7A-3D79-4D38-B9BD-6AA244FF1D87}"/>
    <cellStyle name="Normal 5 2 11 5" xfId="11077" xr:uid="{E66D5A37-D1B0-4645-9BF6-95D9DEF5FF9B}"/>
    <cellStyle name="Normal 5 2 12" xfId="4780" xr:uid="{00000000-0005-0000-0000-0000F1160000}"/>
    <cellStyle name="Normal 5 2 12 2" xfId="30119" xr:uid="{33FAAEB9-4C1B-4E85-A1F5-2CAF5344E830}"/>
    <cellStyle name="Normal 5 2 12 3" xfId="21678" xr:uid="{A0A1BCF1-DF49-4D45-AD56-0363F0BAB012}"/>
    <cellStyle name="Normal 5 2 12 4" xfId="13230" xr:uid="{5967137A-686B-4EC3-8FF1-3553D5C759CB}"/>
    <cellStyle name="Normal 5 2 13" xfId="25901" xr:uid="{AD94B8A5-0DBF-4D22-9397-5CFA2FBEC354}"/>
    <cellStyle name="Normal 5 2 14" xfId="17460" xr:uid="{46BE8F54-8D5E-409B-A139-5404F28214BA}"/>
    <cellStyle name="Normal 5 2 15" xfId="9012" xr:uid="{B780706A-0E90-4582-94C7-01BDD37F7598}"/>
    <cellStyle name="Normal 5 2 2" xfId="408" xr:uid="{00000000-0005-0000-0000-0000F2160000}"/>
    <cellStyle name="Normal 5 2 2 10" xfId="2563" xr:uid="{00000000-0005-0000-0000-0000F3160000}"/>
    <cellStyle name="Normal 5 2 2 10 2" xfId="6846" xr:uid="{00000000-0005-0000-0000-0000F4160000}"/>
    <cellStyle name="Normal 5 2 2 10 2 2" xfId="32185" xr:uid="{45038062-F6EC-4ED1-9965-F939C39FE5F4}"/>
    <cellStyle name="Normal 5 2 2 10 2 3" xfId="23744" xr:uid="{2FE43DF6-19A3-4513-B88F-0D66AA50A8E3}"/>
    <cellStyle name="Normal 5 2 2 10 2 4" xfId="15296" xr:uid="{1DA9F151-2999-43A3-A578-E3009C6710E5}"/>
    <cellStyle name="Normal 5 2 2 10 3" xfId="27967" xr:uid="{2670AC4A-E1A6-4E56-9BA3-69617359C4B8}"/>
    <cellStyle name="Normal 5 2 2 10 4" xfId="19526" xr:uid="{E768A656-E0D7-4F44-9A46-47F58B831FEB}"/>
    <cellStyle name="Normal 5 2 2 10 5" xfId="11078" xr:uid="{52799C49-8CE5-44C9-A53F-895E785B598B}"/>
    <cellStyle name="Normal 5 2 2 11" xfId="4781" xr:uid="{00000000-0005-0000-0000-0000F5160000}"/>
    <cellStyle name="Normal 5 2 2 11 2" xfId="30120" xr:uid="{78340983-2A09-436B-BE86-D06CE824C87D}"/>
    <cellStyle name="Normal 5 2 2 11 3" xfId="21679" xr:uid="{FA39545C-0ED1-438F-95F9-0C0E5969A888}"/>
    <cellStyle name="Normal 5 2 2 11 4" xfId="13231" xr:uid="{824DDB06-2459-4A3C-B26C-0D00445BB3F4}"/>
    <cellStyle name="Normal 5 2 2 12" xfId="25902" xr:uid="{2149F311-EA0B-4976-8E3D-12E52370E93C}"/>
    <cellStyle name="Normal 5 2 2 13" xfId="17461" xr:uid="{42967400-7B9C-464D-AD9B-B0E5E4E3229A}"/>
    <cellStyle name="Normal 5 2 2 14" xfId="9013" xr:uid="{FD022CA8-440B-4DA6-B3CE-991DA2073C0C}"/>
    <cellStyle name="Normal 5 2 2 2" xfId="409" xr:uid="{00000000-0005-0000-0000-0000F6160000}"/>
    <cellStyle name="Normal 5 2 2 2 10" xfId="4782" xr:uid="{00000000-0005-0000-0000-0000F7160000}"/>
    <cellStyle name="Normal 5 2 2 2 10 2" xfId="30121" xr:uid="{68BB5D20-EB91-405F-8350-162F8C08B4B6}"/>
    <cellStyle name="Normal 5 2 2 2 10 3" xfId="21680" xr:uid="{BEDBBECE-A050-4146-A4FB-D56EAE98FFC2}"/>
    <cellStyle name="Normal 5 2 2 2 10 4" xfId="13232" xr:uid="{0240E59F-A47F-40CF-8CA6-CD41A11D190D}"/>
    <cellStyle name="Normal 5 2 2 2 11" xfId="25903" xr:uid="{6CFFAF13-6A41-4C6A-A8E7-CCB5A1531366}"/>
    <cellStyle name="Normal 5 2 2 2 12" xfId="17462" xr:uid="{EDC83F7C-248E-487E-8CA9-D446EFE23F8C}"/>
    <cellStyle name="Normal 5 2 2 2 13" xfId="9014" xr:uid="{A41C6DF1-E0C3-4382-B1AD-9BFB3FA579A5}"/>
    <cellStyle name="Normal 5 2 2 2 2" xfId="410" xr:uid="{00000000-0005-0000-0000-0000F8160000}"/>
    <cellStyle name="Normal 5 2 2 2 2 10" xfId="25904" xr:uid="{B5E73B4D-8B59-49CF-ACD9-D42EB555DDCA}"/>
    <cellStyle name="Normal 5 2 2 2 2 11" xfId="17463" xr:uid="{9A97C763-B568-4034-801B-2D82D85F7FDC}"/>
    <cellStyle name="Normal 5 2 2 2 2 12" xfId="9015" xr:uid="{B5D87CC0-5AC2-445A-B67F-0C26E376EB45}"/>
    <cellStyle name="Normal 5 2 2 2 2 2" xfId="411" xr:uid="{00000000-0005-0000-0000-0000F9160000}"/>
    <cellStyle name="Normal 5 2 2 2 2 2 10" xfId="17464" xr:uid="{E67F0553-83BD-4B2E-BE77-3F07849718E4}"/>
    <cellStyle name="Normal 5 2 2 2 2 2 11" xfId="9016" xr:uid="{324D9BBA-9892-4942-8D17-E9D6738B4676}"/>
    <cellStyle name="Normal 5 2 2 2 2 2 2" xfId="412" xr:uid="{00000000-0005-0000-0000-0000FA160000}"/>
    <cellStyle name="Normal 5 2 2 2 2 2 2 10" xfId="9017" xr:uid="{62B2C299-C37A-4655-B8E0-CB228ED09D04}"/>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32682" xr:uid="{EA6D5050-6AAC-4820-BFAF-BAF8418AA2C3}"/>
    <cellStyle name="Normal 5 2 2 2 2 2 2 2 2 2 3" xfId="24241" xr:uid="{595FC285-E064-4112-A3D3-B7F643F1D1ED}"/>
    <cellStyle name="Normal 5 2 2 2 2 2 2 2 2 2 4" xfId="15793" xr:uid="{0F27A5A9-16ED-4236-B0DF-50612B22F20C}"/>
    <cellStyle name="Normal 5 2 2 2 2 2 2 2 2 3" xfId="28464" xr:uid="{7A11A230-CE79-4213-B087-8B98678013DD}"/>
    <cellStyle name="Normal 5 2 2 2 2 2 2 2 2 4" xfId="20023" xr:uid="{62A6F03E-D428-45F0-BA72-90FAFFFD2B69}"/>
    <cellStyle name="Normal 5 2 2 2 2 2 2 2 2 5" xfId="11575" xr:uid="{969A178B-9FCD-4720-87C4-B91428C3B10F}"/>
    <cellStyle name="Normal 5 2 2 2 2 2 2 2 3" xfId="5198" xr:uid="{00000000-0005-0000-0000-0000FE160000}"/>
    <cellStyle name="Normal 5 2 2 2 2 2 2 2 3 2" xfId="30537" xr:uid="{7593E6C4-B83D-4082-890D-F8B3248FFDFB}"/>
    <cellStyle name="Normal 5 2 2 2 2 2 2 2 3 3" xfId="22096" xr:uid="{7682583C-DAE8-403E-833C-C21E30E6A042}"/>
    <cellStyle name="Normal 5 2 2 2 2 2 2 2 3 4" xfId="13648" xr:uid="{A776325E-FE37-418B-BC03-21DDFC51DA8A}"/>
    <cellStyle name="Normal 5 2 2 2 2 2 2 2 4" xfId="26319" xr:uid="{D50B7CA2-C2A7-4E8A-9B06-D63A0E2A1D52}"/>
    <cellStyle name="Normal 5 2 2 2 2 2 2 2 5" xfId="17878" xr:uid="{C9080E5B-998E-4DEA-AE5C-895BE909266E}"/>
    <cellStyle name="Normal 5 2 2 2 2 2 2 2 6" xfId="9430" xr:uid="{1BF797D5-5F7C-49C2-B6D9-D825A2C23B8B}"/>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33095" xr:uid="{9F3692F9-986E-413B-BCED-8D78BB571C05}"/>
    <cellStyle name="Normal 5 2 2 2 2 2 2 3 2 2 3" xfId="24654" xr:uid="{7A37CFA6-117A-42F5-8F0F-052B0C7B922D}"/>
    <cellStyle name="Normal 5 2 2 2 2 2 2 3 2 2 4" xfId="16206" xr:uid="{99E768DE-55D5-42F7-BD05-87922F799EA3}"/>
    <cellStyle name="Normal 5 2 2 2 2 2 2 3 2 3" xfId="28877" xr:uid="{3DAEB1FB-8B24-4588-B65B-0CE0D02C7856}"/>
    <cellStyle name="Normal 5 2 2 2 2 2 2 3 2 4" xfId="20436" xr:uid="{216424C9-7ED7-41B4-9B30-A88B3AE1E15A}"/>
    <cellStyle name="Normal 5 2 2 2 2 2 2 3 2 5" xfId="11988" xr:uid="{135CDFD9-7E66-4179-AD1A-837D8E6ECADA}"/>
    <cellStyle name="Normal 5 2 2 2 2 2 2 3 3" xfId="5611" xr:uid="{00000000-0005-0000-0000-000002170000}"/>
    <cellStyle name="Normal 5 2 2 2 2 2 2 3 3 2" xfId="30950" xr:uid="{D280CBD8-13CC-4A3F-A7CD-DBBB124D9934}"/>
    <cellStyle name="Normal 5 2 2 2 2 2 2 3 3 3" xfId="22509" xr:uid="{788981D5-621B-4E77-BF48-F30ED7A73200}"/>
    <cellStyle name="Normal 5 2 2 2 2 2 2 3 3 4" xfId="14061" xr:uid="{7A3B2273-50B7-47DD-9DA4-45F89158A019}"/>
    <cellStyle name="Normal 5 2 2 2 2 2 2 3 4" xfId="26732" xr:uid="{A7F20853-E90A-4FDC-8A55-440D487B5D6E}"/>
    <cellStyle name="Normal 5 2 2 2 2 2 2 3 5" xfId="18291" xr:uid="{DCECFEF4-3140-40D9-BAF1-722ECB9165C0}"/>
    <cellStyle name="Normal 5 2 2 2 2 2 2 3 6" xfId="9843" xr:uid="{A13F4B89-64B2-48D0-ABD1-B61A0A2102D4}"/>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33508" xr:uid="{98C8EE4B-50A2-4A3E-AB6C-128D79DF614C}"/>
    <cellStyle name="Normal 5 2 2 2 2 2 2 4 2 2 3" xfId="25067" xr:uid="{8CB872B3-F5F9-4B74-8967-2B0043B62EF8}"/>
    <cellStyle name="Normal 5 2 2 2 2 2 2 4 2 2 4" xfId="16619" xr:uid="{75EC2AE5-E351-43A5-8CC8-C24F27544D15}"/>
    <cellStyle name="Normal 5 2 2 2 2 2 2 4 2 3" xfId="29290" xr:uid="{9C2B83E9-5837-4611-B62F-F123DD3DBECD}"/>
    <cellStyle name="Normal 5 2 2 2 2 2 2 4 2 4" xfId="20849" xr:uid="{E1617EEA-4876-4765-80E5-554375A81CEB}"/>
    <cellStyle name="Normal 5 2 2 2 2 2 2 4 2 5" xfId="12401" xr:uid="{27982D81-B962-4BAB-9FF1-49BB17F25967}"/>
    <cellStyle name="Normal 5 2 2 2 2 2 2 4 3" xfId="6024" xr:uid="{00000000-0005-0000-0000-000006170000}"/>
    <cellStyle name="Normal 5 2 2 2 2 2 2 4 3 2" xfId="31363" xr:uid="{57D3B5E3-95AB-43BE-AE4B-2A7F06E4547C}"/>
    <cellStyle name="Normal 5 2 2 2 2 2 2 4 3 3" xfId="22922" xr:uid="{CC7DFA51-DB8F-4D55-B8CF-CD8555746BAA}"/>
    <cellStyle name="Normal 5 2 2 2 2 2 2 4 3 4" xfId="14474" xr:uid="{A7F295E5-1E20-475E-AAC5-E99980F84DE9}"/>
    <cellStyle name="Normal 5 2 2 2 2 2 2 4 4" xfId="27145" xr:uid="{B6F39143-C7F3-4A39-BF96-BE8C9712783C}"/>
    <cellStyle name="Normal 5 2 2 2 2 2 2 4 5" xfId="18704" xr:uid="{05E21608-90FE-4D35-85C9-626D4B4DE9AD}"/>
    <cellStyle name="Normal 5 2 2 2 2 2 2 4 6" xfId="10256" xr:uid="{B14E995F-A50C-48E1-9A32-FF79CC7442B6}"/>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33921" xr:uid="{BEAA08D1-E0D3-4911-8E06-02477923DA2F}"/>
    <cellStyle name="Normal 5 2 2 2 2 2 2 5 2 2 3" xfId="25480" xr:uid="{FE212AB3-8CEB-435A-80AD-1101CEA09BF5}"/>
    <cellStyle name="Normal 5 2 2 2 2 2 2 5 2 2 4" xfId="17032" xr:uid="{7BAB3DFC-5227-4AD9-BC73-DE8E8F085C27}"/>
    <cellStyle name="Normal 5 2 2 2 2 2 2 5 2 3" xfId="29703" xr:uid="{B3E33B04-E529-48DB-A1F6-E2043BB78BE2}"/>
    <cellStyle name="Normal 5 2 2 2 2 2 2 5 2 4" xfId="21262" xr:uid="{E6346A0C-0405-46A7-8A99-D544ED0BAB69}"/>
    <cellStyle name="Normal 5 2 2 2 2 2 2 5 2 5" xfId="12814" xr:uid="{78BAE69F-D9BA-4CF8-8DA7-528FC27093F0}"/>
    <cellStyle name="Normal 5 2 2 2 2 2 2 5 3" xfId="6437" xr:uid="{00000000-0005-0000-0000-00000A170000}"/>
    <cellStyle name="Normal 5 2 2 2 2 2 2 5 3 2" xfId="31776" xr:uid="{83D75E54-8D12-4E31-A089-C03CA2DF9BF3}"/>
    <cellStyle name="Normal 5 2 2 2 2 2 2 5 3 3" xfId="23335" xr:uid="{CB73DA16-7AEF-4DF1-A61B-901123C78B70}"/>
    <cellStyle name="Normal 5 2 2 2 2 2 2 5 3 4" xfId="14887" xr:uid="{54D164FA-9F06-43E8-BC75-B1DC7CF6C6B0}"/>
    <cellStyle name="Normal 5 2 2 2 2 2 2 5 4" xfId="27558" xr:uid="{8C4785A9-3E1E-468E-9228-72F9972789B4}"/>
    <cellStyle name="Normal 5 2 2 2 2 2 2 5 5" xfId="19117" xr:uid="{745DEF12-2A54-4ACE-9649-B72534A8F51E}"/>
    <cellStyle name="Normal 5 2 2 2 2 2 2 5 6" xfId="10669" xr:uid="{FC3F282A-D064-437E-9364-D42F871977B0}"/>
    <cellStyle name="Normal 5 2 2 2 2 2 2 6" xfId="2567" xr:uid="{00000000-0005-0000-0000-00000B170000}"/>
    <cellStyle name="Normal 5 2 2 2 2 2 2 6 2" xfId="6850" xr:uid="{00000000-0005-0000-0000-00000C170000}"/>
    <cellStyle name="Normal 5 2 2 2 2 2 2 6 2 2" xfId="32189" xr:uid="{42B9C346-7FFE-435C-A950-348695B79955}"/>
    <cellStyle name="Normal 5 2 2 2 2 2 2 6 2 3" xfId="23748" xr:uid="{8E990FDB-70F6-4ED3-B640-F60F7A6BCE90}"/>
    <cellStyle name="Normal 5 2 2 2 2 2 2 6 2 4" xfId="15300" xr:uid="{B2D5213E-17E1-4255-8E3F-8C5CED9F922D}"/>
    <cellStyle name="Normal 5 2 2 2 2 2 2 6 3" xfId="27971" xr:uid="{FCBE9DB6-93CF-4CED-A812-68E547EC46BB}"/>
    <cellStyle name="Normal 5 2 2 2 2 2 2 6 4" xfId="19530" xr:uid="{7B92EFFA-8035-4BF0-B0DF-D37ACF776894}"/>
    <cellStyle name="Normal 5 2 2 2 2 2 2 6 5" xfId="11082" xr:uid="{852837E8-87CA-4906-85B3-DBC5EA302458}"/>
    <cellStyle name="Normal 5 2 2 2 2 2 2 7" xfId="4785" xr:uid="{00000000-0005-0000-0000-00000D170000}"/>
    <cellStyle name="Normal 5 2 2 2 2 2 2 7 2" xfId="30124" xr:uid="{47C42020-83EE-4885-87AF-0D7FFFB61F54}"/>
    <cellStyle name="Normal 5 2 2 2 2 2 2 7 3" xfId="21683" xr:uid="{503D78B7-9310-4E9A-8653-8B807B65B5C8}"/>
    <cellStyle name="Normal 5 2 2 2 2 2 2 7 4" xfId="13235" xr:uid="{DF91E9A0-134D-4F60-A40C-5B4083147F5B}"/>
    <cellStyle name="Normal 5 2 2 2 2 2 2 8" xfId="25906" xr:uid="{19652A3A-3272-4792-A4C3-6440712C6673}"/>
    <cellStyle name="Normal 5 2 2 2 2 2 2 9" xfId="17465" xr:uid="{3F32ECD6-C387-40BE-BDE0-7431625BDAC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32681" xr:uid="{452CEB4B-DA21-4BAC-87BC-B24DE23D72B5}"/>
    <cellStyle name="Normal 5 2 2 2 2 2 3 2 2 3" xfId="24240" xr:uid="{8E442CA4-0366-40C1-B9DB-46F1EF9222EA}"/>
    <cellStyle name="Normal 5 2 2 2 2 2 3 2 2 4" xfId="15792" xr:uid="{FC14F867-B800-4B28-8C31-03F700464299}"/>
    <cellStyle name="Normal 5 2 2 2 2 2 3 2 3" xfId="28463" xr:uid="{3E582A9D-659D-459E-85DF-FFA7DB6833F3}"/>
    <cellStyle name="Normal 5 2 2 2 2 2 3 2 4" xfId="20022" xr:uid="{FEC97C30-F09E-4A8E-B870-6CA07953BA80}"/>
    <cellStyle name="Normal 5 2 2 2 2 2 3 2 5" xfId="11574" xr:uid="{D1CDFE60-EB5D-4500-B889-D79065AEAB8C}"/>
    <cellStyle name="Normal 5 2 2 2 2 2 3 3" xfId="5197" xr:uid="{00000000-0005-0000-0000-000011170000}"/>
    <cellStyle name="Normal 5 2 2 2 2 2 3 3 2" xfId="30536" xr:uid="{ADBE39BD-295C-43C6-A214-411835EB3818}"/>
    <cellStyle name="Normal 5 2 2 2 2 2 3 3 3" xfId="22095" xr:uid="{433A0F32-B562-478B-B20A-96452B8A1D46}"/>
    <cellStyle name="Normal 5 2 2 2 2 2 3 3 4" xfId="13647" xr:uid="{429B1525-7AE3-4627-ACBC-DF0020CBA0B6}"/>
    <cellStyle name="Normal 5 2 2 2 2 2 3 4" xfId="26318" xr:uid="{D62BD395-23A4-4BEF-88C5-641920CAE296}"/>
    <cellStyle name="Normal 5 2 2 2 2 2 3 5" xfId="17877" xr:uid="{81974AE0-76EF-433D-BFD5-BC8546107FDF}"/>
    <cellStyle name="Normal 5 2 2 2 2 2 3 6" xfId="9429" xr:uid="{05D3302A-60D6-47F3-AD59-76A8F560002F}"/>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33094" xr:uid="{5948624C-7D98-4580-8EAB-898211AB9AAA}"/>
    <cellStyle name="Normal 5 2 2 2 2 2 4 2 2 3" xfId="24653" xr:uid="{C8C5B54B-BA79-4185-89AF-E45902A3ACD4}"/>
    <cellStyle name="Normal 5 2 2 2 2 2 4 2 2 4" xfId="16205" xr:uid="{A57C27E7-FD6C-4D22-8703-5A9DC52A386E}"/>
    <cellStyle name="Normal 5 2 2 2 2 2 4 2 3" xfId="28876" xr:uid="{1483CF4C-E011-4DED-8A99-AE40A0EBC5CD}"/>
    <cellStyle name="Normal 5 2 2 2 2 2 4 2 4" xfId="20435" xr:uid="{3CDBE99B-7BF5-414D-9911-A6A8297E310B}"/>
    <cellStyle name="Normal 5 2 2 2 2 2 4 2 5" xfId="11987" xr:uid="{A16C236C-1736-45D3-8F53-5DC3A77468BA}"/>
    <cellStyle name="Normal 5 2 2 2 2 2 4 3" xfId="5610" xr:uid="{00000000-0005-0000-0000-000015170000}"/>
    <cellStyle name="Normal 5 2 2 2 2 2 4 3 2" xfId="30949" xr:uid="{A96A7B0A-1D15-43E6-93A5-B4DD37E25B16}"/>
    <cellStyle name="Normal 5 2 2 2 2 2 4 3 3" xfId="22508" xr:uid="{0942D9B4-4CB8-4645-A369-5EC49A5A91AD}"/>
    <cellStyle name="Normal 5 2 2 2 2 2 4 3 4" xfId="14060" xr:uid="{4B5F1176-070F-4845-B804-AD6E2462C3E9}"/>
    <cellStyle name="Normal 5 2 2 2 2 2 4 4" xfId="26731" xr:uid="{24237D9B-2A5D-4C39-8E9C-26305E2BDFBA}"/>
    <cellStyle name="Normal 5 2 2 2 2 2 4 5" xfId="18290" xr:uid="{2F5943B4-5CF8-436B-93DD-03D16CCA9EB2}"/>
    <cellStyle name="Normal 5 2 2 2 2 2 4 6" xfId="9842" xr:uid="{B88B8338-DCBE-4911-8AC4-C9898FE60323}"/>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33507" xr:uid="{2E11C7D2-B9EE-4F37-8393-F7A3910CCFB4}"/>
    <cellStyle name="Normal 5 2 2 2 2 2 5 2 2 3" xfId="25066" xr:uid="{2BF57B1E-BD33-433B-B09D-F818519A42CD}"/>
    <cellStyle name="Normal 5 2 2 2 2 2 5 2 2 4" xfId="16618" xr:uid="{31D0DCBD-2A93-4980-8711-3E5EBABEAF15}"/>
    <cellStyle name="Normal 5 2 2 2 2 2 5 2 3" xfId="29289" xr:uid="{C5B912E4-7AAD-40C5-921D-E7A0320F4D0F}"/>
    <cellStyle name="Normal 5 2 2 2 2 2 5 2 4" xfId="20848" xr:uid="{64EE1F6E-6EA1-4125-9EF8-70FB2EEBB9C2}"/>
    <cellStyle name="Normal 5 2 2 2 2 2 5 2 5" xfId="12400" xr:uid="{6EAA24BE-1265-4A4F-95FD-73213114BFB2}"/>
    <cellStyle name="Normal 5 2 2 2 2 2 5 3" xfId="6023" xr:uid="{00000000-0005-0000-0000-000019170000}"/>
    <cellStyle name="Normal 5 2 2 2 2 2 5 3 2" xfId="31362" xr:uid="{90BC79CE-4ECD-4923-99E5-DEEEEDFE0E9F}"/>
    <cellStyle name="Normal 5 2 2 2 2 2 5 3 3" xfId="22921" xr:uid="{A0B02E2B-2646-44A7-86E2-2AA22EFF90B2}"/>
    <cellStyle name="Normal 5 2 2 2 2 2 5 3 4" xfId="14473" xr:uid="{14633DB5-0F1F-49F5-8EC2-7E035866AE76}"/>
    <cellStyle name="Normal 5 2 2 2 2 2 5 4" xfId="27144" xr:uid="{720FB32D-BE7A-457A-B4B0-06296D4807DC}"/>
    <cellStyle name="Normal 5 2 2 2 2 2 5 5" xfId="18703" xr:uid="{7AA3B8BA-F540-42CE-86BD-3EAE1895E1C6}"/>
    <cellStyle name="Normal 5 2 2 2 2 2 5 6" xfId="10255" xr:uid="{9BD3DB85-B54E-4DE5-ABF4-59516B114F7A}"/>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33920" xr:uid="{23D550B9-40C1-4D84-994A-E6FA5B164515}"/>
    <cellStyle name="Normal 5 2 2 2 2 2 6 2 2 3" xfId="25479" xr:uid="{DB4EFA2C-BDC5-4CD3-B886-4F1BACDDCA5C}"/>
    <cellStyle name="Normal 5 2 2 2 2 2 6 2 2 4" xfId="17031" xr:uid="{8F21BCDE-6409-410B-85B3-94F72826380A}"/>
    <cellStyle name="Normal 5 2 2 2 2 2 6 2 3" xfId="29702" xr:uid="{B6BE9ABC-6342-4459-9D57-FB56F0577BB7}"/>
    <cellStyle name="Normal 5 2 2 2 2 2 6 2 4" xfId="21261" xr:uid="{D33EFF5B-3FC9-4C62-BEA4-E42BFCB7A05F}"/>
    <cellStyle name="Normal 5 2 2 2 2 2 6 2 5" xfId="12813" xr:uid="{F4083751-E4EE-4731-95E9-0F8C7AADD913}"/>
    <cellStyle name="Normal 5 2 2 2 2 2 6 3" xfId="6436" xr:uid="{00000000-0005-0000-0000-00001D170000}"/>
    <cellStyle name="Normal 5 2 2 2 2 2 6 3 2" xfId="31775" xr:uid="{FD105588-18EC-4A5D-AE52-6C5D0580C82B}"/>
    <cellStyle name="Normal 5 2 2 2 2 2 6 3 3" xfId="23334" xr:uid="{C98D41A3-7534-460E-979C-1E71934DC4D4}"/>
    <cellStyle name="Normal 5 2 2 2 2 2 6 3 4" xfId="14886" xr:uid="{E87EB1F8-1A13-4ADB-9928-3EB19B17FC1E}"/>
    <cellStyle name="Normal 5 2 2 2 2 2 6 4" xfId="27557" xr:uid="{F86A4D01-62DB-4A7A-944D-A0D67C9EC765}"/>
    <cellStyle name="Normal 5 2 2 2 2 2 6 5" xfId="19116" xr:uid="{444B623F-9167-40AF-8735-C2D22919F3F1}"/>
    <cellStyle name="Normal 5 2 2 2 2 2 6 6" xfId="10668" xr:uid="{0174C9C8-D44F-40B3-A04F-7F748775B668}"/>
    <cellStyle name="Normal 5 2 2 2 2 2 7" xfId="2566" xr:uid="{00000000-0005-0000-0000-00001E170000}"/>
    <cellStyle name="Normal 5 2 2 2 2 2 7 2" xfId="6849" xr:uid="{00000000-0005-0000-0000-00001F170000}"/>
    <cellStyle name="Normal 5 2 2 2 2 2 7 2 2" xfId="32188" xr:uid="{42E9E861-8701-4DF1-AAD4-6389042AF673}"/>
    <cellStyle name="Normal 5 2 2 2 2 2 7 2 3" xfId="23747" xr:uid="{02B73C61-005A-40E5-96BA-0BFC8C8D1D34}"/>
    <cellStyle name="Normal 5 2 2 2 2 2 7 2 4" xfId="15299" xr:uid="{F303269A-432A-45F5-BB1F-1B5A272F73E8}"/>
    <cellStyle name="Normal 5 2 2 2 2 2 7 3" xfId="27970" xr:uid="{D1235509-EB66-4502-BE03-5F9E154AE5CC}"/>
    <cellStyle name="Normal 5 2 2 2 2 2 7 4" xfId="19529" xr:uid="{2A80733C-34A8-4342-B219-E6D701A39674}"/>
    <cellStyle name="Normal 5 2 2 2 2 2 7 5" xfId="11081" xr:uid="{72B287BD-8252-4A52-BFD3-9870C5D2320F}"/>
    <cellStyle name="Normal 5 2 2 2 2 2 8" xfId="4784" xr:uid="{00000000-0005-0000-0000-000020170000}"/>
    <cellStyle name="Normal 5 2 2 2 2 2 8 2" xfId="30123" xr:uid="{D6773F63-D5E9-42A7-B7DB-4866B6D1253D}"/>
    <cellStyle name="Normal 5 2 2 2 2 2 8 3" xfId="21682" xr:uid="{C2311B5B-D439-49B5-AF30-42F10CCC37B0}"/>
    <cellStyle name="Normal 5 2 2 2 2 2 8 4" xfId="13234" xr:uid="{61607D1E-3C35-4F74-87E2-A0EC45A87EA9}"/>
    <cellStyle name="Normal 5 2 2 2 2 2 9" xfId="25905" xr:uid="{E71A5094-6206-4FC9-B980-70DB8422F291}"/>
    <cellStyle name="Normal 5 2 2 2 2 3" xfId="413" xr:uid="{00000000-0005-0000-0000-000021170000}"/>
    <cellStyle name="Normal 5 2 2 2 2 3 10" xfId="9018" xr:uid="{3CB130F8-DA4E-4BD9-A391-725A75D61BE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32683" xr:uid="{8E098929-F656-48A7-A597-23DD762AB767}"/>
    <cellStyle name="Normal 5 2 2 2 2 3 2 2 2 3" xfId="24242" xr:uid="{1265FA79-A365-4907-B5C6-F31FFF016B5E}"/>
    <cellStyle name="Normal 5 2 2 2 2 3 2 2 2 4" xfId="15794" xr:uid="{FFC370E5-75C7-40F9-AB02-2C16C6A742D3}"/>
    <cellStyle name="Normal 5 2 2 2 2 3 2 2 3" xfId="28465" xr:uid="{55F12BDD-C55D-4C78-B1C9-FA5F55A59438}"/>
    <cellStyle name="Normal 5 2 2 2 2 3 2 2 4" xfId="20024" xr:uid="{B263E253-969E-4F6F-9D6F-6C5299670AF4}"/>
    <cellStyle name="Normal 5 2 2 2 2 3 2 2 5" xfId="11576" xr:uid="{8CA0EB12-009B-490E-AA6B-A1A04F73212F}"/>
    <cellStyle name="Normal 5 2 2 2 2 3 2 3" xfId="5199" xr:uid="{00000000-0005-0000-0000-000025170000}"/>
    <cellStyle name="Normal 5 2 2 2 2 3 2 3 2" xfId="30538" xr:uid="{D58EE7F0-AFFE-40C4-9133-87F8965D4A47}"/>
    <cellStyle name="Normal 5 2 2 2 2 3 2 3 3" xfId="22097" xr:uid="{9A8A55C6-40F4-45FE-8288-CAB84AB8E4F6}"/>
    <cellStyle name="Normal 5 2 2 2 2 3 2 3 4" xfId="13649" xr:uid="{A7DABEC3-17E2-4EDF-A3F3-BB920A06532B}"/>
    <cellStyle name="Normal 5 2 2 2 2 3 2 4" xfId="26320" xr:uid="{CC46D99A-CF17-4D33-91FB-AC9FDA4A0310}"/>
    <cellStyle name="Normal 5 2 2 2 2 3 2 5" xfId="17879" xr:uid="{7A42B1AC-EAB3-471B-BA1B-9C37DD448185}"/>
    <cellStyle name="Normal 5 2 2 2 2 3 2 6" xfId="9431" xr:uid="{17460407-3FF1-4DD8-8B84-8281435AAE2A}"/>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33096" xr:uid="{A828E56E-FBA1-4EB9-8D97-36A4EE969C64}"/>
    <cellStyle name="Normal 5 2 2 2 2 3 3 2 2 3" xfId="24655" xr:uid="{FB0B632F-C620-4374-9DFC-DF2D82518AB1}"/>
    <cellStyle name="Normal 5 2 2 2 2 3 3 2 2 4" xfId="16207" xr:uid="{27F0C38B-1CBC-47A8-B068-04D3CF865262}"/>
    <cellStyle name="Normal 5 2 2 2 2 3 3 2 3" xfId="28878" xr:uid="{3D6A0899-D5F7-4D8D-A849-F2D82EF92FD6}"/>
    <cellStyle name="Normal 5 2 2 2 2 3 3 2 4" xfId="20437" xr:uid="{236D1829-0358-48BA-A5BA-56A241601634}"/>
    <cellStyle name="Normal 5 2 2 2 2 3 3 2 5" xfId="11989" xr:uid="{4A3B9096-DBAB-4F05-9ED6-F663988551CA}"/>
    <cellStyle name="Normal 5 2 2 2 2 3 3 3" xfId="5612" xr:uid="{00000000-0005-0000-0000-000029170000}"/>
    <cellStyle name="Normal 5 2 2 2 2 3 3 3 2" xfId="30951" xr:uid="{508A6F6D-9162-48C1-8B90-D76437C7C202}"/>
    <cellStyle name="Normal 5 2 2 2 2 3 3 3 3" xfId="22510" xr:uid="{DA0E1717-D091-4164-AEAA-48CB9C458057}"/>
    <cellStyle name="Normal 5 2 2 2 2 3 3 3 4" xfId="14062" xr:uid="{7A197126-CCA6-4E99-850A-EC28CA858BF3}"/>
    <cellStyle name="Normal 5 2 2 2 2 3 3 4" xfId="26733" xr:uid="{DC10DF10-31B9-4BDA-BA0F-CD8CB0C10CDB}"/>
    <cellStyle name="Normal 5 2 2 2 2 3 3 5" xfId="18292" xr:uid="{469B9B0E-F578-4037-8BF6-C1A30FF014D8}"/>
    <cellStyle name="Normal 5 2 2 2 2 3 3 6" xfId="9844" xr:uid="{9E567DA1-0505-42B7-A1BD-B6141918926E}"/>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33509" xr:uid="{31D2C3DC-A739-4EE9-973C-13414DACB371}"/>
    <cellStyle name="Normal 5 2 2 2 2 3 4 2 2 3" xfId="25068" xr:uid="{FE274240-A02D-47B9-BB8B-364819B8A206}"/>
    <cellStyle name="Normal 5 2 2 2 2 3 4 2 2 4" xfId="16620" xr:uid="{FB2F9AF6-AB41-482D-A6B2-4A0C5C0B661D}"/>
    <cellStyle name="Normal 5 2 2 2 2 3 4 2 3" xfId="29291" xr:uid="{5C5E6089-E99B-438A-B774-0048938BA5BC}"/>
    <cellStyle name="Normal 5 2 2 2 2 3 4 2 4" xfId="20850" xr:uid="{409729AA-8871-42BB-9372-9BC23062D32E}"/>
    <cellStyle name="Normal 5 2 2 2 2 3 4 2 5" xfId="12402" xr:uid="{92952E8A-2311-4FAC-80A8-2686A3CE9E3D}"/>
    <cellStyle name="Normal 5 2 2 2 2 3 4 3" xfId="6025" xr:uid="{00000000-0005-0000-0000-00002D170000}"/>
    <cellStyle name="Normal 5 2 2 2 2 3 4 3 2" xfId="31364" xr:uid="{713019F8-DAEB-42D3-A4F8-96009160991F}"/>
    <cellStyle name="Normal 5 2 2 2 2 3 4 3 3" xfId="22923" xr:uid="{79ACB388-CD5D-4F07-8DA2-3BE26C2CCC7C}"/>
    <cellStyle name="Normal 5 2 2 2 2 3 4 3 4" xfId="14475" xr:uid="{25C8A144-7313-4194-8F38-44EBF437672B}"/>
    <cellStyle name="Normal 5 2 2 2 2 3 4 4" xfId="27146" xr:uid="{07411776-BC78-4971-AB34-C8AE3FF10A52}"/>
    <cellStyle name="Normal 5 2 2 2 2 3 4 5" xfId="18705" xr:uid="{BAF8D8D6-B16A-4B5C-81DF-115368BBAE89}"/>
    <cellStyle name="Normal 5 2 2 2 2 3 4 6" xfId="10257" xr:uid="{00882A8D-DA76-4CBD-BBA1-9CF0915379DE}"/>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33922" xr:uid="{4EFFEF3A-D6DD-468E-9B68-D48BE62A89FB}"/>
    <cellStyle name="Normal 5 2 2 2 2 3 5 2 2 3" xfId="25481" xr:uid="{7A33948D-F362-4967-BD88-CC9C2E539510}"/>
    <cellStyle name="Normal 5 2 2 2 2 3 5 2 2 4" xfId="17033" xr:uid="{A9E4AF45-1A83-4BBE-92F8-13F3D4644E36}"/>
    <cellStyle name="Normal 5 2 2 2 2 3 5 2 3" xfId="29704" xr:uid="{CF2550F9-2FCE-407C-A20E-0861A3ED73D9}"/>
    <cellStyle name="Normal 5 2 2 2 2 3 5 2 4" xfId="21263" xr:uid="{2016ADCB-EEED-4A35-9642-32F54791597C}"/>
    <cellStyle name="Normal 5 2 2 2 2 3 5 2 5" xfId="12815" xr:uid="{EF7923FF-83CC-4BD9-A899-4D320BF43BE1}"/>
    <cellStyle name="Normal 5 2 2 2 2 3 5 3" xfId="6438" xr:uid="{00000000-0005-0000-0000-000031170000}"/>
    <cellStyle name="Normal 5 2 2 2 2 3 5 3 2" xfId="31777" xr:uid="{3194A6D3-64EF-4AC1-AA01-9D232743DA62}"/>
    <cellStyle name="Normal 5 2 2 2 2 3 5 3 3" xfId="23336" xr:uid="{5582FB43-DB9B-453C-8584-CD831CE5B8AD}"/>
    <cellStyle name="Normal 5 2 2 2 2 3 5 3 4" xfId="14888" xr:uid="{C96E134F-2BB2-4E8F-B2E9-151AD6BDFAFA}"/>
    <cellStyle name="Normal 5 2 2 2 2 3 5 4" xfId="27559" xr:uid="{89F37C57-A93B-4508-A193-445E35B492AA}"/>
    <cellStyle name="Normal 5 2 2 2 2 3 5 5" xfId="19118" xr:uid="{D0BD9F1B-0439-44F3-925F-F3A86F213BE7}"/>
    <cellStyle name="Normal 5 2 2 2 2 3 5 6" xfId="10670" xr:uid="{CE6E1829-DA6B-42C2-95AE-3881DA9E5D68}"/>
    <cellStyle name="Normal 5 2 2 2 2 3 6" xfId="2568" xr:uid="{00000000-0005-0000-0000-000032170000}"/>
    <cellStyle name="Normal 5 2 2 2 2 3 6 2" xfId="6851" xr:uid="{00000000-0005-0000-0000-000033170000}"/>
    <cellStyle name="Normal 5 2 2 2 2 3 6 2 2" xfId="32190" xr:uid="{04752900-BC91-4E3D-B9AF-A5FA7139E9A1}"/>
    <cellStyle name="Normal 5 2 2 2 2 3 6 2 3" xfId="23749" xr:uid="{2BB52104-1DFB-4243-9469-E2C41BE68A8B}"/>
    <cellStyle name="Normal 5 2 2 2 2 3 6 2 4" xfId="15301" xr:uid="{70A321E3-2490-49E2-9502-547512734218}"/>
    <cellStyle name="Normal 5 2 2 2 2 3 6 3" xfId="27972" xr:uid="{3DD13E3B-26C2-42B6-93FC-0179305A31B5}"/>
    <cellStyle name="Normal 5 2 2 2 2 3 6 4" xfId="19531" xr:uid="{CD8E33D2-CF54-4658-935F-7FF0A87CCCC3}"/>
    <cellStyle name="Normal 5 2 2 2 2 3 6 5" xfId="11083" xr:uid="{80E2C8D5-187F-4D95-93F0-E65C5F71C8C7}"/>
    <cellStyle name="Normal 5 2 2 2 2 3 7" xfId="4786" xr:uid="{00000000-0005-0000-0000-000034170000}"/>
    <cellStyle name="Normal 5 2 2 2 2 3 7 2" xfId="30125" xr:uid="{9D48AC4B-B415-49BE-B604-052088C8C5E6}"/>
    <cellStyle name="Normal 5 2 2 2 2 3 7 3" xfId="21684" xr:uid="{7675F53A-4C5B-4FD3-8286-0B074A15062D}"/>
    <cellStyle name="Normal 5 2 2 2 2 3 7 4" xfId="13236" xr:uid="{3F2BB175-4B27-4324-BC4E-32D533FACB53}"/>
    <cellStyle name="Normal 5 2 2 2 2 3 8" xfId="25907" xr:uid="{A8B6004C-9B65-47F6-939F-F9C021966C30}"/>
    <cellStyle name="Normal 5 2 2 2 2 3 9" xfId="17466" xr:uid="{BEDBA9EA-93CC-441E-9971-DF9E908E332B}"/>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32680" xr:uid="{59FD05CA-7449-4AFC-9C3C-5BE1FA98D4BF}"/>
    <cellStyle name="Normal 5 2 2 2 2 4 2 2 3" xfId="24239" xr:uid="{2C73AF25-AE89-4726-AA71-3F1B133D021A}"/>
    <cellStyle name="Normal 5 2 2 2 2 4 2 2 4" xfId="15791" xr:uid="{3CE770F0-28B0-4A14-8E60-E9A0D21C8848}"/>
    <cellStyle name="Normal 5 2 2 2 2 4 2 3" xfId="28462" xr:uid="{D261AA95-1F62-4849-81D2-093DBE6A0BA1}"/>
    <cellStyle name="Normal 5 2 2 2 2 4 2 4" xfId="20021" xr:uid="{0F899DD1-2B81-4DC9-999C-FE42A9B8ED18}"/>
    <cellStyle name="Normal 5 2 2 2 2 4 2 5" xfId="11573" xr:uid="{C8158F12-671C-4454-9A79-CFE4F70D0BD3}"/>
    <cellStyle name="Normal 5 2 2 2 2 4 3" xfId="5196" xr:uid="{00000000-0005-0000-0000-000038170000}"/>
    <cellStyle name="Normal 5 2 2 2 2 4 3 2" xfId="30535" xr:uid="{F44D1888-087E-40E0-8340-44AD22172828}"/>
    <cellStyle name="Normal 5 2 2 2 2 4 3 3" xfId="22094" xr:uid="{1D8F59C7-BA88-4420-ABCC-98B5F1557E6B}"/>
    <cellStyle name="Normal 5 2 2 2 2 4 3 4" xfId="13646" xr:uid="{E4ABFE34-263C-4CAD-814B-DB3B2D226445}"/>
    <cellStyle name="Normal 5 2 2 2 2 4 4" xfId="26317" xr:uid="{BA70F603-6849-4D33-9392-EA2E5FFB0785}"/>
    <cellStyle name="Normal 5 2 2 2 2 4 5" xfId="17876" xr:uid="{59E63CCB-6B8C-4A86-BAD6-780C51FC77A3}"/>
    <cellStyle name="Normal 5 2 2 2 2 4 6" xfId="9428" xr:uid="{C16D5AD3-79F4-4E2F-A26C-CDB68B139732}"/>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33093" xr:uid="{5EEAAA01-FF7E-4B27-AA32-5BD829AD1C8E}"/>
    <cellStyle name="Normal 5 2 2 2 2 5 2 2 3" xfId="24652" xr:uid="{31E2197E-6B80-40B4-9581-C04272F4E932}"/>
    <cellStyle name="Normal 5 2 2 2 2 5 2 2 4" xfId="16204" xr:uid="{ADB002A6-D48A-4BBB-A9C8-ADE772B199D1}"/>
    <cellStyle name="Normal 5 2 2 2 2 5 2 3" xfId="28875" xr:uid="{478B7B66-F43F-4569-BDCF-028B73DFCC7E}"/>
    <cellStyle name="Normal 5 2 2 2 2 5 2 4" xfId="20434" xr:uid="{9E827616-737C-4772-97A2-0A382C2B8BCF}"/>
    <cellStyle name="Normal 5 2 2 2 2 5 2 5" xfId="11986" xr:uid="{2BA138D2-76A0-4F77-BB43-36A370E5807A}"/>
    <cellStyle name="Normal 5 2 2 2 2 5 3" xfId="5609" xr:uid="{00000000-0005-0000-0000-00003C170000}"/>
    <cellStyle name="Normal 5 2 2 2 2 5 3 2" xfId="30948" xr:uid="{15F64EAC-E899-4F28-8FD5-CEBD9DCDE567}"/>
    <cellStyle name="Normal 5 2 2 2 2 5 3 3" xfId="22507" xr:uid="{443C1B75-18F9-41AA-A22E-58EDF53FFD7F}"/>
    <cellStyle name="Normal 5 2 2 2 2 5 3 4" xfId="14059" xr:uid="{D547E806-7504-4D76-A72B-91EBB5E0A7AB}"/>
    <cellStyle name="Normal 5 2 2 2 2 5 4" xfId="26730" xr:uid="{7E35BC25-1300-469A-B384-71561FF71EE8}"/>
    <cellStyle name="Normal 5 2 2 2 2 5 5" xfId="18289" xr:uid="{DD48B7C7-D42F-48EF-92AD-5208F650BB87}"/>
    <cellStyle name="Normal 5 2 2 2 2 5 6" xfId="9841" xr:uid="{ED7D5356-0F65-429F-BFCC-BB3FB1C769B3}"/>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33506" xr:uid="{FD85BBAF-5AC8-4E2F-BFAE-3D74A3DAF01A}"/>
    <cellStyle name="Normal 5 2 2 2 2 6 2 2 3" xfId="25065" xr:uid="{F15E492B-204C-4B74-9656-7C4E6E1E3C4F}"/>
    <cellStyle name="Normal 5 2 2 2 2 6 2 2 4" xfId="16617" xr:uid="{22139D01-EC5D-4EF3-AA2D-21D73FD40584}"/>
    <cellStyle name="Normal 5 2 2 2 2 6 2 3" xfId="29288" xr:uid="{8990EB34-3F7A-45DD-B7BE-BB65C485385A}"/>
    <cellStyle name="Normal 5 2 2 2 2 6 2 4" xfId="20847" xr:uid="{7DB70A5A-8744-41E8-B298-689F5778FCB8}"/>
    <cellStyle name="Normal 5 2 2 2 2 6 2 5" xfId="12399" xr:uid="{CAB80601-4275-42BC-8827-42EBACCE26AC}"/>
    <cellStyle name="Normal 5 2 2 2 2 6 3" xfId="6022" xr:uid="{00000000-0005-0000-0000-000040170000}"/>
    <cellStyle name="Normal 5 2 2 2 2 6 3 2" xfId="31361" xr:uid="{0C5AAAA7-64C5-415D-BFB5-81D6D9B5EA2B}"/>
    <cellStyle name="Normal 5 2 2 2 2 6 3 3" xfId="22920" xr:uid="{254D091D-F237-49C6-A4E3-AC3314A2A3AC}"/>
    <cellStyle name="Normal 5 2 2 2 2 6 3 4" xfId="14472" xr:uid="{C9CFABEF-C931-4729-9962-293AB16C50D4}"/>
    <cellStyle name="Normal 5 2 2 2 2 6 4" xfId="27143" xr:uid="{990F5CD8-F868-461B-8BA2-B817157A5470}"/>
    <cellStyle name="Normal 5 2 2 2 2 6 5" xfId="18702" xr:uid="{F79018CF-4707-4522-AA74-F739434C8E26}"/>
    <cellStyle name="Normal 5 2 2 2 2 6 6" xfId="10254" xr:uid="{D77B569E-A9E7-47B9-9A10-C13391526A5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33919" xr:uid="{874153E2-9C22-4005-A4D6-AA4DD2ED1BEB}"/>
    <cellStyle name="Normal 5 2 2 2 2 7 2 2 3" xfId="25478" xr:uid="{849CA53F-E287-44BB-8295-9EE138350F2C}"/>
    <cellStyle name="Normal 5 2 2 2 2 7 2 2 4" xfId="17030" xr:uid="{22361847-7A44-46A9-A484-41790F32B1CC}"/>
    <cellStyle name="Normal 5 2 2 2 2 7 2 3" xfId="29701" xr:uid="{0A07A314-8F3B-4E9E-9DCA-5F958AEE19CD}"/>
    <cellStyle name="Normal 5 2 2 2 2 7 2 4" xfId="21260" xr:uid="{DA4CAC13-032D-4019-8172-9CF51A0191D2}"/>
    <cellStyle name="Normal 5 2 2 2 2 7 2 5" xfId="12812" xr:uid="{D2F2EB88-6383-4CDE-BE53-24F850733DBF}"/>
    <cellStyle name="Normal 5 2 2 2 2 7 3" xfId="6435" xr:uid="{00000000-0005-0000-0000-000044170000}"/>
    <cellStyle name="Normal 5 2 2 2 2 7 3 2" xfId="31774" xr:uid="{321C13C3-3298-4BC6-95ED-576C573229ED}"/>
    <cellStyle name="Normal 5 2 2 2 2 7 3 3" xfId="23333" xr:uid="{F8378DB9-9E7B-4715-BF1B-D8B0DB17C9EC}"/>
    <cellStyle name="Normal 5 2 2 2 2 7 3 4" xfId="14885" xr:uid="{DC83B077-4422-4212-BF8D-5B17F41EEE80}"/>
    <cellStyle name="Normal 5 2 2 2 2 7 4" xfId="27556" xr:uid="{6233BF3B-33BF-4A7F-92EE-3B6831BFACAE}"/>
    <cellStyle name="Normal 5 2 2 2 2 7 5" xfId="19115" xr:uid="{6574CC36-9ED6-4501-B8B8-9EC2610701B8}"/>
    <cellStyle name="Normal 5 2 2 2 2 7 6" xfId="10667" xr:uid="{1F4DCCF5-2E28-492C-A785-C0D9FD6E49FC}"/>
    <cellStyle name="Normal 5 2 2 2 2 8" xfId="2565" xr:uid="{00000000-0005-0000-0000-000045170000}"/>
    <cellStyle name="Normal 5 2 2 2 2 8 2" xfId="6848" xr:uid="{00000000-0005-0000-0000-000046170000}"/>
    <cellStyle name="Normal 5 2 2 2 2 8 2 2" xfId="32187" xr:uid="{5265F5FC-0317-4CF5-8314-83EC3C6B71CF}"/>
    <cellStyle name="Normal 5 2 2 2 2 8 2 3" xfId="23746" xr:uid="{3E416E26-AB82-4353-9870-7D24104E6A96}"/>
    <cellStyle name="Normal 5 2 2 2 2 8 2 4" xfId="15298" xr:uid="{313E3311-BCBD-415A-A067-551CA53E4385}"/>
    <cellStyle name="Normal 5 2 2 2 2 8 3" xfId="27969" xr:uid="{E917C4B8-0225-4323-A1EB-C0F8482E1B16}"/>
    <cellStyle name="Normal 5 2 2 2 2 8 4" xfId="19528" xr:uid="{9DBF2B34-3E80-4D9B-B408-766EEB6E749A}"/>
    <cellStyle name="Normal 5 2 2 2 2 8 5" xfId="11080" xr:uid="{AB49DE20-5AFA-4374-989B-0AADEA4E4708}"/>
    <cellStyle name="Normal 5 2 2 2 2 9" xfId="4783" xr:uid="{00000000-0005-0000-0000-000047170000}"/>
    <cellStyle name="Normal 5 2 2 2 2 9 2" xfId="30122" xr:uid="{AB766D4B-45CA-474F-B170-967639723C62}"/>
    <cellStyle name="Normal 5 2 2 2 2 9 3" xfId="21681" xr:uid="{429EE16F-95BE-4A10-B34B-8FD5D50C90A4}"/>
    <cellStyle name="Normal 5 2 2 2 2 9 4" xfId="13233" xr:uid="{720D35B9-3AB5-4FDA-8F93-6978114B3BF9}"/>
    <cellStyle name="Normal 5 2 2 2 3" xfId="414" xr:uid="{00000000-0005-0000-0000-000048170000}"/>
    <cellStyle name="Normal 5 2 2 2 3 10" xfId="17467" xr:uid="{3F7EFBB4-C292-4F2F-9B79-65EECFE6F348}"/>
    <cellStyle name="Normal 5 2 2 2 3 11" xfId="9019" xr:uid="{7D578C3C-4910-436F-93ED-89BE767D261B}"/>
    <cellStyle name="Normal 5 2 2 2 3 2" xfId="415" xr:uid="{00000000-0005-0000-0000-000049170000}"/>
    <cellStyle name="Normal 5 2 2 2 3 2 10" xfId="9020" xr:uid="{998CB8C3-8C2C-4EB4-9AC2-C9005B5B091C}"/>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32685" xr:uid="{5B3889CB-5293-435A-8604-143633885E1A}"/>
    <cellStyle name="Normal 5 2 2 2 3 2 2 2 2 3" xfId="24244" xr:uid="{779AEDD6-6375-4705-B883-E5558B138175}"/>
    <cellStyle name="Normal 5 2 2 2 3 2 2 2 2 4" xfId="15796" xr:uid="{93542E12-CFCB-44E1-8C46-F0350D8E265C}"/>
    <cellStyle name="Normal 5 2 2 2 3 2 2 2 3" xfId="28467" xr:uid="{E46B586D-158A-4C48-A511-CFF0A7D5E56B}"/>
    <cellStyle name="Normal 5 2 2 2 3 2 2 2 4" xfId="20026" xr:uid="{92D55140-A8CB-42EE-872E-4E1C38BB2308}"/>
    <cellStyle name="Normal 5 2 2 2 3 2 2 2 5" xfId="11578" xr:uid="{83C89FCA-C460-4C9F-ACF5-82EBE3B15267}"/>
    <cellStyle name="Normal 5 2 2 2 3 2 2 3" xfId="5201" xr:uid="{00000000-0005-0000-0000-00004D170000}"/>
    <cellStyle name="Normal 5 2 2 2 3 2 2 3 2" xfId="30540" xr:uid="{CBA66DAE-A574-42C3-A823-EC23F6C6932E}"/>
    <cellStyle name="Normal 5 2 2 2 3 2 2 3 3" xfId="22099" xr:uid="{81CFEF36-ED2D-4010-8962-10DB69F660A6}"/>
    <cellStyle name="Normal 5 2 2 2 3 2 2 3 4" xfId="13651" xr:uid="{BD2FA0D9-F317-47DC-8A2A-141AA42EFE6C}"/>
    <cellStyle name="Normal 5 2 2 2 3 2 2 4" xfId="26322" xr:uid="{EE864860-69FD-403D-B543-AFE7F32FAC62}"/>
    <cellStyle name="Normal 5 2 2 2 3 2 2 5" xfId="17881" xr:uid="{BB4A58C0-634E-4556-A408-9FF4E29CD7E3}"/>
    <cellStyle name="Normal 5 2 2 2 3 2 2 6" xfId="9433" xr:uid="{58E6170E-61C3-48CE-A736-44D71FAF42F8}"/>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33098" xr:uid="{164BB5CE-C3A8-462B-868D-DB402CFAB083}"/>
    <cellStyle name="Normal 5 2 2 2 3 2 3 2 2 3" xfId="24657" xr:uid="{93FB0F57-9ED8-4006-877A-77929FDC9B32}"/>
    <cellStyle name="Normal 5 2 2 2 3 2 3 2 2 4" xfId="16209" xr:uid="{0ACD635F-C7ED-4312-9D25-95F0B192D4D8}"/>
    <cellStyle name="Normal 5 2 2 2 3 2 3 2 3" xfId="28880" xr:uid="{DEEF5B48-15CE-495B-AACD-FA55A02CE2BF}"/>
    <cellStyle name="Normal 5 2 2 2 3 2 3 2 4" xfId="20439" xr:uid="{E068DD41-E153-41D2-BD2D-B1E84B50D9DF}"/>
    <cellStyle name="Normal 5 2 2 2 3 2 3 2 5" xfId="11991" xr:uid="{242B6E8D-31FF-443A-B25C-E469D8705381}"/>
    <cellStyle name="Normal 5 2 2 2 3 2 3 3" xfId="5614" xr:uid="{00000000-0005-0000-0000-000051170000}"/>
    <cellStyle name="Normal 5 2 2 2 3 2 3 3 2" xfId="30953" xr:uid="{E1799391-3873-481E-BBFA-8634140F0E0B}"/>
    <cellStyle name="Normal 5 2 2 2 3 2 3 3 3" xfId="22512" xr:uid="{38397D48-B475-4ABE-AB3B-6F306A3EC66D}"/>
    <cellStyle name="Normal 5 2 2 2 3 2 3 3 4" xfId="14064" xr:uid="{76A83B97-8E40-4E2B-B87F-63B3F5C32F2A}"/>
    <cellStyle name="Normal 5 2 2 2 3 2 3 4" xfId="26735" xr:uid="{01FA8C0A-B534-431B-9A0C-9CC3116AA6F7}"/>
    <cellStyle name="Normal 5 2 2 2 3 2 3 5" xfId="18294" xr:uid="{85905AB1-D885-433E-A0E7-8263D3A224CE}"/>
    <cellStyle name="Normal 5 2 2 2 3 2 3 6" xfId="9846" xr:uid="{2F3986DD-FB42-48E9-87EC-F9730E6F5005}"/>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33511" xr:uid="{55B11324-CEBD-4E02-B8B1-22287849C58B}"/>
    <cellStyle name="Normal 5 2 2 2 3 2 4 2 2 3" xfId="25070" xr:uid="{4592DA6A-634A-4EE2-A077-2C456E7D1E7A}"/>
    <cellStyle name="Normal 5 2 2 2 3 2 4 2 2 4" xfId="16622" xr:uid="{C887C6C8-284C-4466-A28A-7F600ECC1526}"/>
    <cellStyle name="Normal 5 2 2 2 3 2 4 2 3" xfId="29293" xr:uid="{767DBB29-9FC7-4CDE-9FD2-55BEB9598EF4}"/>
    <cellStyle name="Normal 5 2 2 2 3 2 4 2 4" xfId="20852" xr:uid="{3CC67C45-72A1-4FDA-ADA2-0AC203FD3B43}"/>
    <cellStyle name="Normal 5 2 2 2 3 2 4 2 5" xfId="12404" xr:uid="{6D8B9FAF-D37E-4631-B5BC-508C83AD49F2}"/>
    <cellStyle name="Normal 5 2 2 2 3 2 4 3" xfId="6027" xr:uid="{00000000-0005-0000-0000-000055170000}"/>
    <cellStyle name="Normal 5 2 2 2 3 2 4 3 2" xfId="31366" xr:uid="{07057221-2B90-4F6C-9173-D8FCD43213AA}"/>
    <cellStyle name="Normal 5 2 2 2 3 2 4 3 3" xfId="22925" xr:uid="{02839732-94C7-4F93-90F2-13A03B599ADF}"/>
    <cellStyle name="Normal 5 2 2 2 3 2 4 3 4" xfId="14477" xr:uid="{61F3A6FF-7641-4CC7-B60C-261D6FD3FEAE}"/>
    <cellStyle name="Normal 5 2 2 2 3 2 4 4" xfId="27148" xr:uid="{912684AD-98A1-4C13-BD5D-8B89B9052742}"/>
    <cellStyle name="Normal 5 2 2 2 3 2 4 5" xfId="18707" xr:uid="{10BF8C56-A8D8-4108-82CD-1C36DA599443}"/>
    <cellStyle name="Normal 5 2 2 2 3 2 4 6" xfId="10259" xr:uid="{DEF8535F-59A9-4031-9FFE-4202BB6507E9}"/>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33924" xr:uid="{8603AEBD-9182-4970-86D9-794DDA85636F}"/>
    <cellStyle name="Normal 5 2 2 2 3 2 5 2 2 3" xfId="25483" xr:uid="{2F64BCA6-2BFF-45D2-89BF-2042FBC3DAE1}"/>
    <cellStyle name="Normal 5 2 2 2 3 2 5 2 2 4" xfId="17035" xr:uid="{41AB8838-B0A9-45EF-A3EC-A8DC0B6E21FE}"/>
    <cellStyle name="Normal 5 2 2 2 3 2 5 2 3" xfId="29706" xr:uid="{4980AB45-C3AE-4C48-BED5-0DD854663E34}"/>
    <cellStyle name="Normal 5 2 2 2 3 2 5 2 4" xfId="21265" xr:uid="{E6C0EDC3-0947-4F55-B82F-DBBFA3176660}"/>
    <cellStyle name="Normal 5 2 2 2 3 2 5 2 5" xfId="12817" xr:uid="{7C2E7ADB-1B0E-4198-B70F-919D948CB9E1}"/>
    <cellStyle name="Normal 5 2 2 2 3 2 5 3" xfId="6440" xr:uid="{00000000-0005-0000-0000-000059170000}"/>
    <cellStyle name="Normal 5 2 2 2 3 2 5 3 2" xfId="31779" xr:uid="{9FFC732D-F587-4CC3-972D-FD5DB7590FE1}"/>
    <cellStyle name="Normal 5 2 2 2 3 2 5 3 3" xfId="23338" xr:uid="{1349ACE6-388B-4141-A1D3-648FB0C5B7AB}"/>
    <cellStyle name="Normal 5 2 2 2 3 2 5 3 4" xfId="14890" xr:uid="{502039B7-8464-4688-A238-1C902F182014}"/>
    <cellStyle name="Normal 5 2 2 2 3 2 5 4" xfId="27561" xr:uid="{CF4C57DA-9CC0-4002-AD8B-8EE001C700D5}"/>
    <cellStyle name="Normal 5 2 2 2 3 2 5 5" xfId="19120" xr:uid="{2280B1BF-870D-4A8C-98E3-56677AFB2591}"/>
    <cellStyle name="Normal 5 2 2 2 3 2 5 6" xfId="10672" xr:uid="{08E3BD05-8FA0-4DC5-B3FA-EBC3DB5857B3}"/>
    <cellStyle name="Normal 5 2 2 2 3 2 6" xfId="2570" xr:uid="{00000000-0005-0000-0000-00005A170000}"/>
    <cellStyle name="Normal 5 2 2 2 3 2 6 2" xfId="6853" xr:uid="{00000000-0005-0000-0000-00005B170000}"/>
    <cellStyle name="Normal 5 2 2 2 3 2 6 2 2" xfId="32192" xr:uid="{005F47E0-794F-4315-9799-D78FBC71E797}"/>
    <cellStyle name="Normal 5 2 2 2 3 2 6 2 3" xfId="23751" xr:uid="{D3AD2D78-2EEA-4DF4-86BF-2EB82816211E}"/>
    <cellStyle name="Normal 5 2 2 2 3 2 6 2 4" xfId="15303" xr:uid="{9E451F52-D79C-4644-B430-6ABE86FACF90}"/>
    <cellStyle name="Normal 5 2 2 2 3 2 6 3" xfId="27974" xr:uid="{6EC5CBB5-6E34-4E60-8745-0769D17C1FE3}"/>
    <cellStyle name="Normal 5 2 2 2 3 2 6 4" xfId="19533" xr:uid="{12C8464A-9950-458D-9F0B-2E292B2A2C8F}"/>
    <cellStyle name="Normal 5 2 2 2 3 2 6 5" xfId="11085" xr:uid="{8741DC0E-F902-4036-8FA4-784EE63BF2C1}"/>
    <cellStyle name="Normal 5 2 2 2 3 2 7" xfId="4788" xr:uid="{00000000-0005-0000-0000-00005C170000}"/>
    <cellStyle name="Normal 5 2 2 2 3 2 7 2" xfId="30127" xr:uid="{4779E0AB-DB33-46E0-BD08-4518DF56BAFE}"/>
    <cellStyle name="Normal 5 2 2 2 3 2 7 3" xfId="21686" xr:uid="{D5924639-3148-4E0A-BD63-6A4672E3C510}"/>
    <cellStyle name="Normal 5 2 2 2 3 2 7 4" xfId="13238" xr:uid="{F427ED64-E76D-4BD5-8186-1AB0D7E25F3D}"/>
    <cellStyle name="Normal 5 2 2 2 3 2 8" xfId="25909" xr:uid="{C69E8B16-8720-4983-8693-7FB489BB2995}"/>
    <cellStyle name="Normal 5 2 2 2 3 2 9" xfId="17468" xr:uid="{70C64165-986C-4467-AF13-D02AACCDD24B}"/>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32684" xr:uid="{417D309C-8B92-45F4-A6EA-363AED34F76D}"/>
    <cellStyle name="Normal 5 2 2 2 3 3 2 2 3" xfId="24243" xr:uid="{0197ACE4-0C23-4F71-BD5D-2843FDFA1994}"/>
    <cellStyle name="Normal 5 2 2 2 3 3 2 2 4" xfId="15795" xr:uid="{0166B87F-5568-4E44-B26D-654B8EB28C02}"/>
    <cellStyle name="Normal 5 2 2 2 3 3 2 3" xfId="28466" xr:uid="{6609EC8C-95E3-4047-AA52-99E5342977A5}"/>
    <cellStyle name="Normal 5 2 2 2 3 3 2 4" xfId="20025" xr:uid="{C758A57B-43B1-4BA1-8B72-297159411804}"/>
    <cellStyle name="Normal 5 2 2 2 3 3 2 5" xfId="11577" xr:uid="{8F6F959F-9060-4A0E-8833-5F6D0B0911D9}"/>
    <cellStyle name="Normal 5 2 2 2 3 3 3" xfId="5200" xr:uid="{00000000-0005-0000-0000-000060170000}"/>
    <cellStyle name="Normal 5 2 2 2 3 3 3 2" xfId="30539" xr:uid="{7FED570B-79DB-440F-B543-0D0694B0E639}"/>
    <cellStyle name="Normal 5 2 2 2 3 3 3 3" xfId="22098" xr:uid="{D994FC16-3DA9-4783-9424-DF7584A940DA}"/>
    <cellStyle name="Normal 5 2 2 2 3 3 3 4" xfId="13650" xr:uid="{8746BE3A-320C-48F2-A6DA-EAB79CF68852}"/>
    <cellStyle name="Normal 5 2 2 2 3 3 4" xfId="26321" xr:uid="{68146404-5EFB-443E-9657-04C63FBE940F}"/>
    <cellStyle name="Normal 5 2 2 2 3 3 5" xfId="17880" xr:uid="{34CB42FF-39B9-4487-9B1D-1B2283C161FA}"/>
    <cellStyle name="Normal 5 2 2 2 3 3 6" xfId="9432" xr:uid="{0E208D5E-C151-452C-9E57-BEA560A24BBE}"/>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33097" xr:uid="{49B30383-97AD-45EC-9BB8-41513C0710FF}"/>
    <cellStyle name="Normal 5 2 2 2 3 4 2 2 3" xfId="24656" xr:uid="{3E55AFAC-AE91-4381-BAB9-34E2F0CCA190}"/>
    <cellStyle name="Normal 5 2 2 2 3 4 2 2 4" xfId="16208" xr:uid="{19C8C581-D71A-41D3-A626-9E4B968484C2}"/>
    <cellStyle name="Normal 5 2 2 2 3 4 2 3" xfId="28879" xr:uid="{FF475CB8-4399-4F08-AECC-10DC3F9C7D18}"/>
    <cellStyle name="Normal 5 2 2 2 3 4 2 4" xfId="20438" xr:uid="{20E47FE1-5BCF-4DBE-AC08-770EDA65CFDB}"/>
    <cellStyle name="Normal 5 2 2 2 3 4 2 5" xfId="11990" xr:uid="{B108DE1B-5497-476C-B0F9-DB23C467CCF6}"/>
    <cellStyle name="Normal 5 2 2 2 3 4 3" xfId="5613" xr:uid="{00000000-0005-0000-0000-000064170000}"/>
    <cellStyle name="Normal 5 2 2 2 3 4 3 2" xfId="30952" xr:uid="{AF61B6D4-D243-4E86-9C9F-9557FAAFD8B0}"/>
    <cellStyle name="Normal 5 2 2 2 3 4 3 3" xfId="22511" xr:uid="{44BE03DF-8F16-4A78-90BE-6A8022198E06}"/>
    <cellStyle name="Normal 5 2 2 2 3 4 3 4" xfId="14063" xr:uid="{976DD03A-ABE1-4536-8C6F-BF1D65BAC8DB}"/>
    <cellStyle name="Normal 5 2 2 2 3 4 4" xfId="26734" xr:uid="{D3225635-8725-4C51-BDC0-17D131D9212C}"/>
    <cellStyle name="Normal 5 2 2 2 3 4 5" xfId="18293" xr:uid="{183AD87C-CF42-4E33-9B83-695FAE799616}"/>
    <cellStyle name="Normal 5 2 2 2 3 4 6" xfId="9845" xr:uid="{FD985452-034F-4A25-90EC-9977C921E95B}"/>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33510" xr:uid="{E9C7EB1F-A90E-4AE4-BF23-5A17C170D51F}"/>
    <cellStyle name="Normal 5 2 2 2 3 5 2 2 3" xfId="25069" xr:uid="{1042710F-8FF0-4D09-BA44-AB174D15E771}"/>
    <cellStyle name="Normal 5 2 2 2 3 5 2 2 4" xfId="16621" xr:uid="{0F629A5C-C363-4DF0-9C71-E075B64B6581}"/>
    <cellStyle name="Normal 5 2 2 2 3 5 2 3" xfId="29292" xr:uid="{8DB2B4A1-7A6D-4738-9556-31BEAA783123}"/>
    <cellStyle name="Normal 5 2 2 2 3 5 2 4" xfId="20851" xr:uid="{B23D9AC2-F6EC-4940-B0D8-245607F815B5}"/>
    <cellStyle name="Normal 5 2 2 2 3 5 2 5" xfId="12403" xr:uid="{410B21E1-2201-4347-A4FC-43906D4B8F6E}"/>
    <cellStyle name="Normal 5 2 2 2 3 5 3" xfId="6026" xr:uid="{00000000-0005-0000-0000-000068170000}"/>
    <cellStyle name="Normal 5 2 2 2 3 5 3 2" xfId="31365" xr:uid="{F309DFE1-4867-4EB3-9B7B-D40221B28546}"/>
    <cellStyle name="Normal 5 2 2 2 3 5 3 3" xfId="22924" xr:uid="{42C0DC42-D489-4810-BEF7-8ED76DFAFE73}"/>
    <cellStyle name="Normal 5 2 2 2 3 5 3 4" xfId="14476" xr:uid="{37192DA7-2E4F-421D-AB34-5D3B45E500D5}"/>
    <cellStyle name="Normal 5 2 2 2 3 5 4" xfId="27147" xr:uid="{C56A22A5-535D-4B05-B7FC-F75F41961AC7}"/>
    <cellStyle name="Normal 5 2 2 2 3 5 5" xfId="18706" xr:uid="{76D4B8CA-FFF3-4026-889A-6A1A899275F1}"/>
    <cellStyle name="Normal 5 2 2 2 3 5 6" xfId="10258" xr:uid="{5EB879E5-B32B-4F82-A0CB-BAED5549DE22}"/>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33923" xr:uid="{97C16A2A-AB39-4D03-9E56-93B64B3B725E}"/>
    <cellStyle name="Normal 5 2 2 2 3 6 2 2 3" xfId="25482" xr:uid="{29CC710A-E92F-48A2-B558-74099F0856B3}"/>
    <cellStyle name="Normal 5 2 2 2 3 6 2 2 4" xfId="17034" xr:uid="{E2BD3D6D-CBB7-48F8-B68C-D8D89DB1C413}"/>
    <cellStyle name="Normal 5 2 2 2 3 6 2 3" xfId="29705" xr:uid="{92C6962E-C90A-4DDB-8503-3335C16A8BD1}"/>
    <cellStyle name="Normal 5 2 2 2 3 6 2 4" xfId="21264" xr:uid="{CCA9340A-F08F-4D21-B4CD-FD57AB91AE0F}"/>
    <cellStyle name="Normal 5 2 2 2 3 6 2 5" xfId="12816" xr:uid="{A0CFE865-4160-4F81-B71C-1D91EC8CE976}"/>
    <cellStyle name="Normal 5 2 2 2 3 6 3" xfId="6439" xr:uid="{00000000-0005-0000-0000-00006C170000}"/>
    <cellStyle name="Normal 5 2 2 2 3 6 3 2" xfId="31778" xr:uid="{D80E547B-C7B5-43F1-9A76-028253FE4CAC}"/>
    <cellStyle name="Normal 5 2 2 2 3 6 3 3" xfId="23337" xr:uid="{0BB74B0D-233F-4D27-8C8A-9FEEAF17FA45}"/>
    <cellStyle name="Normal 5 2 2 2 3 6 3 4" xfId="14889" xr:uid="{D4800826-A44E-44EA-AF90-44DE8FE63E65}"/>
    <cellStyle name="Normal 5 2 2 2 3 6 4" xfId="27560" xr:uid="{70371703-CFAD-4F7C-B310-444452944B51}"/>
    <cellStyle name="Normal 5 2 2 2 3 6 5" xfId="19119" xr:uid="{7B0AE90C-186E-4947-8F30-1478CB0E580B}"/>
    <cellStyle name="Normal 5 2 2 2 3 6 6" xfId="10671" xr:uid="{BBB746AD-0E54-4360-B794-0E2840024705}"/>
    <cellStyle name="Normal 5 2 2 2 3 7" xfId="2569" xr:uid="{00000000-0005-0000-0000-00006D170000}"/>
    <cellStyle name="Normal 5 2 2 2 3 7 2" xfId="6852" xr:uid="{00000000-0005-0000-0000-00006E170000}"/>
    <cellStyle name="Normal 5 2 2 2 3 7 2 2" xfId="32191" xr:uid="{0FF3EE13-61A1-4345-A6D5-ACB6636B1EF8}"/>
    <cellStyle name="Normal 5 2 2 2 3 7 2 3" xfId="23750" xr:uid="{1D6540D7-335B-4DE5-BE43-FBB3BA29C88F}"/>
    <cellStyle name="Normal 5 2 2 2 3 7 2 4" xfId="15302" xr:uid="{F9CA80B7-3C1A-4302-B81A-603CDADD455D}"/>
    <cellStyle name="Normal 5 2 2 2 3 7 3" xfId="27973" xr:uid="{D7294360-D680-4035-9B07-2370EBB76EF0}"/>
    <cellStyle name="Normal 5 2 2 2 3 7 4" xfId="19532" xr:uid="{4D9F0842-EC54-435A-8AA3-6F7A0B8BD7D6}"/>
    <cellStyle name="Normal 5 2 2 2 3 7 5" xfId="11084" xr:uid="{A13DB5C8-6500-4D64-83E4-056A2DBF55EF}"/>
    <cellStyle name="Normal 5 2 2 2 3 8" xfId="4787" xr:uid="{00000000-0005-0000-0000-00006F170000}"/>
    <cellStyle name="Normal 5 2 2 2 3 8 2" xfId="30126" xr:uid="{81AA8BB2-2ACF-4768-981E-47A36A496449}"/>
    <cellStyle name="Normal 5 2 2 2 3 8 3" xfId="21685" xr:uid="{4A8D5664-1EBD-4C3F-A1D4-BA4214E6C0D9}"/>
    <cellStyle name="Normal 5 2 2 2 3 8 4" xfId="13237" xr:uid="{6091B2F1-6E59-4ECC-AF06-7A04E11AD372}"/>
    <cellStyle name="Normal 5 2 2 2 3 9" xfId="25908" xr:uid="{C70DBE66-F5BA-482B-A647-FA85D36B7FD1}"/>
    <cellStyle name="Normal 5 2 2 2 4" xfId="416" xr:uid="{00000000-0005-0000-0000-000070170000}"/>
    <cellStyle name="Normal 5 2 2 2 4 10" xfId="9021" xr:uid="{EE84C98E-E2DC-4C2F-9057-D3E4FDF0800B}"/>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32686" xr:uid="{7D58CC59-91D6-48BE-A6BE-E65F8404A934}"/>
    <cellStyle name="Normal 5 2 2 2 4 2 2 2 3" xfId="24245" xr:uid="{25ABB26C-C86C-44B0-9611-12A7E574E997}"/>
    <cellStyle name="Normal 5 2 2 2 4 2 2 2 4" xfId="15797" xr:uid="{9489C091-3849-4923-85D2-AD90F742497B}"/>
    <cellStyle name="Normal 5 2 2 2 4 2 2 3" xfId="28468" xr:uid="{AA536D0B-6818-45EA-A9C2-548F1D5215D2}"/>
    <cellStyle name="Normal 5 2 2 2 4 2 2 4" xfId="20027" xr:uid="{28F7FDE4-66A4-4C05-8AC6-46F88D54B1C4}"/>
    <cellStyle name="Normal 5 2 2 2 4 2 2 5" xfId="11579" xr:uid="{FB111094-3E46-4883-B226-3CB2501A08B8}"/>
    <cellStyle name="Normal 5 2 2 2 4 2 3" xfId="5202" xr:uid="{00000000-0005-0000-0000-000074170000}"/>
    <cellStyle name="Normal 5 2 2 2 4 2 3 2" xfId="30541" xr:uid="{5B819EDF-8B53-4E3A-9D1C-EAF9DFF153D4}"/>
    <cellStyle name="Normal 5 2 2 2 4 2 3 3" xfId="22100" xr:uid="{C12C2CEE-D75D-4EE5-ABD2-98DD3B1E06C3}"/>
    <cellStyle name="Normal 5 2 2 2 4 2 3 4" xfId="13652" xr:uid="{E49A50ED-C2E7-4D53-826D-6C784F870F81}"/>
    <cellStyle name="Normal 5 2 2 2 4 2 4" xfId="26323" xr:uid="{0488D304-9B64-415E-89C7-8DE7E8F7B240}"/>
    <cellStyle name="Normal 5 2 2 2 4 2 5" xfId="17882" xr:uid="{C4F3C708-6121-436C-AA9B-EBEEF726DE8C}"/>
    <cellStyle name="Normal 5 2 2 2 4 2 6" xfId="9434" xr:uid="{7FD4BF47-016D-4373-B66F-FE9A319ED2FB}"/>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33099" xr:uid="{91A57700-8675-40C8-B9FC-77D61EDF2BFE}"/>
    <cellStyle name="Normal 5 2 2 2 4 3 2 2 3" xfId="24658" xr:uid="{828DFF03-073E-4141-9A6F-01F76A5D0E6E}"/>
    <cellStyle name="Normal 5 2 2 2 4 3 2 2 4" xfId="16210" xr:uid="{617CACFA-ADA1-4A15-B537-45290C847C23}"/>
    <cellStyle name="Normal 5 2 2 2 4 3 2 3" xfId="28881" xr:uid="{ABB8C058-166E-4B6E-B6A6-59AD09F39EDE}"/>
    <cellStyle name="Normal 5 2 2 2 4 3 2 4" xfId="20440" xr:uid="{48AB3CD7-3BC1-4EC4-9287-6285BAC19E37}"/>
    <cellStyle name="Normal 5 2 2 2 4 3 2 5" xfId="11992" xr:uid="{8F4452D6-66FE-4105-B3A4-2EC6074570D0}"/>
    <cellStyle name="Normal 5 2 2 2 4 3 3" xfId="5615" xr:uid="{00000000-0005-0000-0000-000078170000}"/>
    <cellStyle name="Normal 5 2 2 2 4 3 3 2" xfId="30954" xr:uid="{EEFE23BE-2551-40F7-A7DF-C796A712FD14}"/>
    <cellStyle name="Normal 5 2 2 2 4 3 3 3" xfId="22513" xr:uid="{7EB3D1E2-2497-4536-A76D-3AD9538BC05E}"/>
    <cellStyle name="Normal 5 2 2 2 4 3 3 4" xfId="14065" xr:uid="{1A6A615B-ED40-4F43-A845-B911B85B854D}"/>
    <cellStyle name="Normal 5 2 2 2 4 3 4" xfId="26736" xr:uid="{82017B6E-ADC3-433C-A6B5-3FF39A69D436}"/>
    <cellStyle name="Normal 5 2 2 2 4 3 5" xfId="18295" xr:uid="{6C8B2419-5C31-4AB3-8F62-419BF4F00E47}"/>
    <cellStyle name="Normal 5 2 2 2 4 3 6" xfId="9847" xr:uid="{C78DAB0F-AAF6-4131-B6E4-D6C34634FA85}"/>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33512" xr:uid="{BD568B06-3896-4DE0-82FD-46B58FFD36B6}"/>
    <cellStyle name="Normal 5 2 2 2 4 4 2 2 3" xfId="25071" xr:uid="{1B5805DA-23A5-41C0-8511-92B8C7A5DCE5}"/>
    <cellStyle name="Normal 5 2 2 2 4 4 2 2 4" xfId="16623" xr:uid="{A6E7D345-4781-42F6-864F-F3A3DCC5DDD6}"/>
    <cellStyle name="Normal 5 2 2 2 4 4 2 3" xfId="29294" xr:uid="{68D1CFD4-4B42-4556-8410-B01AD51A52E7}"/>
    <cellStyle name="Normal 5 2 2 2 4 4 2 4" xfId="20853" xr:uid="{73CD7D5B-8EFD-4376-97FA-86D13ADD7530}"/>
    <cellStyle name="Normal 5 2 2 2 4 4 2 5" xfId="12405" xr:uid="{1DA8F9FE-B837-4BC1-A9DE-8F1FE003901B}"/>
    <cellStyle name="Normal 5 2 2 2 4 4 3" xfId="6028" xr:uid="{00000000-0005-0000-0000-00007C170000}"/>
    <cellStyle name="Normal 5 2 2 2 4 4 3 2" xfId="31367" xr:uid="{AA9489CB-EA7E-45D1-BD75-887E57FFEF0B}"/>
    <cellStyle name="Normal 5 2 2 2 4 4 3 3" xfId="22926" xr:uid="{7ABC4249-15AB-4032-9829-CE120B969ECE}"/>
    <cellStyle name="Normal 5 2 2 2 4 4 3 4" xfId="14478" xr:uid="{BB8B7A0C-8933-464D-A28F-C8B4B4130746}"/>
    <cellStyle name="Normal 5 2 2 2 4 4 4" xfId="27149" xr:uid="{4E3F2940-3586-4145-B416-487DD23E37EF}"/>
    <cellStyle name="Normal 5 2 2 2 4 4 5" xfId="18708" xr:uid="{A26FDAAB-77EB-4A58-B46D-1F56D6B08359}"/>
    <cellStyle name="Normal 5 2 2 2 4 4 6" xfId="10260" xr:uid="{E76E6EEE-6608-46A4-875D-523642416D4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33925" xr:uid="{573FC015-A53A-4DA8-9786-541577A1EA6F}"/>
    <cellStyle name="Normal 5 2 2 2 4 5 2 2 3" xfId="25484" xr:uid="{B3C061C4-2900-4056-9710-D46D9ECBF604}"/>
    <cellStyle name="Normal 5 2 2 2 4 5 2 2 4" xfId="17036" xr:uid="{0359501B-E4EE-4E4A-81B3-F16AF7D7279A}"/>
    <cellStyle name="Normal 5 2 2 2 4 5 2 3" xfId="29707" xr:uid="{95BDF271-AF18-40A2-B815-F783B5495BBC}"/>
    <cellStyle name="Normal 5 2 2 2 4 5 2 4" xfId="21266" xr:uid="{94DC8CE1-2AD7-4E51-A286-3EE025780109}"/>
    <cellStyle name="Normal 5 2 2 2 4 5 2 5" xfId="12818" xr:uid="{DB7D9BA9-EAC4-4124-BD29-D7F0EF2302DF}"/>
    <cellStyle name="Normal 5 2 2 2 4 5 3" xfId="6441" xr:uid="{00000000-0005-0000-0000-000080170000}"/>
    <cellStyle name="Normal 5 2 2 2 4 5 3 2" xfId="31780" xr:uid="{2A7B1EAD-5E4E-49B5-AA55-5C4774328E5C}"/>
    <cellStyle name="Normal 5 2 2 2 4 5 3 3" xfId="23339" xr:uid="{84D90E90-99FB-40CA-A531-8EC047D48BD3}"/>
    <cellStyle name="Normal 5 2 2 2 4 5 3 4" xfId="14891" xr:uid="{66DF9282-6E79-4C00-8885-894347FA3E7A}"/>
    <cellStyle name="Normal 5 2 2 2 4 5 4" xfId="27562" xr:uid="{6859077B-4802-4C53-93A3-AA38059CC583}"/>
    <cellStyle name="Normal 5 2 2 2 4 5 5" xfId="19121" xr:uid="{CB6E156D-0DD8-434E-8F8D-13F846F81FB8}"/>
    <cellStyle name="Normal 5 2 2 2 4 5 6" xfId="10673" xr:uid="{754467DB-D1FF-4642-AFE2-598CCDFAF304}"/>
    <cellStyle name="Normal 5 2 2 2 4 6" xfId="2571" xr:uid="{00000000-0005-0000-0000-000081170000}"/>
    <cellStyle name="Normal 5 2 2 2 4 6 2" xfId="6854" xr:uid="{00000000-0005-0000-0000-000082170000}"/>
    <cellStyle name="Normal 5 2 2 2 4 6 2 2" xfId="32193" xr:uid="{CACAFE79-F074-4B21-A17C-16D55472BF78}"/>
    <cellStyle name="Normal 5 2 2 2 4 6 2 3" xfId="23752" xr:uid="{A52051EC-17E3-47BB-A2D5-ACD800970C0F}"/>
    <cellStyle name="Normal 5 2 2 2 4 6 2 4" xfId="15304" xr:uid="{31B80E48-90CD-4FA8-9E6A-23D9134B8D02}"/>
    <cellStyle name="Normal 5 2 2 2 4 6 3" xfId="27975" xr:uid="{712FB17E-53A1-434E-96D8-5932A581FDEC}"/>
    <cellStyle name="Normal 5 2 2 2 4 6 4" xfId="19534" xr:uid="{58D887E6-6DB7-43B3-8929-F4498FB0F5CC}"/>
    <cellStyle name="Normal 5 2 2 2 4 6 5" xfId="11086" xr:uid="{68697FED-C6F3-465A-9462-FB4AFA1C82BE}"/>
    <cellStyle name="Normal 5 2 2 2 4 7" xfId="4789" xr:uid="{00000000-0005-0000-0000-000083170000}"/>
    <cellStyle name="Normal 5 2 2 2 4 7 2" xfId="30128" xr:uid="{478324F1-A8C8-44EA-9AA6-2CC757735612}"/>
    <cellStyle name="Normal 5 2 2 2 4 7 3" xfId="21687" xr:uid="{7EA937E4-A116-4D55-806E-E0FB2A7EE7D1}"/>
    <cellStyle name="Normal 5 2 2 2 4 7 4" xfId="13239" xr:uid="{28DDE8B2-C01E-412C-9154-C4CE0DD9E574}"/>
    <cellStyle name="Normal 5 2 2 2 4 8" xfId="25910" xr:uid="{0CED27BA-6C91-4483-8EC9-D88B74C759A4}"/>
    <cellStyle name="Normal 5 2 2 2 4 9" xfId="17469" xr:uid="{38962195-7D6D-4F08-BCCA-9FB17461BE55}"/>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32679" xr:uid="{573E8735-6007-4AF0-BFEB-E32DC485A7DF}"/>
    <cellStyle name="Normal 5 2 2 2 5 2 2 3" xfId="24238" xr:uid="{4CBCBB80-2C6F-48DD-9AA3-9C081781A001}"/>
    <cellStyle name="Normal 5 2 2 2 5 2 2 4" xfId="15790" xr:uid="{A391CC3B-8536-40F6-B534-7AFDE5CA5B60}"/>
    <cellStyle name="Normal 5 2 2 2 5 2 3" xfId="28461" xr:uid="{81702559-0197-4445-8D75-F3335C0C1AA1}"/>
    <cellStyle name="Normal 5 2 2 2 5 2 4" xfId="20020" xr:uid="{257456A8-E209-410A-8DC1-9690BBD4889E}"/>
    <cellStyle name="Normal 5 2 2 2 5 2 5" xfId="11572" xr:uid="{54F2FAB7-7A3F-4E10-AF07-23D42A82A5A2}"/>
    <cellStyle name="Normal 5 2 2 2 5 3" xfId="5195" xr:uid="{00000000-0005-0000-0000-000087170000}"/>
    <cellStyle name="Normal 5 2 2 2 5 3 2" xfId="30534" xr:uid="{6B250B46-A911-4455-A670-6758D4D68BDB}"/>
    <cellStyle name="Normal 5 2 2 2 5 3 3" xfId="22093" xr:uid="{E2DE2D30-2DAF-4259-AC5D-B2A6623433D1}"/>
    <cellStyle name="Normal 5 2 2 2 5 3 4" xfId="13645" xr:uid="{EC360B5F-547B-45AB-A0FE-729D93614D6A}"/>
    <cellStyle name="Normal 5 2 2 2 5 4" xfId="26316" xr:uid="{4AAA10F7-291F-4D2F-80E4-EF09B03AAB73}"/>
    <cellStyle name="Normal 5 2 2 2 5 5" xfId="17875" xr:uid="{24E87E8E-C398-4878-B96D-EA8A46972D28}"/>
    <cellStyle name="Normal 5 2 2 2 5 6" xfId="9427" xr:uid="{74DAF6A4-0ABF-4D6A-9D44-008C1E31FDC1}"/>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33092" xr:uid="{DE544292-5C7C-4F9D-8EB8-24C9B1EF97F1}"/>
    <cellStyle name="Normal 5 2 2 2 6 2 2 3" xfId="24651" xr:uid="{37562B33-894A-4CAC-8FB5-40D330D94624}"/>
    <cellStyle name="Normal 5 2 2 2 6 2 2 4" xfId="16203" xr:uid="{3C1B3322-56C3-41FD-B69E-760E207CAE33}"/>
    <cellStyle name="Normal 5 2 2 2 6 2 3" xfId="28874" xr:uid="{6A500C3A-B555-4F03-B755-0C648A2AC73E}"/>
    <cellStyle name="Normal 5 2 2 2 6 2 4" xfId="20433" xr:uid="{B2E07BD6-0CBE-4091-AC2B-1C9783AEC8B9}"/>
    <cellStyle name="Normal 5 2 2 2 6 2 5" xfId="11985" xr:uid="{BBCA9F80-4359-4CD3-8811-BBE399EE70D9}"/>
    <cellStyle name="Normal 5 2 2 2 6 3" xfId="5608" xr:uid="{00000000-0005-0000-0000-00008B170000}"/>
    <cellStyle name="Normal 5 2 2 2 6 3 2" xfId="30947" xr:uid="{5767A36A-8F77-4B66-BF69-64431D5EA866}"/>
    <cellStyle name="Normal 5 2 2 2 6 3 3" xfId="22506" xr:uid="{8624C7FF-0853-476A-A3DF-9878D6894A64}"/>
    <cellStyle name="Normal 5 2 2 2 6 3 4" xfId="14058" xr:uid="{6D48229C-2024-445F-87A9-B8904676FA60}"/>
    <cellStyle name="Normal 5 2 2 2 6 4" xfId="26729" xr:uid="{33B9CE96-531C-4A48-BB1D-1682E6DACB6C}"/>
    <cellStyle name="Normal 5 2 2 2 6 5" xfId="18288" xr:uid="{F16566DC-4745-45CE-8F66-16BD0A9A1D7B}"/>
    <cellStyle name="Normal 5 2 2 2 6 6" xfId="9840" xr:uid="{AFFF63EC-64F1-44FB-A2F5-F0FD430AD81F}"/>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33505" xr:uid="{E609686C-7D20-4105-821C-7FF7B6B510CF}"/>
    <cellStyle name="Normal 5 2 2 2 7 2 2 3" xfId="25064" xr:uid="{544CD472-FD22-415D-B349-93F63DEE5CE0}"/>
    <cellStyle name="Normal 5 2 2 2 7 2 2 4" xfId="16616" xr:uid="{DFFBC100-4E51-41A5-9E98-961F02DF2404}"/>
    <cellStyle name="Normal 5 2 2 2 7 2 3" xfId="29287" xr:uid="{94F01AC6-0E1C-4F61-945C-9A38DCB14F4F}"/>
    <cellStyle name="Normal 5 2 2 2 7 2 4" xfId="20846" xr:uid="{F2CC3AD0-0A47-4EA6-936F-EF1F97E4EF41}"/>
    <cellStyle name="Normal 5 2 2 2 7 2 5" xfId="12398" xr:uid="{92C1CB5B-9BC6-4077-972B-CC0AB00E0116}"/>
    <cellStyle name="Normal 5 2 2 2 7 3" xfId="6021" xr:uid="{00000000-0005-0000-0000-00008F170000}"/>
    <cellStyle name="Normal 5 2 2 2 7 3 2" xfId="31360" xr:uid="{2082A4D6-64AE-4445-A5B7-126138A74027}"/>
    <cellStyle name="Normal 5 2 2 2 7 3 3" xfId="22919" xr:uid="{F32126CB-A1A4-4880-BACC-E2C6A2315566}"/>
    <cellStyle name="Normal 5 2 2 2 7 3 4" xfId="14471" xr:uid="{181E8547-FCB3-44A4-88D3-E6FE884CB4C4}"/>
    <cellStyle name="Normal 5 2 2 2 7 4" xfId="27142" xr:uid="{884D3B40-F36C-4704-9DBE-31FCA576A63E}"/>
    <cellStyle name="Normal 5 2 2 2 7 5" xfId="18701" xr:uid="{59C83B38-74DC-4B0C-999F-7680F1A459C2}"/>
    <cellStyle name="Normal 5 2 2 2 7 6" xfId="10253" xr:uid="{1253CD1E-1579-468E-9335-786E72F959FE}"/>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33918" xr:uid="{CB3FC0DF-6C3E-4EAD-8189-069AF6A1DE3B}"/>
    <cellStyle name="Normal 5 2 2 2 8 2 2 3" xfId="25477" xr:uid="{81D01E13-5924-4869-87E1-C3C7F1374C08}"/>
    <cellStyle name="Normal 5 2 2 2 8 2 2 4" xfId="17029" xr:uid="{7B422311-C807-4A1A-92BA-7D3A2A57D6D6}"/>
    <cellStyle name="Normal 5 2 2 2 8 2 3" xfId="29700" xr:uid="{BA570546-0E50-4D3D-BD36-1375306215C4}"/>
    <cellStyle name="Normal 5 2 2 2 8 2 4" xfId="21259" xr:uid="{248CAF07-1E9D-49FD-998E-6E8DC0494340}"/>
    <cellStyle name="Normal 5 2 2 2 8 2 5" xfId="12811" xr:uid="{18873C33-DA8B-4185-92C6-D429BB0FC98C}"/>
    <cellStyle name="Normal 5 2 2 2 8 3" xfId="6434" xr:uid="{00000000-0005-0000-0000-000093170000}"/>
    <cellStyle name="Normal 5 2 2 2 8 3 2" xfId="31773" xr:uid="{46D7CFFF-C894-4C41-8674-D2FBA6B71A56}"/>
    <cellStyle name="Normal 5 2 2 2 8 3 3" xfId="23332" xr:uid="{A8745BDC-F8CB-4F47-806D-412C8B2175FE}"/>
    <cellStyle name="Normal 5 2 2 2 8 3 4" xfId="14884" xr:uid="{E972B2AE-A09D-444F-A6BC-7E81F39C7E35}"/>
    <cellStyle name="Normal 5 2 2 2 8 4" xfId="27555" xr:uid="{54E65D19-7E1D-4176-B011-A677FD8375F8}"/>
    <cellStyle name="Normal 5 2 2 2 8 5" xfId="19114" xr:uid="{05C75131-C91F-431B-A337-FE2B24FB9E45}"/>
    <cellStyle name="Normal 5 2 2 2 8 6" xfId="10666" xr:uid="{026F6C5E-8A27-4AAD-BF1D-D6E1E6FE9897}"/>
    <cellStyle name="Normal 5 2 2 2 9" xfId="2564" xr:uid="{00000000-0005-0000-0000-000094170000}"/>
    <cellStyle name="Normal 5 2 2 2 9 2" xfId="6847" xr:uid="{00000000-0005-0000-0000-000095170000}"/>
    <cellStyle name="Normal 5 2 2 2 9 2 2" xfId="32186" xr:uid="{879BB3B7-4CFF-49EA-96B1-81993BD0C674}"/>
    <cellStyle name="Normal 5 2 2 2 9 2 3" xfId="23745" xr:uid="{C3A4B3B2-33B9-49D3-891F-433937AF6E15}"/>
    <cellStyle name="Normal 5 2 2 2 9 2 4" xfId="15297" xr:uid="{686E390C-107A-4F39-ADA5-328CDA604A30}"/>
    <cellStyle name="Normal 5 2 2 2 9 3" xfId="27968" xr:uid="{6AC0CD6B-2CA0-4BE8-9F85-935FF1CD0B11}"/>
    <cellStyle name="Normal 5 2 2 2 9 4" xfId="19527" xr:uid="{3C3D1C18-BB9C-4812-9554-9F6CD8D99EF5}"/>
    <cellStyle name="Normal 5 2 2 2 9 5" xfId="11079" xr:uid="{B3F5FBD2-B48C-4A0E-9ABE-79B9020D8C81}"/>
    <cellStyle name="Normal 5 2 2 3" xfId="417" xr:uid="{00000000-0005-0000-0000-000096170000}"/>
    <cellStyle name="Normal 5 2 2 3 10" xfId="25911" xr:uid="{B18A240D-E9F5-43AC-8FDC-B6ACCA28E009}"/>
    <cellStyle name="Normal 5 2 2 3 11" xfId="17470" xr:uid="{5A0811F1-ED2C-45B2-A66A-9666C47A852A}"/>
    <cellStyle name="Normal 5 2 2 3 12" xfId="9022" xr:uid="{F839857B-96EF-4665-811C-628304C42E7E}"/>
    <cellStyle name="Normal 5 2 2 3 2" xfId="418" xr:uid="{00000000-0005-0000-0000-000097170000}"/>
    <cellStyle name="Normal 5 2 2 3 2 10" xfId="17471" xr:uid="{6664DA18-78F7-44CF-9B9A-A58A9329B430}"/>
    <cellStyle name="Normal 5 2 2 3 2 11" xfId="9023" xr:uid="{DCBECF35-813D-40AA-8219-A87393835A3E}"/>
    <cellStyle name="Normal 5 2 2 3 2 2" xfId="419" xr:uid="{00000000-0005-0000-0000-000098170000}"/>
    <cellStyle name="Normal 5 2 2 3 2 2 10" xfId="9024" xr:uid="{0046D4D8-AA89-47CC-90D4-77D21BF5E888}"/>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32689" xr:uid="{34CA9368-6EFA-43BE-9FC6-6E6EE1251343}"/>
    <cellStyle name="Normal 5 2 2 3 2 2 2 2 2 3" xfId="24248" xr:uid="{00D8CC51-D649-4F70-AFEF-302183B91FE1}"/>
    <cellStyle name="Normal 5 2 2 3 2 2 2 2 2 4" xfId="15800" xr:uid="{52E21DBF-1F59-484F-AE77-5CF22F140E15}"/>
    <cellStyle name="Normal 5 2 2 3 2 2 2 2 3" xfId="28471" xr:uid="{0B7B75AE-4A08-440C-9E00-CA7FF5E2495E}"/>
    <cellStyle name="Normal 5 2 2 3 2 2 2 2 4" xfId="20030" xr:uid="{BBE57B8C-324B-459A-9427-99C618DB5979}"/>
    <cellStyle name="Normal 5 2 2 3 2 2 2 2 5" xfId="11582" xr:uid="{ECB71755-DAB5-4D7D-90B0-78998CFC0B14}"/>
    <cellStyle name="Normal 5 2 2 3 2 2 2 3" xfId="5205" xr:uid="{00000000-0005-0000-0000-00009C170000}"/>
    <cellStyle name="Normal 5 2 2 3 2 2 2 3 2" xfId="30544" xr:uid="{178A1C4E-5235-431A-AE79-2AC8B452A1BB}"/>
    <cellStyle name="Normal 5 2 2 3 2 2 2 3 3" xfId="22103" xr:uid="{850FA7E8-ABD5-4220-89A6-4E3CFAC7D863}"/>
    <cellStyle name="Normal 5 2 2 3 2 2 2 3 4" xfId="13655" xr:uid="{4E068F19-28D5-4392-A8AA-0C1B9E6B5C61}"/>
    <cellStyle name="Normal 5 2 2 3 2 2 2 4" xfId="26326" xr:uid="{14786D16-F2B0-4F9A-A5B5-47EE501FD825}"/>
    <cellStyle name="Normal 5 2 2 3 2 2 2 5" xfId="17885" xr:uid="{F0B393F9-D4D6-4BB3-9DCD-EFD015CCED6E}"/>
    <cellStyle name="Normal 5 2 2 3 2 2 2 6" xfId="9437" xr:uid="{1682879A-5A5D-4BB9-99AE-E277704085ED}"/>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33102" xr:uid="{AC64A83E-01E0-4516-98C3-F6A54950A5E1}"/>
    <cellStyle name="Normal 5 2 2 3 2 2 3 2 2 3" xfId="24661" xr:uid="{4FC021FE-5220-44F1-8FF1-E3489AD0A069}"/>
    <cellStyle name="Normal 5 2 2 3 2 2 3 2 2 4" xfId="16213" xr:uid="{FBA301B5-0110-4012-9E1B-9A7C06163445}"/>
    <cellStyle name="Normal 5 2 2 3 2 2 3 2 3" xfId="28884" xr:uid="{5B91FA9A-D6AF-4BAA-8D32-6419FB6D241A}"/>
    <cellStyle name="Normal 5 2 2 3 2 2 3 2 4" xfId="20443" xr:uid="{B31DA688-8011-45C0-B2F8-34BEDF0CD0F8}"/>
    <cellStyle name="Normal 5 2 2 3 2 2 3 2 5" xfId="11995" xr:uid="{3065F74E-6329-477D-B51E-11EF128F5814}"/>
    <cellStyle name="Normal 5 2 2 3 2 2 3 3" xfId="5618" xr:uid="{00000000-0005-0000-0000-0000A0170000}"/>
    <cellStyle name="Normal 5 2 2 3 2 2 3 3 2" xfId="30957" xr:uid="{50398791-0045-4B7B-AE80-C002413E987A}"/>
    <cellStyle name="Normal 5 2 2 3 2 2 3 3 3" xfId="22516" xr:uid="{B24A2D9E-6BCF-46B7-A0E7-2B2135A6D217}"/>
    <cellStyle name="Normal 5 2 2 3 2 2 3 3 4" xfId="14068" xr:uid="{F079FF1D-8F4A-4F86-959C-AA37320C3CF1}"/>
    <cellStyle name="Normal 5 2 2 3 2 2 3 4" xfId="26739" xr:uid="{31779119-E681-47A6-ACF1-EFDBDDABAAE9}"/>
    <cellStyle name="Normal 5 2 2 3 2 2 3 5" xfId="18298" xr:uid="{AE0C64FC-44DC-45EB-BCD4-BA1E3BA67050}"/>
    <cellStyle name="Normal 5 2 2 3 2 2 3 6" xfId="9850" xr:uid="{65D9A030-CC40-4004-9721-E9818629B624}"/>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33515" xr:uid="{849CC457-4C49-4201-9E99-BFD0E2D963F9}"/>
    <cellStyle name="Normal 5 2 2 3 2 2 4 2 2 3" xfId="25074" xr:uid="{BE4C7B99-26F4-4076-BC98-61A15CD16580}"/>
    <cellStyle name="Normal 5 2 2 3 2 2 4 2 2 4" xfId="16626" xr:uid="{8F0E0E7B-EB8A-4AF5-8B02-81894C7FD420}"/>
    <cellStyle name="Normal 5 2 2 3 2 2 4 2 3" xfId="29297" xr:uid="{E7DE8F77-3FF9-452B-9554-A83DF48E5565}"/>
    <cellStyle name="Normal 5 2 2 3 2 2 4 2 4" xfId="20856" xr:uid="{0A4EA6C8-DD45-4C78-A7EF-6E92B8065BA1}"/>
    <cellStyle name="Normal 5 2 2 3 2 2 4 2 5" xfId="12408" xr:uid="{29FC064F-2A4A-44D3-9AD6-9D4BEE0CFFD3}"/>
    <cellStyle name="Normal 5 2 2 3 2 2 4 3" xfId="6031" xr:uid="{00000000-0005-0000-0000-0000A4170000}"/>
    <cellStyle name="Normal 5 2 2 3 2 2 4 3 2" xfId="31370" xr:uid="{F61BD542-F25C-4B1E-96D4-40B7110B32F5}"/>
    <cellStyle name="Normal 5 2 2 3 2 2 4 3 3" xfId="22929" xr:uid="{8E4748FD-38AC-4949-8F3E-2CC33EC77FB9}"/>
    <cellStyle name="Normal 5 2 2 3 2 2 4 3 4" xfId="14481" xr:uid="{8DFD700A-1FF2-4EFB-9DC0-32BEBEE16787}"/>
    <cellStyle name="Normal 5 2 2 3 2 2 4 4" xfId="27152" xr:uid="{D0C25F1D-4FAA-4D55-B58C-B18599194DA5}"/>
    <cellStyle name="Normal 5 2 2 3 2 2 4 5" xfId="18711" xr:uid="{1AC0A4DD-90DD-40F7-8C10-78C4217936EB}"/>
    <cellStyle name="Normal 5 2 2 3 2 2 4 6" xfId="10263" xr:uid="{D9671914-0428-475A-830E-11EBB7F6849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33928" xr:uid="{7CB9063B-80D6-41EF-8CCC-391BD4A775A5}"/>
    <cellStyle name="Normal 5 2 2 3 2 2 5 2 2 3" xfId="25487" xr:uid="{1BE78C97-0E43-483D-B16A-7A2ABFEB7AB9}"/>
    <cellStyle name="Normal 5 2 2 3 2 2 5 2 2 4" xfId="17039" xr:uid="{4F6A6B50-59BD-495F-8C04-C9A720EC3ABD}"/>
    <cellStyle name="Normal 5 2 2 3 2 2 5 2 3" xfId="29710" xr:uid="{44478E9C-0DE7-424D-B3A5-8798E0B910CF}"/>
    <cellStyle name="Normal 5 2 2 3 2 2 5 2 4" xfId="21269" xr:uid="{D7A4AEBE-DF68-4F42-9682-2D01B2EADB42}"/>
    <cellStyle name="Normal 5 2 2 3 2 2 5 2 5" xfId="12821" xr:uid="{F5F1DF44-31FD-4830-81E7-4E0F2044AB43}"/>
    <cellStyle name="Normal 5 2 2 3 2 2 5 3" xfId="6444" xr:uid="{00000000-0005-0000-0000-0000A8170000}"/>
    <cellStyle name="Normal 5 2 2 3 2 2 5 3 2" xfId="31783" xr:uid="{60A421BF-7B66-4828-A2D8-8B1BFFB5F9CB}"/>
    <cellStyle name="Normal 5 2 2 3 2 2 5 3 3" xfId="23342" xr:uid="{56F52B6C-C6ED-4BD7-A3D1-92CC1B5A7869}"/>
    <cellStyle name="Normal 5 2 2 3 2 2 5 3 4" xfId="14894" xr:uid="{4DF56E79-37DA-4B05-9050-37EF8C3CFC95}"/>
    <cellStyle name="Normal 5 2 2 3 2 2 5 4" xfId="27565" xr:uid="{481BA7D6-5B5B-45D6-BDFF-DC5D39742782}"/>
    <cellStyle name="Normal 5 2 2 3 2 2 5 5" xfId="19124" xr:uid="{49AC412B-1645-4485-9E3F-5B8E17AC51EA}"/>
    <cellStyle name="Normal 5 2 2 3 2 2 5 6" xfId="10676" xr:uid="{9C3DB705-6831-4D1B-B30B-CE27F594FC63}"/>
    <cellStyle name="Normal 5 2 2 3 2 2 6" xfId="2574" xr:uid="{00000000-0005-0000-0000-0000A9170000}"/>
    <cellStyle name="Normal 5 2 2 3 2 2 6 2" xfId="6857" xr:uid="{00000000-0005-0000-0000-0000AA170000}"/>
    <cellStyle name="Normal 5 2 2 3 2 2 6 2 2" xfId="32196" xr:uid="{FA115C39-D3AB-425C-AB00-6AE28F08E210}"/>
    <cellStyle name="Normal 5 2 2 3 2 2 6 2 3" xfId="23755" xr:uid="{9344909E-B4CA-4A60-844C-6D516284F32F}"/>
    <cellStyle name="Normal 5 2 2 3 2 2 6 2 4" xfId="15307" xr:uid="{28F52A74-D304-4371-ADB9-C542B1C32238}"/>
    <cellStyle name="Normal 5 2 2 3 2 2 6 3" xfId="27978" xr:uid="{3A121A21-B13B-4EF5-A960-A0270FBDD036}"/>
    <cellStyle name="Normal 5 2 2 3 2 2 6 4" xfId="19537" xr:uid="{D1619691-199A-4858-9ABF-44CC8F5DDA59}"/>
    <cellStyle name="Normal 5 2 2 3 2 2 6 5" xfId="11089" xr:uid="{567145C9-445F-44DE-826F-8DCB93204CB5}"/>
    <cellStyle name="Normal 5 2 2 3 2 2 7" xfId="4792" xr:uid="{00000000-0005-0000-0000-0000AB170000}"/>
    <cellStyle name="Normal 5 2 2 3 2 2 7 2" xfId="30131" xr:uid="{134587A8-079A-4697-9160-922A2BD19DC3}"/>
    <cellStyle name="Normal 5 2 2 3 2 2 7 3" xfId="21690" xr:uid="{60E99642-E74C-47B0-88EA-EC3AC6F683BF}"/>
    <cellStyle name="Normal 5 2 2 3 2 2 7 4" xfId="13242" xr:uid="{ED3322AF-29EE-4385-B7F1-19589C64C381}"/>
    <cellStyle name="Normal 5 2 2 3 2 2 8" xfId="25913" xr:uid="{D965E205-003A-48D6-A0E1-9A901A69A27C}"/>
    <cellStyle name="Normal 5 2 2 3 2 2 9" xfId="17472" xr:uid="{64A4BA01-0CE5-4850-8515-0BBC9B33F3BA}"/>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32688" xr:uid="{0E0B66D8-0062-4C1B-BBA3-BD95574D9B5F}"/>
    <cellStyle name="Normal 5 2 2 3 2 3 2 2 3" xfId="24247" xr:uid="{2A55C747-9DB4-4999-B7A3-063A53999980}"/>
    <cellStyle name="Normal 5 2 2 3 2 3 2 2 4" xfId="15799" xr:uid="{2663C76E-A77E-45B9-90EC-02EFA05F76F2}"/>
    <cellStyle name="Normal 5 2 2 3 2 3 2 3" xfId="28470" xr:uid="{5DFE72E7-CC92-4448-8ADA-E4F947CB0396}"/>
    <cellStyle name="Normal 5 2 2 3 2 3 2 4" xfId="20029" xr:uid="{EF7A4EDD-FA6F-4074-98F8-ADC96837460D}"/>
    <cellStyle name="Normal 5 2 2 3 2 3 2 5" xfId="11581" xr:uid="{B0804F59-59B8-479C-BF7F-FF74BCDC8812}"/>
    <cellStyle name="Normal 5 2 2 3 2 3 3" xfId="5204" xr:uid="{00000000-0005-0000-0000-0000AF170000}"/>
    <cellStyle name="Normal 5 2 2 3 2 3 3 2" xfId="30543" xr:uid="{F3DD8CF1-6EB1-4260-93F5-9E280B886498}"/>
    <cellStyle name="Normal 5 2 2 3 2 3 3 3" xfId="22102" xr:uid="{A33BA6E2-766F-47E4-BAB8-5B5AA997A868}"/>
    <cellStyle name="Normal 5 2 2 3 2 3 3 4" xfId="13654" xr:uid="{9D05A665-E76E-400B-9EAA-8C531CD18184}"/>
    <cellStyle name="Normal 5 2 2 3 2 3 4" xfId="26325" xr:uid="{C9B3ED88-2B72-4EF0-9E04-76C656C6F141}"/>
    <cellStyle name="Normal 5 2 2 3 2 3 5" xfId="17884" xr:uid="{690F6799-25F9-4B48-8ABB-2FE0B8042355}"/>
    <cellStyle name="Normal 5 2 2 3 2 3 6" xfId="9436" xr:uid="{1D4C101D-3FB1-4949-BC90-51FF2961C166}"/>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33101" xr:uid="{47D2C416-76A5-492C-8736-376B0DE6CF78}"/>
    <cellStyle name="Normal 5 2 2 3 2 4 2 2 3" xfId="24660" xr:uid="{CC1B8571-4651-49CE-91D6-10177A780D51}"/>
    <cellStyle name="Normal 5 2 2 3 2 4 2 2 4" xfId="16212" xr:uid="{00E62474-E671-4A9D-9132-B1EA0AC69AFC}"/>
    <cellStyle name="Normal 5 2 2 3 2 4 2 3" xfId="28883" xr:uid="{98247683-849C-4223-825E-FE462D2D4C20}"/>
    <cellStyle name="Normal 5 2 2 3 2 4 2 4" xfId="20442" xr:uid="{1B16E4C4-BE85-4BB2-99CD-323C0B555B3C}"/>
    <cellStyle name="Normal 5 2 2 3 2 4 2 5" xfId="11994" xr:uid="{D6FBFF23-A345-4C0C-ABE3-6734C235E258}"/>
    <cellStyle name="Normal 5 2 2 3 2 4 3" xfId="5617" xr:uid="{00000000-0005-0000-0000-0000B3170000}"/>
    <cellStyle name="Normal 5 2 2 3 2 4 3 2" xfId="30956" xr:uid="{FBDD77F7-AC50-47A5-8211-C5C695B8B100}"/>
    <cellStyle name="Normal 5 2 2 3 2 4 3 3" xfId="22515" xr:uid="{1F4743CA-20D0-4C98-AC56-5CCB112DDFFD}"/>
    <cellStyle name="Normal 5 2 2 3 2 4 3 4" xfId="14067" xr:uid="{665043AF-E067-4274-8611-22DE4FC006B4}"/>
    <cellStyle name="Normal 5 2 2 3 2 4 4" xfId="26738" xr:uid="{C88827DF-2061-41A5-A2F9-AA6DDE5D6EB5}"/>
    <cellStyle name="Normal 5 2 2 3 2 4 5" xfId="18297" xr:uid="{751A6F61-A987-4CAE-99A1-4F6FCAC92B72}"/>
    <cellStyle name="Normal 5 2 2 3 2 4 6" xfId="9849" xr:uid="{5D4E5560-FA5A-46D0-92D3-7778F4D35762}"/>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33514" xr:uid="{136339FB-C357-46CB-AFFC-5E3F7118BDDF}"/>
    <cellStyle name="Normal 5 2 2 3 2 5 2 2 3" xfId="25073" xr:uid="{D9B15212-32F8-4F01-BCF0-B0030D26D6C2}"/>
    <cellStyle name="Normal 5 2 2 3 2 5 2 2 4" xfId="16625" xr:uid="{DAA2B093-B45F-4708-9FE0-B5C6FF752002}"/>
    <cellStyle name="Normal 5 2 2 3 2 5 2 3" xfId="29296" xr:uid="{BC5D3AFA-4439-4A24-9C53-27D3D437E1DC}"/>
    <cellStyle name="Normal 5 2 2 3 2 5 2 4" xfId="20855" xr:uid="{5C409910-779B-4339-8D60-F2E23D03063A}"/>
    <cellStyle name="Normal 5 2 2 3 2 5 2 5" xfId="12407" xr:uid="{DA0CB9BD-C991-4814-A5FF-90E27CF93BD9}"/>
    <cellStyle name="Normal 5 2 2 3 2 5 3" xfId="6030" xr:uid="{00000000-0005-0000-0000-0000B7170000}"/>
    <cellStyle name="Normal 5 2 2 3 2 5 3 2" xfId="31369" xr:uid="{DE2A469F-CCBE-47EB-8855-D2405818503C}"/>
    <cellStyle name="Normal 5 2 2 3 2 5 3 3" xfId="22928" xr:uid="{C71DAF47-0709-4DE5-BB65-F0FEC5A19749}"/>
    <cellStyle name="Normal 5 2 2 3 2 5 3 4" xfId="14480" xr:uid="{2CB9C40B-5E71-43A2-A40E-B8382E9139E6}"/>
    <cellStyle name="Normal 5 2 2 3 2 5 4" xfId="27151" xr:uid="{32A452AB-0CF0-400F-BFC2-2FC49AC1ECB8}"/>
    <cellStyle name="Normal 5 2 2 3 2 5 5" xfId="18710" xr:uid="{10C3272D-74FE-4942-A6A4-38F9B4C7B0EF}"/>
    <cellStyle name="Normal 5 2 2 3 2 5 6" xfId="10262" xr:uid="{FE05DD25-A7AB-42E9-ADA0-FBE846B4CD5B}"/>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33927" xr:uid="{7D8C4BA5-C360-479A-83E5-09B3F00343D7}"/>
    <cellStyle name="Normal 5 2 2 3 2 6 2 2 3" xfId="25486" xr:uid="{7802EB6B-0D52-479A-8FC5-CBC9E83DB2AE}"/>
    <cellStyle name="Normal 5 2 2 3 2 6 2 2 4" xfId="17038" xr:uid="{0C189895-DF64-4B5C-88D7-4C3F34167551}"/>
    <cellStyle name="Normal 5 2 2 3 2 6 2 3" xfId="29709" xr:uid="{2C41C9A4-48AF-4CE9-8312-034B969D9E6A}"/>
    <cellStyle name="Normal 5 2 2 3 2 6 2 4" xfId="21268" xr:uid="{0E7537C6-3C43-4D0D-B307-4015563C484C}"/>
    <cellStyle name="Normal 5 2 2 3 2 6 2 5" xfId="12820" xr:uid="{6907D065-E6C1-4A22-80BB-D0F67EDF2849}"/>
    <cellStyle name="Normal 5 2 2 3 2 6 3" xfId="6443" xr:uid="{00000000-0005-0000-0000-0000BB170000}"/>
    <cellStyle name="Normal 5 2 2 3 2 6 3 2" xfId="31782" xr:uid="{DD8F0DD7-0C3F-461F-9F74-CA9E588DEC38}"/>
    <cellStyle name="Normal 5 2 2 3 2 6 3 3" xfId="23341" xr:uid="{ED5CB264-6F35-496D-986A-7DE1BFE8DC91}"/>
    <cellStyle name="Normal 5 2 2 3 2 6 3 4" xfId="14893" xr:uid="{74AB0F3D-B1C1-48F9-A95F-FBD3375989B2}"/>
    <cellStyle name="Normal 5 2 2 3 2 6 4" xfId="27564" xr:uid="{D751E4FE-9F0C-43F7-8B1F-566F3F68F38C}"/>
    <cellStyle name="Normal 5 2 2 3 2 6 5" xfId="19123" xr:uid="{F0B0EB5F-A201-4849-A56A-AE3F6209D121}"/>
    <cellStyle name="Normal 5 2 2 3 2 6 6" xfId="10675" xr:uid="{B1004465-9F86-456A-871A-D02EC0F86F61}"/>
    <cellStyle name="Normal 5 2 2 3 2 7" xfId="2573" xr:uid="{00000000-0005-0000-0000-0000BC170000}"/>
    <cellStyle name="Normal 5 2 2 3 2 7 2" xfId="6856" xr:uid="{00000000-0005-0000-0000-0000BD170000}"/>
    <cellStyle name="Normal 5 2 2 3 2 7 2 2" xfId="32195" xr:uid="{51BD4A82-E810-42A1-A9E0-062217CD42AE}"/>
    <cellStyle name="Normal 5 2 2 3 2 7 2 3" xfId="23754" xr:uid="{D94F56BB-E799-472E-9B8F-3CD7F6933547}"/>
    <cellStyle name="Normal 5 2 2 3 2 7 2 4" xfId="15306" xr:uid="{DFC4452B-8989-4519-9D92-3FAFF2E0927F}"/>
    <cellStyle name="Normal 5 2 2 3 2 7 3" xfId="27977" xr:uid="{3DFC41C6-E85E-42A4-95E5-6D10A71603DA}"/>
    <cellStyle name="Normal 5 2 2 3 2 7 4" xfId="19536" xr:uid="{E7AB3237-3933-4675-A116-CD13BFC30A0E}"/>
    <cellStyle name="Normal 5 2 2 3 2 7 5" xfId="11088" xr:uid="{A4B0CB53-2ED4-4D37-9954-F2FB6AFBF6A6}"/>
    <cellStyle name="Normal 5 2 2 3 2 8" xfId="4791" xr:uid="{00000000-0005-0000-0000-0000BE170000}"/>
    <cellStyle name="Normal 5 2 2 3 2 8 2" xfId="30130" xr:uid="{58561A46-1E4C-4050-9FF9-337C447A7244}"/>
    <cellStyle name="Normal 5 2 2 3 2 8 3" xfId="21689" xr:uid="{2D0F2057-6535-44BF-8F91-3676818C4777}"/>
    <cellStyle name="Normal 5 2 2 3 2 8 4" xfId="13241" xr:uid="{FA05A657-CA8E-40E4-9E1E-B3112F4D924F}"/>
    <cellStyle name="Normal 5 2 2 3 2 9" xfId="25912" xr:uid="{0C36847A-5563-49C6-9B55-8DBC83CBA8FD}"/>
    <cellStyle name="Normal 5 2 2 3 3" xfId="420" xr:uid="{00000000-0005-0000-0000-0000BF170000}"/>
    <cellStyle name="Normal 5 2 2 3 3 10" xfId="9025" xr:uid="{A6702F3A-7E47-42D1-BD44-300C3F095026}"/>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32690" xr:uid="{D2AEB6AF-0B16-4403-BADC-E283E70A167D}"/>
    <cellStyle name="Normal 5 2 2 3 3 2 2 2 3" xfId="24249" xr:uid="{E63836A0-5DA5-44D5-8F39-FFF06B00FBEB}"/>
    <cellStyle name="Normal 5 2 2 3 3 2 2 2 4" xfId="15801" xr:uid="{69D9E644-4052-4125-A18D-045CC4A18F97}"/>
    <cellStyle name="Normal 5 2 2 3 3 2 2 3" xfId="28472" xr:uid="{9C146C5B-FD7D-4F5B-B6AB-D84C23BF9E2D}"/>
    <cellStyle name="Normal 5 2 2 3 3 2 2 4" xfId="20031" xr:uid="{B966AE17-0B6B-4CD7-B525-3140092905A3}"/>
    <cellStyle name="Normal 5 2 2 3 3 2 2 5" xfId="11583" xr:uid="{002A2956-117E-498D-8EF3-37D4B6007008}"/>
    <cellStyle name="Normal 5 2 2 3 3 2 3" xfId="5206" xr:uid="{00000000-0005-0000-0000-0000C3170000}"/>
    <cellStyle name="Normal 5 2 2 3 3 2 3 2" xfId="30545" xr:uid="{F078F66B-0D5C-487D-9A1B-21C302C6588B}"/>
    <cellStyle name="Normal 5 2 2 3 3 2 3 3" xfId="22104" xr:uid="{A885744D-4646-429D-AF7C-27BEA7347D12}"/>
    <cellStyle name="Normal 5 2 2 3 3 2 3 4" xfId="13656" xr:uid="{C8649D84-59FE-4573-8A04-4DD792493B9B}"/>
    <cellStyle name="Normal 5 2 2 3 3 2 4" xfId="26327" xr:uid="{565BB4C4-33C5-409E-895E-E5CE8A86FF29}"/>
    <cellStyle name="Normal 5 2 2 3 3 2 5" xfId="17886" xr:uid="{F012CC08-36A0-4B4F-B4A9-414CB1E50179}"/>
    <cellStyle name="Normal 5 2 2 3 3 2 6" xfId="9438" xr:uid="{D82C4046-571F-4097-AA25-70DF527BD5D4}"/>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33103" xr:uid="{D37344B1-77E9-42B9-8410-0391CA07A0B5}"/>
    <cellStyle name="Normal 5 2 2 3 3 3 2 2 3" xfId="24662" xr:uid="{6F945AF2-8B78-47B5-BF82-F6408BAE93F0}"/>
    <cellStyle name="Normal 5 2 2 3 3 3 2 2 4" xfId="16214" xr:uid="{9AECAB6E-393E-4C2E-87BF-B9475F7A653B}"/>
    <cellStyle name="Normal 5 2 2 3 3 3 2 3" xfId="28885" xr:uid="{D0CF7546-6804-4E8C-80DD-52EB6AAD84F0}"/>
    <cellStyle name="Normal 5 2 2 3 3 3 2 4" xfId="20444" xr:uid="{068FA829-CE0F-49A7-8A25-17F98AAF18DE}"/>
    <cellStyle name="Normal 5 2 2 3 3 3 2 5" xfId="11996" xr:uid="{0A241AA3-9234-4F0E-98F2-4B507B6776EF}"/>
    <cellStyle name="Normal 5 2 2 3 3 3 3" xfId="5619" xr:uid="{00000000-0005-0000-0000-0000C7170000}"/>
    <cellStyle name="Normal 5 2 2 3 3 3 3 2" xfId="30958" xr:uid="{CE700447-3547-46C8-B4B7-A5FBDB06B80F}"/>
    <cellStyle name="Normal 5 2 2 3 3 3 3 3" xfId="22517" xr:uid="{7B9BF48B-6DC6-4C9B-A713-D5A7797AEC4E}"/>
    <cellStyle name="Normal 5 2 2 3 3 3 3 4" xfId="14069" xr:uid="{7E9FC48E-CF17-4710-A757-786006B3C212}"/>
    <cellStyle name="Normal 5 2 2 3 3 3 4" xfId="26740" xr:uid="{4C643A95-B7F6-46D7-8532-28436F5F6A16}"/>
    <cellStyle name="Normal 5 2 2 3 3 3 5" xfId="18299" xr:uid="{278473FC-2651-47E5-AC10-AF970E04741D}"/>
    <cellStyle name="Normal 5 2 2 3 3 3 6" xfId="9851" xr:uid="{D8FF7B4B-1408-4F7C-9EBD-38C7FB746609}"/>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33516" xr:uid="{B1D22C39-C70A-449F-91C2-A26F5C946CC4}"/>
    <cellStyle name="Normal 5 2 2 3 3 4 2 2 3" xfId="25075" xr:uid="{28F1CEF0-0B47-4E51-9B93-BFE198930BCD}"/>
    <cellStyle name="Normal 5 2 2 3 3 4 2 2 4" xfId="16627" xr:uid="{164E2109-3605-4F1A-9BEC-8E3E9B90E54B}"/>
    <cellStyle name="Normal 5 2 2 3 3 4 2 3" xfId="29298" xr:uid="{B61DDA49-44A4-4CBB-8BC5-73C28D8ED0E5}"/>
    <cellStyle name="Normal 5 2 2 3 3 4 2 4" xfId="20857" xr:uid="{4065942E-357E-43EC-80DC-38C72E633A25}"/>
    <cellStyle name="Normal 5 2 2 3 3 4 2 5" xfId="12409" xr:uid="{6C7E6C91-27DE-4A80-8E28-AA047FC03081}"/>
    <cellStyle name="Normal 5 2 2 3 3 4 3" xfId="6032" xr:uid="{00000000-0005-0000-0000-0000CB170000}"/>
    <cellStyle name="Normal 5 2 2 3 3 4 3 2" xfId="31371" xr:uid="{5E866ECA-78E7-4A62-BAFC-DA6B6EFC7F6C}"/>
    <cellStyle name="Normal 5 2 2 3 3 4 3 3" xfId="22930" xr:uid="{A84642B8-7837-4A18-9CA1-A438C32E9582}"/>
    <cellStyle name="Normal 5 2 2 3 3 4 3 4" xfId="14482" xr:uid="{DF9107A2-3886-4726-A674-09371421DF3F}"/>
    <cellStyle name="Normal 5 2 2 3 3 4 4" xfId="27153" xr:uid="{7FB3A5E8-7A73-413D-B9F8-5AB5F0F52ACD}"/>
    <cellStyle name="Normal 5 2 2 3 3 4 5" xfId="18712" xr:uid="{8AC422CD-31B9-4C7A-9A05-CA4055D9B255}"/>
    <cellStyle name="Normal 5 2 2 3 3 4 6" xfId="10264" xr:uid="{9B472483-F84F-4B06-B91D-67C029B05B52}"/>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33929" xr:uid="{CC4FD13C-AAEA-4AAD-8CEA-1899C9779221}"/>
    <cellStyle name="Normal 5 2 2 3 3 5 2 2 3" xfId="25488" xr:uid="{9FE14C2D-74E1-40C3-BBCD-D2147A922B91}"/>
    <cellStyle name="Normal 5 2 2 3 3 5 2 2 4" xfId="17040" xr:uid="{A930E985-94F2-4218-AF65-8FDEE7F16055}"/>
    <cellStyle name="Normal 5 2 2 3 3 5 2 3" xfId="29711" xr:uid="{B7B21C38-104E-4A28-B45F-DCAEEE58BA8F}"/>
    <cellStyle name="Normal 5 2 2 3 3 5 2 4" xfId="21270" xr:uid="{C76ACD91-F62A-4B6D-85C0-546621E63544}"/>
    <cellStyle name="Normal 5 2 2 3 3 5 2 5" xfId="12822" xr:uid="{C6408AB3-6E9C-4859-B7D9-5D6E418E65E3}"/>
    <cellStyle name="Normal 5 2 2 3 3 5 3" xfId="6445" xr:uid="{00000000-0005-0000-0000-0000CF170000}"/>
    <cellStyle name="Normal 5 2 2 3 3 5 3 2" xfId="31784" xr:uid="{07B9F982-CD0D-4E74-9BC9-4C63CBE15418}"/>
    <cellStyle name="Normal 5 2 2 3 3 5 3 3" xfId="23343" xr:uid="{20488AC2-ECD7-4987-8AEC-EE01E2A2574C}"/>
    <cellStyle name="Normal 5 2 2 3 3 5 3 4" xfId="14895" xr:uid="{7CB441DE-A5EC-4CC9-8E70-4A1C029CDBD8}"/>
    <cellStyle name="Normal 5 2 2 3 3 5 4" xfId="27566" xr:uid="{1655E7AB-DC70-4DDE-A0AB-9A7BE4EEBA1D}"/>
    <cellStyle name="Normal 5 2 2 3 3 5 5" xfId="19125" xr:uid="{BE4FDDF5-3CAA-48F7-85F7-282E3110C957}"/>
    <cellStyle name="Normal 5 2 2 3 3 5 6" xfId="10677" xr:uid="{337B7DC5-1C1B-4DBA-80DC-666F09DC08D8}"/>
    <cellStyle name="Normal 5 2 2 3 3 6" xfId="2575" xr:uid="{00000000-0005-0000-0000-0000D0170000}"/>
    <cellStyle name="Normal 5 2 2 3 3 6 2" xfId="6858" xr:uid="{00000000-0005-0000-0000-0000D1170000}"/>
    <cellStyle name="Normal 5 2 2 3 3 6 2 2" xfId="32197" xr:uid="{84B39C4A-D9E0-408F-BA31-DC595E9830BF}"/>
    <cellStyle name="Normal 5 2 2 3 3 6 2 3" xfId="23756" xr:uid="{701528E9-7BCC-4855-B85C-7325C30E1F07}"/>
    <cellStyle name="Normal 5 2 2 3 3 6 2 4" xfId="15308" xr:uid="{BBC630AF-B8CA-4890-95C1-012E0251E18C}"/>
    <cellStyle name="Normal 5 2 2 3 3 6 3" xfId="27979" xr:uid="{C73A06A0-0B3F-456F-B5B0-FC669A0839E9}"/>
    <cellStyle name="Normal 5 2 2 3 3 6 4" xfId="19538" xr:uid="{C1A67618-3B43-4FA3-9C0A-D2954CDD27A1}"/>
    <cellStyle name="Normal 5 2 2 3 3 6 5" xfId="11090" xr:uid="{B10307A3-99C0-4017-95C2-98BF314CC12E}"/>
    <cellStyle name="Normal 5 2 2 3 3 7" xfId="4793" xr:uid="{00000000-0005-0000-0000-0000D2170000}"/>
    <cellStyle name="Normal 5 2 2 3 3 7 2" xfId="30132" xr:uid="{E48F499C-FCD8-4170-B75E-2D649A26D685}"/>
    <cellStyle name="Normal 5 2 2 3 3 7 3" xfId="21691" xr:uid="{9B300425-90CD-4F61-A154-9D1B645039B8}"/>
    <cellStyle name="Normal 5 2 2 3 3 7 4" xfId="13243" xr:uid="{87E00973-8E2C-4701-97DF-7545722BEA0E}"/>
    <cellStyle name="Normal 5 2 2 3 3 8" xfId="25914" xr:uid="{1229AD2A-80C5-4393-AFDF-696809A44317}"/>
    <cellStyle name="Normal 5 2 2 3 3 9" xfId="17473" xr:uid="{43D749ED-7DC9-4610-AF3E-A97B2A094044}"/>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32687" xr:uid="{DB269D5F-31D9-4025-912D-E4D6E6AE4566}"/>
    <cellStyle name="Normal 5 2 2 3 4 2 2 3" xfId="24246" xr:uid="{DEC5E8B8-A598-46ED-843C-B4031282C1BB}"/>
    <cellStyle name="Normal 5 2 2 3 4 2 2 4" xfId="15798" xr:uid="{B9198FE0-8431-4E55-94C4-54B8BC3774B2}"/>
    <cellStyle name="Normal 5 2 2 3 4 2 3" xfId="28469" xr:uid="{B570B445-C673-437A-ADE4-F113C1E4384F}"/>
    <cellStyle name="Normal 5 2 2 3 4 2 4" xfId="20028" xr:uid="{213B5B7B-153A-46AD-9E14-CAF4EC24F6F5}"/>
    <cellStyle name="Normal 5 2 2 3 4 2 5" xfId="11580" xr:uid="{3E40D4DA-70DD-406E-9CFE-8CA66E222803}"/>
    <cellStyle name="Normal 5 2 2 3 4 3" xfId="5203" xr:uid="{00000000-0005-0000-0000-0000D6170000}"/>
    <cellStyle name="Normal 5 2 2 3 4 3 2" xfId="30542" xr:uid="{489AE09A-E2D8-40BC-BDBF-544C2FCDEA7B}"/>
    <cellStyle name="Normal 5 2 2 3 4 3 3" xfId="22101" xr:uid="{693C1A3E-EBA1-49B4-88AF-A86149A93446}"/>
    <cellStyle name="Normal 5 2 2 3 4 3 4" xfId="13653" xr:uid="{0A0AD569-D7E2-461E-B841-53434FC0E48B}"/>
    <cellStyle name="Normal 5 2 2 3 4 4" xfId="26324" xr:uid="{A278E0CD-A907-4B59-A829-CE7FB243F0C9}"/>
    <cellStyle name="Normal 5 2 2 3 4 5" xfId="17883" xr:uid="{3CA5F04D-7FBA-4DF1-A96F-36B273CE6A07}"/>
    <cellStyle name="Normal 5 2 2 3 4 6" xfId="9435" xr:uid="{454506BC-4BA5-4054-A279-206947B4C024}"/>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33100" xr:uid="{107DBBD8-3EFA-41A9-A76D-E1EB7B0C990D}"/>
    <cellStyle name="Normal 5 2 2 3 5 2 2 3" xfId="24659" xr:uid="{4DD588A6-A3D0-449E-9BCC-022BF9132542}"/>
    <cellStyle name="Normal 5 2 2 3 5 2 2 4" xfId="16211" xr:uid="{4F994975-32B8-484D-8EE5-6DC1D40F8B9D}"/>
    <cellStyle name="Normal 5 2 2 3 5 2 3" xfId="28882" xr:uid="{C4E3E608-F879-4C2B-8158-EED57E026CD7}"/>
    <cellStyle name="Normal 5 2 2 3 5 2 4" xfId="20441" xr:uid="{114CFCF3-48AF-46F3-BADD-84AB24F2EEE8}"/>
    <cellStyle name="Normal 5 2 2 3 5 2 5" xfId="11993" xr:uid="{4A36043A-087A-46FF-B2F8-682E27B20982}"/>
    <cellStyle name="Normal 5 2 2 3 5 3" xfId="5616" xr:uid="{00000000-0005-0000-0000-0000DA170000}"/>
    <cellStyle name="Normal 5 2 2 3 5 3 2" xfId="30955" xr:uid="{10B0A32A-2D8C-4E9C-A800-39581A8E4802}"/>
    <cellStyle name="Normal 5 2 2 3 5 3 3" xfId="22514" xr:uid="{68BD1CCD-4609-4F31-A021-38B0E781F4E8}"/>
    <cellStyle name="Normal 5 2 2 3 5 3 4" xfId="14066" xr:uid="{40FAE10B-4751-492A-A994-7207949EF532}"/>
    <cellStyle name="Normal 5 2 2 3 5 4" xfId="26737" xr:uid="{A68C30E0-E1FE-4046-9C9A-E6C7BB4B0F33}"/>
    <cellStyle name="Normal 5 2 2 3 5 5" xfId="18296" xr:uid="{7BA446E1-25C4-44E4-9430-5544A5AC7AD7}"/>
    <cellStyle name="Normal 5 2 2 3 5 6" xfId="9848" xr:uid="{82D7E78B-5774-4D6D-8BAF-39827383348F}"/>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33513" xr:uid="{A9DC3556-1B5B-44F9-8A42-EFC081812936}"/>
    <cellStyle name="Normal 5 2 2 3 6 2 2 3" xfId="25072" xr:uid="{ED23A1C3-295F-488B-921B-4C885A27EC04}"/>
    <cellStyle name="Normal 5 2 2 3 6 2 2 4" xfId="16624" xr:uid="{15219C2C-C84D-44C6-9EB8-F58F63AB1D7F}"/>
    <cellStyle name="Normal 5 2 2 3 6 2 3" xfId="29295" xr:uid="{9FF7D3DE-85F2-47C4-AF73-44FE97A014FB}"/>
    <cellStyle name="Normal 5 2 2 3 6 2 4" xfId="20854" xr:uid="{5036F986-09AF-4295-829B-8D9FED222B9E}"/>
    <cellStyle name="Normal 5 2 2 3 6 2 5" xfId="12406" xr:uid="{F0136402-D028-4D09-A6A7-45941A3E7E66}"/>
    <cellStyle name="Normal 5 2 2 3 6 3" xfId="6029" xr:uid="{00000000-0005-0000-0000-0000DE170000}"/>
    <cellStyle name="Normal 5 2 2 3 6 3 2" xfId="31368" xr:uid="{383CA8C3-EF57-49BB-AE53-FAA2237F95A1}"/>
    <cellStyle name="Normal 5 2 2 3 6 3 3" xfId="22927" xr:uid="{1B9F6E17-C87C-4F49-8179-B665F4FE2A81}"/>
    <cellStyle name="Normal 5 2 2 3 6 3 4" xfId="14479" xr:uid="{BE445978-F7BC-4AB8-AB84-9E2195D45ABE}"/>
    <cellStyle name="Normal 5 2 2 3 6 4" xfId="27150" xr:uid="{6F07715B-22A8-4C7E-A187-E430D46EA859}"/>
    <cellStyle name="Normal 5 2 2 3 6 5" xfId="18709" xr:uid="{D3998A0D-368A-4F71-999E-EAB085BA01AC}"/>
    <cellStyle name="Normal 5 2 2 3 6 6" xfId="10261" xr:uid="{6DBB722B-D733-476C-A873-B5B9CDF94093}"/>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33926" xr:uid="{07322CB1-3EE8-4955-A186-ACFBBCF86150}"/>
    <cellStyle name="Normal 5 2 2 3 7 2 2 3" xfId="25485" xr:uid="{2C039640-562C-453B-AA79-C275CE972B32}"/>
    <cellStyle name="Normal 5 2 2 3 7 2 2 4" xfId="17037" xr:uid="{84C9D150-8743-4EFF-B622-59BF55E4B4F9}"/>
    <cellStyle name="Normal 5 2 2 3 7 2 3" xfId="29708" xr:uid="{46230743-7356-478B-B080-B3D6F1E23EBD}"/>
    <cellStyle name="Normal 5 2 2 3 7 2 4" xfId="21267" xr:uid="{D728175D-0BD5-4194-B962-5A6ABC0CCB32}"/>
    <cellStyle name="Normal 5 2 2 3 7 2 5" xfId="12819" xr:uid="{AF2F533B-40B9-4DB9-8C77-7257B84BE381}"/>
    <cellStyle name="Normal 5 2 2 3 7 3" xfId="6442" xr:uid="{00000000-0005-0000-0000-0000E2170000}"/>
    <cellStyle name="Normal 5 2 2 3 7 3 2" xfId="31781" xr:uid="{D8149CEB-40A6-44FD-9867-48C32D17092E}"/>
    <cellStyle name="Normal 5 2 2 3 7 3 3" xfId="23340" xr:uid="{E4CB13AB-D7A1-47B4-9CE6-F33CF5A90A66}"/>
    <cellStyle name="Normal 5 2 2 3 7 3 4" xfId="14892" xr:uid="{ADFB764F-95C2-4493-9C4B-612A0AE67E22}"/>
    <cellStyle name="Normal 5 2 2 3 7 4" xfId="27563" xr:uid="{E17713AC-B5F8-47A2-BED6-A07F145F9D5F}"/>
    <cellStyle name="Normal 5 2 2 3 7 5" xfId="19122" xr:uid="{33E3B211-1ABF-430E-B72A-22772E116984}"/>
    <cellStyle name="Normal 5 2 2 3 7 6" xfId="10674" xr:uid="{C1D1158A-D013-40EA-88E8-D8E5F02E6E5F}"/>
    <cellStyle name="Normal 5 2 2 3 8" xfId="2572" xr:uid="{00000000-0005-0000-0000-0000E3170000}"/>
    <cellStyle name="Normal 5 2 2 3 8 2" xfId="6855" xr:uid="{00000000-0005-0000-0000-0000E4170000}"/>
    <cellStyle name="Normal 5 2 2 3 8 2 2" xfId="32194" xr:uid="{021AFD27-4A57-47EC-A536-9CF56FE94790}"/>
    <cellStyle name="Normal 5 2 2 3 8 2 3" xfId="23753" xr:uid="{38653836-279A-4542-B8D9-3813FD5C3F94}"/>
    <cellStyle name="Normal 5 2 2 3 8 2 4" xfId="15305" xr:uid="{03BE3CCC-B1E0-4990-B478-8AFC3EFDF966}"/>
    <cellStyle name="Normal 5 2 2 3 8 3" xfId="27976" xr:uid="{B0819B01-DFB9-49F1-8AB0-47AAFCA7555E}"/>
    <cellStyle name="Normal 5 2 2 3 8 4" xfId="19535" xr:uid="{053D8F33-88F8-435C-AD4F-246FEBA3F39C}"/>
    <cellStyle name="Normal 5 2 2 3 8 5" xfId="11087" xr:uid="{D11D3698-B585-47C7-B05B-07E38C52E106}"/>
    <cellStyle name="Normal 5 2 2 3 9" xfId="4790" xr:uid="{00000000-0005-0000-0000-0000E5170000}"/>
    <cellStyle name="Normal 5 2 2 3 9 2" xfId="30129" xr:uid="{359C3CF1-6F23-4524-92BE-FABF9F527DDD}"/>
    <cellStyle name="Normal 5 2 2 3 9 3" xfId="21688" xr:uid="{0F053E06-7540-4AE1-9E3D-507ECF0F051E}"/>
    <cellStyle name="Normal 5 2 2 3 9 4" xfId="13240" xr:uid="{C7E421E8-B650-40EE-991D-05D5EDA1C509}"/>
    <cellStyle name="Normal 5 2 2 4" xfId="421" xr:uid="{00000000-0005-0000-0000-0000E6170000}"/>
    <cellStyle name="Normal 5 2 2 4 10" xfId="17474" xr:uid="{AB1DEC2E-72DC-42A6-AF50-0FCC1B2EC840}"/>
    <cellStyle name="Normal 5 2 2 4 11" xfId="9026" xr:uid="{A5C7CF3C-A42D-4274-9136-8F7894A0A786}"/>
    <cellStyle name="Normal 5 2 2 4 2" xfId="422" xr:uid="{00000000-0005-0000-0000-0000E7170000}"/>
    <cellStyle name="Normal 5 2 2 4 2 10" xfId="9027" xr:uid="{8BA1EC89-FF10-4D14-A117-7F423849F848}"/>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32692" xr:uid="{33208EF7-AE9B-413D-88E0-24CE232B4F61}"/>
    <cellStyle name="Normal 5 2 2 4 2 2 2 2 3" xfId="24251" xr:uid="{31E9F1B4-E109-4B94-A0D6-4F98842325C5}"/>
    <cellStyle name="Normal 5 2 2 4 2 2 2 2 4" xfId="15803" xr:uid="{18DD1847-4E1C-46F5-B4CD-96A70C6D00F5}"/>
    <cellStyle name="Normal 5 2 2 4 2 2 2 3" xfId="28474" xr:uid="{526BAF41-DD06-4121-AAC1-C22614ADDFAA}"/>
    <cellStyle name="Normal 5 2 2 4 2 2 2 4" xfId="20033" xr:uid="{D6AC288E-5E54-4516-9D94-6DC02D3286EE}"/>
    <cellStyle name="Normal 5 2 2 4 2 2 2 5" xfId="11585" xr:uid="{A436AA5D-9451-4A1B-BF29-677C249EA3E0}"/>
    <cellStyle name="Normal 5 2 2 4 2 2 3" xfId="5208" xr:uid="{00000000-0005-0000-0000-0000EB170000}"/>
    <cellStyle name="Normal 5 2 2 4 2 2 3 2" xfId="30547" xr:uid="{0C4D9833-D198-436D-AFAD-3511B69E5684}"/>
    <cellStyle name="Normal 5 2 2 4 2 2 3 3" xfId="22106" xr:uid="{5FDC886A-A59D-47E6-B3D8-E329F9799CCF}"/>
    <cellStyle name="Normal 5 2 2 4 2 2 3 4" xfId="13658" xr:uid="{60D20B54-38FB-48B3-A5F9-4F8723547440}"/>
    <cellStyle name="Normal 5 2 2 4 2 2 4" xfId="26329" xr:uid="{528E0DF5-37A0-41FF-8C5A-B7D2B09AAD31}"/>
    <cellStyle name="Normal 5 2 2 4 2 2 5" xfId="17888" xr:uid="{C7258DB4-3939-4119-9CA3-B44B69257AD2}"/>
    <cellStyle name="Normal 5 2 2 4 2 2 6" xfId="9440" xr:uid="{360A3596-5A7D-4A02-9405-F1E054543FB6}"/>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33105" xr:uid="{1830EE92-7D2E-4728-AF0D-88D212681CD3}"/>
    <cellStyle name="Normal 5 2 2 4 2 3 2 2 3" xfId="24664" xr:uid="{87FA7202-7D81-4496-A4D7-85D61EF61781}"/>
    <cellStyle name="Normal 5 2 2 4 2 3 2 2 4" xfId="16216" xr:uid="{2043B27D-7980-4CEB-8326-ED2B30509090}"/>
    <cellStyle name="Normal 5 2 2 4 2 3 2 3" xfId="28887" xr:uid="{0F5ED863-2E55-4292-9C3A-A2C582246E17}"/>
    <cellStyle name="Normal 5 2 2 4 2 3 2 4" xfId="20446" xr:uid="{8832FA88-090F-408E-8D3E-383F6C3CD0D5}"/>
    <cellStyle name="Normal 5 2 2 4 2 3 2 5" xfId="11998" xr:uid="{3D2C7B8E-6639-4BA1-A118-E5F61D9B5DDE}"/>
    <cellStyle name="Normal 5 2 2 4 2 3 3" xfId="5621" xr:uid="{00000000-0005-0000-0000-0000EF170000}"/>
    <cellStyle name="Normal 5 2 2 4 2 3 3 2" xfId="30960" xr:uid="{CBE032EA-9BA9-4133-A83A-17B3A92D05DF}"/>
    <cellStyle name="Normal 5 2 2 4 2 3 3 3" xfId="22519" xr:uid="{5C1C2425-90FB-4C63-8D1D-5F4733190286}"/>
    <cellStyle name="Normal 5 2 2 4 2 3 3 4" xfId="14071" xr:uid="{B2E678F9-655B-476E-908C-A8AF0E628DDE}"/>
    <cellStyle name="Normal 5 2 2 4 2 3 4" xfId="26742" xr:uid="{29DB593B-9AA9-4C52-8582-E72FAE491325}"/>
    <cellStyle name="Normal 5 2 2 4 2 3 5" xfId="18301" xr:uid="{86001BAA-09BD-4AD1-9345-AEE5D6DCE118}"/>
    <cellStyle name="Normal 5 2 2 4 2 3 6" xfId="9853" xr:uid="{CF90D075-39F2-4674-BD18-DF508C94FA1B}"/>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33518" xr:uid="{84BB3371-41D3-46E2-BA70-0BAB72397014}"/>
    <cellStyle name="Normal 5 2 2 4 2 4 2 2 3" xfId="25077" xr:uid="{69ABF89A-A075-44DB-827A-631008B53315}"/>
    <cellStyle name="Normal 5 2 2 4 2 4 2 2 4" xfId="16629" xr:uid="{EF235C62-8055-4A74-BDB9-8D0C23B0A773}"/>
    <cellStyle name="Normal 5 2 2 4 2 4 2 3" xfId="29300" xr:uid="{F99621F7-1123-4618-A3FC-465611E99C88}"/>
    <cellStyle name="Normal 5 2 2 4 2 4 2 4" xfId="20859" xr:uid="{7044A9F5-4FF8-43FA-A794-135C3D77A368}"/>
    <cellStyle name="Normal 5 2 2 4 2 4 2 5" xfId="12411" xr:uid="{F4F99FFF-FFA0-4E8D-A426-37C37F1E2E72}"/>
    <cellStyle name="Normal 5 2 2 4 2 4 3" xfId="6034" xr:uid="{00000000-0005-0000-0000-0000F3170000}"/>
    <cellStyle name="Normal 5 2 2 4 2 4 3 2" xfId="31373" xr:uid="{85008502-978B-4B1B-8DC2-B794F1C13752}"/>
    <cellStyle name="Normal 5 2 2 4 2 4 3 3" xfId="22932" xr:uid="{23554774-F3B3-4557-943D-514B628E162A}"/>
    <cellStyle name="Normal 5 2 2 4 2 4 3 4" xfId="14484" xr:uid="{EBB33B4C-997B-4989-8E90-D58A4964B2E8}"/>
    <cellStyle name="Normal 5 2 2 4 2 4 4" xfId="27155" xr:uid="{7D51BD41-98F3-4CDB-967A-BA467790B898}"/>
    <cellStyle name="Normal 5 2 2 4 2 4 5" xfId="18714" xr:uid="{1C77E9B4-CBE4-450F-B3C0-32C8E39DD983}"/>
    <cellStyle name="Normal 5 2 2 4 2 4 6" xfId="10266" xr:uid="{28FCC848-1AAB-4AB1-82AF-B44BBA9EC133}"/>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33931" xr:uid="{15092352-C13B-4AEC-A23F-856E71319A7F}"/>
    <cellStyle name="Normal 5 2 2 4 2 5 2 2 3" xfId="25490" xr:uid="{6C4849A8-DDFB-49F4-AE9D-F49A61504D4B}"/>
    <cellStyle name="Normal 5 2 2 4 2 5 2 2 4" xfId="17042" xr:uid="{C5CDDC95-843A-46AA-9456-C7E24EB79126}"/>
    <cellStyle name="Normal 5 2 2 4 2 5 2 3" xfId="29713" xr:uid="{18D311AD-B7BA-44CE-97E1-FDDC59C875D9}"/>
    <cellStyle name="Normal 5 2 2 4 2 5 2 4" xfId="21272" xr:uid="{44933218-A4FA-403D-B60A-0016119C3821}"/>
    <cellStyle name="Normal 5 2 2 4 2 5 2 5" xfId="12824" xr:uid="{B74E8061-55F5-44EE-92BB-C15CF11F2DE6}"/>
    <cellStyle name="Normal 5 2 2 4 2 5 3" xfId="6447" xr:uid="{00000000-0005-0000-0000-0000F7170000}"/>
    <cellStyle name="Normal 5 2 2 4 2 5 3 2" xfId="31786" xr:uid="{45F69046-765E-491E-AAC6-1541BFE2DB00}"/>
    <cellStyle name="Normal 5 2 2 4 2 5 3 3" xfId="23345" xr:uid="{5FA5F7FE-6308-40F4-A2AA-AF241A6051D6}"/>
    <cellStyle name="Normal 5 2 2 4 2 5 3 4" xfId="14897" xr:uid="{FBFFDEBB-8E3D-48DD-BA61-D55D24F30B55}"/>
    <cellStyle name="Normal 5 2 2 4 2 5 4" xfId="27568" xr:uid="{6AE90E2F-EA09-4769-96DA-902311DF4FD0}"/>
    <cellStyle name="Normal 5 2 2 4 2 5 5" xfId="19127" xr:uid="{789934BD-E579-4474-96C5-02A1DAE1D0D5}"/>
    <cellStyle name="Normal 5 2 2 4 2 5 6" xfId="10679" xr:uid="{DECD506A-6EA8-43B3-9ADC-C45EE32B4A45}"/>
    <cellStyle name="Normal 5 2 2 4 2 6" xfId="2577" xr:uid="{00000000-0005-0000-0000-0000F8170000}"/>
    <cellStyle name="Normal 5 2 2 4 2 6 2" xfId="6860" xr:uid="{00000000-0005-0000-0000-0000F9170000}"/>
    <cellStyle name="Normal 5 2 2 4 2 6 2 2" xfId="32199" xr:uid="{7375E410-6BED-4FBC-9008-7B21DA30A474}"/>
    <cellStyle name="Normal 5 2 2 4 2 6 2 3" xfId="23758" xr:uid="{6CB893D8-053A-4423-AF81-7FF717F6BB62}"/>
    <cellStyle name="Normal 5 2 2 4 2 6 2 4" xfId="15310" xr:uid="{CC303B0B-7CBA-43BA-8329-9AE5287DC4D9}"/>
    <cellStyle name="Normal 5 2 2 4 2 6 3" xfId="27981" xr:uid="{10A8DC26-3DEE-412E-BEB1-869F8AFAFA30}"/>
    <cellStyle name="Normal 5 2 2 4 2 6 4" xfId="19540" xr:uid="{631DFDC4-041D-4E23-9D04-0E3B5A0DC358}"/>
    <cellStyle name="Normal 5 2 2 4 2 6 5" xfId="11092" xr:uid="{6AD34114-9892-4DD5-B653-53ED4FAB793F}"/>
    <cellStyle name="Normal 5 2 2 4 2 7" xfId="4795" xr:uid="{00000000-0005-0000-0000-0000FA170000}"/>
    <cellStyle name="Normal 5 2 2 4 2 7 2" xfId="30134" xr:uid="{491B77A3-87BE-4C4D-87A7-2CCEA304DC0A}"/>
    <cellStyle name="Normal 5 2 2 4 2 7 3" xfId="21693" xr:uid="{BDD0B618-A1A1-4D03-916E-41C91538609C}"/>
    <cellStyle name="Normal 5 2 2 4 2 7 4" xfId="13245" xr:uid="{FA7ABA22-C7E3-4169-8CA9-F77C368D41BD}"/>
    <cellStyle name="Normal 5 2 2 4 2 8" xfId="25916" xr:uid="{4CBB7641-7432-4EF5-B45B-721888BD8FD8}"/>
    <cellStyle name="Normal 5 2 2 4 2 9" xfId="17475" xr:uid="{FC4E752C-E105-46E1-8D8C-B2083EE02812}"/>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32691" xr:uid="{471483E3-2DF6-4C19-988E-D9ADF45A1B92}"/>
    <cellStyle name="Normal 5 2 2 4 3 2 2 3" xfId="24250" xr:uid="{03E07E90-AB7D-46C9-AA89-F339160B3FAA}"/>
    <cellStyle name="Normal 5 2 2 4 3 2 2 4" xfId="15802" xr:uid="{68F91227-B89F-4B8E-9225-BF976D657315}"/>
    <cellStyle name="Normal 5 2 2 4 3 2 3" xfId="28473" xr:uid="{EA6115DE-CA29-4708-9E98-269BABA8DAD7}"/>
    <cellStyle name="Normal 5 2 2 4 3 2 4" xfId="20032" xr:uid="{E582FA0A-FFAB-41D3-BD4E-0907707ED074}"/>
    <cellStyle name="Normal 5 2 2 4 3 2 5" xfId="11584" xr:uid="{DE8052D1-BC66-43CD-ACE3-F1490F346065}"/>
    <cellStyle name="Normal 5 2 2 4 3 3" xfId="5207" xr:uid="{00000000-0005-0000-0000-0000FE170000}"/>
    <cellStyle name="Normal 5 2 2 4 3 3 2" xfId="30546" xr:uid="{47644515-7216-4D88-8FCF-82BB2D7EEDE4}"/>
    <cellStyle name="Normal 5 2 2 4 3 3 3" xfId="22105" xr:uid="{3AF1955E-84DB-4BFA-B87F-A38C8DB47D78}"/>
    <cellStyle name="Normal 5 2 2 4 3 3 4" xfId="13657" xr:uid="{6871DA90-C2B0-4942-BB12-531AE759F78D}"/>
    <cellStyle name="Normal 5 2 2 4 3 4" xfId="26328" xr:uid="{A8E1397C-704F-4659-A766-38DBD0B84DD6}"/>
    <cellStyle name="Normal 5 2 2 4 3 5" xfId="17887" xr:uid="{49A259FA-326C-441B-8919-FE98C116772A}"/>
    <cellStyle name="Normal 5 2 2 4 3 6" xfId="9439" xr:uid="{5B164285-B03D-4607-8416-75561BB61ABE}"/>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33104" xr:uid="{F343AEFB-8F51-46FA-B45B-AC1D8A11B45E}"/>
    <cellStyle name="Normal 5 2 2 4 4 2 2 3" xfId="24663" xr:uid="{86AC502C-62BC-4EE0-96BE-978F41665747}"/>
    <cellStyle name="Normal 5 2 2 4 4 2 2 4" xfId="16215" xr:uid="{C30DE3AE-A4B9-4108-B577-E876A61C06EE}"/>
    <cellStyle name="Normal 5 2 2 4 4 2 3" xfId="28886" xr:uid="{85E53ADA-CA1A-4B43-A863-90833A97AF0E}"/>
    <cellStyle name="Normal 5 2 2 4 4 2 4" xfId="20445" xr:uid="{1F37B93A-6D26-4B7C-A8BD-D16F411C79EA}"/>
    <cellStyle name="Normal 5 2 2 4 4 2 5" xfId="11997" xr:uid="{4E84DE66-A2C4-4AF4-B1EC-A606E696706C}"/>
    <cellStyle name="Normal 5 2 2 4 4 3" xfId="5620" xr:uid="{00000000-0005-0000-0000-000002180000}"/>
    <cellStyle name="Normal 5 2 2 4 4 3 2" xfId="30959" xr:uid="{6EF387DE-277C-4384-8CB3-D397CA163A20}"/>
    <cellStyle name="Normal 5 2 2 4 4 3 3" xfId="22518" xr:uid="{6A35C95C-600F-48CB-87DB-C0BE5252C314}"/>
    <cellStyle name="Normal 5 2 2 4 4 3 4" xfId="14070" xr:uid="{1EB7AA31-4561-470D-A4D6-8A7D3940507C}"/>
    <cellStyle name="Normal 5 2 2 4 4 4" xfId="26741" xr:uid="{6D579E2F-893B-42FD-8BF1-759E225FAF17}"/>
    <cellStyle name="Normal 5 2 2 4 4 5" xfId="18300" xr:uid="{450D76EF-6DEF-4C0B-9D07-AD6D482CA647}"/>
    <cellStyle name="Normal 5 2 2 4 4 6" xfId="9852" xr:uid="{26A7BAE9-C4C2-4A24-8E3A-C6FCFD3DEA6B}"/>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33517" xr:uid="{207219E9-BF65-447F-8632-84FAB30DA19E}"/>
    <cellStyle name="Normal 5 2 2 4 5 2 2 3" xfId="25076" xr:uid="{7153D405-E764-4479-B680-8A3D27708FC5}"/>
    <cellStyle name="Normal 5 2 2 4 5 2 2 4" xfId="16628" xr:uid="{212B56EF-C204-4162-8A7D-8AF528595218}"/>
    <cellStyle name="Normal 5 2 2 4 5 2 3" xfId="29299" xr:uid="{CCCFD15D-10B1-4BFE-AD7E-D7B004541049}"/>
    <cellStyle name="Normal 5 2 2 4 5 2 4" xfId="20858" xr:uid="{6B7E8570-77D3-4376-9475-C3EB2EFB0692}"/>
    <cellStyle name="Normal 5 2 2 4 5 2 5" xfId="12410" xr:uid="{275363A7-BE9B-4791-91F1-74C89412B6AC}"/>
    <cellStyle name="Normal 5 2 2 4 5 3" xfId="6033" xr:uid="{00000000-0005-0000-0000-000006180000}"/>
    <cellStyle name="Normal 5 2 2 4 5 3 2" xfId="31372" xr:uid="{3A81D1C4-4559-4C45-A8F8-502CA89B5CD2}"/>
    <cellStyle name="Normal 5 2 2 4 5 3 3" xfId="22931" xr:uid="{985057CA-C29F-452C-9B9D-2C657781C1ED}"/>
    <cellStyle name="Normal 5 2 2 4 5 3 4" xfId="14483" xr:uid="{5B6ED9A4-F207-4302-BA34-112CAE73DFB0}"/>
    <cellStyle name="Normal 5 2 2 4 5 4" xfId="27154" xr:uid="{9F9F3A02-E412-4812-9D4F-29240C51CF86}"/>
    <cellStyle name="Normal 5 2 2 4 5 5" xfId="18713" xr:uid="{3DB82335-FA1A-4EDB-AB8E-1A554C8B6B12}"/>
    <cellStyle name="Normal 5 2 2 4 5 6" xfId="10265" xr:uid="{30210246-9DDF-4440-B8A5-A683041A5D18}"/>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33930" xr:uid="{C50C7CD1-5A11-4ABB-B3D9-C5491468AB74}"/>
    <cellStyle name="Normal 5 2 2 4 6 2 2 3" xfId="25489" xr:uid="{ADCB36AE-7207-46B0-BF4B-8C463BC052E0}"/>
    <cellStyle name="Normal 5 2 2 4 6 2 2 4" xfId="17041" xr:uid="{FCBAE0A4-0F93-4E9D-8A74-D3848DE3720D}"/>
    <cellStyle name="Normal 5 2 2 4 6 2 3" xfId="29712" xr:uid="{AAC9B7ED-A647-4413-B2B3-067E2816AECF}"/>
    <cellStyle name="Normal 5 2 2 4 6 2 4" xfId="21271" xr:uid="{A6C1CEE9-36C7-4F20-8C93-30C90A63843B}"/>
    <cellStyle name="Normal 5 2 2 4 6 2 5" xfId="12823" xr:uid="{0766BCAE-7C92-44F7-AE8D-2CCB86D7786F}"/>
    <cellStyle name="Normal 5 2 2 4 6 3" xfId="6446" xr:uid="{00000000-0005-0000-0000-00000A180000}"/>
    <cellStyle name="Normal 5 2 2 4 6 3 2" xfId="31785" xr:uid="{C8CB6AFE-4110-4F5A-BD11-D8E87B22F258}"/>
    <cellStyle name="Normal 5 2 2 4 6 3 3" xfId="23344" xr:uid="{58259ADB-A585-4FEB-B4FE-EF525FE3D1B2}"/>
    <cellStyle name="Normal 5 2 2 4 6 3 4" xfId="14896" xr:uid="{699673A6-5CA9-42C5-862D-3F93209BBCFD}"/>
    <cellStyle name="Normal 5 2 2 4 6 4" xfId="27567" xr:uid="{BCADFB00-F140-42C7-817F-75C39EC2FF16}"/>
    <cellStyle name="Normal 5 2 2 4 6 5" xfId="19126" xr:uid="{65F43C28-4511-4675-A040-B249228103ED}"/>
    <cellStyle name="Normal 5 2 2 4 6 6" xfId="10678" xr:uid="{04186A86-EEBD-426B-AFA4-2A4CAD95A9E7}"/>
    <cellStyle name="Normal 5 2 2 4 7" xfId="2576" xr:uid="{00000000-0005-0000-0000-00000B180000}"/>
    <cellStyle name="Normal 5 2 2 4 7 2" xfId="6859" xr:uid="{00000000-0005-0000-0000-00000C180000}"/>
    <cellStyle name="Normal 5 2 2 4 7 2 2" xfId="32198" xr:uid="{C975C6A9-E208-494C-BC0B-DAA8260938B4}"/>
    <cellStyle name="Normal 5 2 2 4 7 2 3" xfId="23757" xr:uid="{CA4772CF-AE62-411F-9FA1-F0A6B0302FC7}"/>
    <cellStyle name="Normal 5 2 2 4 7 2 4" xfId="15309" xr:uid="{40DAF2CF-0D87-49EE-B88E-4A5CF8AE01ED}"/>
    <cellStyle name="Normal 5 2 2 4 7 3" xfId="27980" xr:uid="{A32BA102-1EF8-4EED-BED7-23DA5A102373}"/>
    <cellStyle name="Normal 5 2 2 4 7 4" xfId="19539" xr:uid="{49702FB2-5804-4679-A3C0-CCC38D87DEBF}"/>
    <cellStyle name="Normal 5 2 2 4 7 5" xfId="11091" xr:uid="{2176733C-9F16-4797-BF2F-08E082ABA882}"/>
    <cellStyle name="Normal 5 2 2 4 8" xfId="4794" xr:uid="{00000000-0005-0000-0000-00000D180000}"/>
    <cellStyle name="Normal 5 2 2 4 8 2" xfId="30133" xr:uid="{73713236-3F76-4716-BB2D-9071D5628105}"/>
    <cellStyle name="Normal 5 2 2 4 8 3" xfId="21692" xr:uid="{D72A01C4-BE8A-4927-AB47-149A737842D0}"/>
    <cellStyle name="Normal 5 2 2 4 8 4" xfId="13244" xr:uid="{D3FBA47E-C8EE-4D92-907A-09C6E3AD545A}"/>
    <cellStyle name="Normal 5 2 2 4 9" xfId="25915" xr:uid="{F6B9F987-975D-4152-AC24-BAA61672C0FA}"/>
    <cellStyle name="Normal 5 2 2 5" xfId="423" xr:uid="{00000000-0005-0000-0000-00000E180000}"/>
    <cellStyle name="Normal 5 2 2 5 10" xfId="9028" xr:uid="{39B21A85-3D21-4C30-B12B-16787171CD07}"/>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32693" xr:uid="{0327731A-F5EE-4651-92EC-94785A66E430}"/>
    <cellStyle name="Normal 5 2 2 5 2 2 2 3" xfId="24252" xr:uid="{CB30CD22-8EA1-4094-9399-B1659670500C}"/>
    <cellStyle name="Normal 5 2 2 5 2 2 2 4" xfId="15804" xr:uid="{5F3A932F-38E4-4642-A1CB-25D1DDB16F7D}"/>
    <cellStyle name="Normal 5 2 2 5 2 2 3" xfId="28475" xr:uid="{95378A60-8A99-4F3A-A1BC-5745A72B6131}"/>
    <cellStyle name="Normal 5 2 2 5 2 2 4" xfId="20034" xr:uid="{8014FD0C-0755-4BD3-9EB8-FBD3A434AC85}"/>
    <cellStyle name="Normal 5 2 2 5 2 2 5" xfId="11586" xr:uid="{E290B9CD-1361-497B-BFD3-4BFE0B22C23D}"/>
    <cellStyle name="Normal 5 2 2 5 2 3" xfId="5209" xr:uid="{00000000-0005-0000-0000-000012180000}"/>
    <cellStyle name="Normal 5 2 2 5 2 3 2" xfId="30548" xr:uid="{3975CE2D-B980-4797-93E7-92A48F912B25}"/>
    <cellStyle name="Normal 5 2 2 5 2 3 3" xfId="22107" xr:uid="{E95200D1-A9EC-41DC-A661-79748B03657C}"/>
    <cellStyle name="Normal 5 2 2 5 2 3 4" xfId="13659" xr:uid="{53A0D2A6-974B-4C2D-942D-D0A1884AD50F}"/>
    <cellStyle name="Normal 5 2 2 5 2 4" xfId="26330" xr:uid="{7CE6E0C7-DBE5-4632-941B-F49BB02C5D25}"/>
    <cellStyle name="Normal 5 2 2 5 2 5" xfId="17889" xr:uid="{68983D28-B896-4836-94D6-08217191C3FC}"/>
    <cellStyle name="Normal 5 2 2 5 2 6" xfId="9441" xr:uid="{7F0B718A-D4C4-4459-B626-5883601BD414}"/>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33106" xr:uid="{F84F1EFB-A47F-45F9-BF73-5B9B3E1E89FC}"/>
    <cellStyle name="Normal 5 2 2 5 3 2 2 3" xfId="24665" xr:uid="{FCDB84D6-8DC5-4D60-AB87-3B5E91551AD3}"/>
    <cellStyle name="Normal 5 2 2 5 3 2 2 4" xfId="16217" xr:uid="{973CEB4D-ECB1-495F-90A3-8B12F6D570A5}"/>
    <cellStyle name="Normal 5 2 2 5 3 2 3" xfId="28888" xr:uid="{1FF4A1A0-47FA-42DD-883E-9603BDA159F2}"/>
    <cellStyle name="Normal 5 2 2 5 3 2 4" xfId="20447" xr:uid="{E71B868A-248D-4ECC-833B-69C21C9D68BD}"/>
    <cellStyle name="Normal 5 2 2 5 3 2 5" xfId="11999" xr:uid="{5795F9A6-A1FE-499F-952B-F391DD519BA5}"/>
    <cellStyle name="Normal 5 2 2 5 3 3" xfId="5622" xr:uid="{00000000-0005-0000-0000-000016180000}"/>
    <cellStyle name="Normal 5 2 2 5 3 3 2" xfId="30961" xr:uid="{90B12812-A566-4544-A49F-F2622B5707D6}"/>
    <cellStyle name="Normal 5 2 2 5 3 3 3" xfId="22520" xr:uid="{2B55702F-D48B-4781-A231-B227EE508F28}"/>
    <cellStyle name="Normal 5 2 2 5 3 3 4" xfId="14072" xr:uid="{BB027415-36C7-4255-96F1-39A342FE4249}"/>
    <cellStyle name="Normal 5 2 2 5 3 4" xfId="26743" xr:uid="{2147138C-7895-4FF5-A5AE-A33D7030BBA1}"/>
    <cellStyle name="Normal 5 2 2 5 3 5" xfId="18302" xr:uid="{8E642EE1-61BA-4740-A78E-BA403E591D84}"/>
    <cellStyle name="Normal 5 2 2 5 3 6" xfId="9854" xr:uid="{6CF297A4-6DFF-4D40-8569-29172327BDD8}"/>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33519" xr:uid="{7AB4205F-6ABD-4742-B735-E20C38A62B80}"/>
    <cellStyle name="Normal 5 2 2 5 4 2 2 3" xfId="25078" xr:uid="{3D3DC2DD-C61B-4F5B-A90B-A141B46BA9D4}"/>
    <cellStyle name="Normal 5 2 2 5 4 2 2 4" xfId="16630" xr:uid="{7A41D5A8-15FD-4569-ACAD-8D8CB7534048}"/>
    <cellStyle name="Normal 5 2 2 5 4 2 3" xfId="29301" xr:uid="{4627E893-25E6-43E6-BBB9-1EB7F6ED1F56}"/>
    <cellStyle name="Normal 5 2 2 5 4 2 4" xfId="20860" xr:uid="{9CFC9AD9-6EFC-4E9C-B71B-607406435704}"/>
    <cellStyle name="Normal 5 2 2 5 4 2 5" xfId="12412" xr:uid="{68C1DCA7-4436-4795-AAFC-267FE0516503}"/>
    <cellStyle name="Normal 5 2 2 5 4 3" xfId="6035" xr:uid="{00000000-0005-0000-0000-00001A180000}"/>
    <cellStyle name="Normal 5 2 2 5 4 3 2" xfId="31374" xr:uid="{79B77959-8493-4B00-8A84-7FD607242B03}"/>
    <cellStyle name="Normal 5 2 2 5 4 3 3" xfId="22933" xr:uid="{27D31DC9-60E0-41A0-BDF2-5012AB6FA15B}"/>
    <cellStyle name="Normal 5 2 2 5 4 3 4" xfId="14485" xr:uid="{5F42EBFE-E269-49B4-8CBA-665E3D7267E2}"/>
    <cellStyle name="Normal 5 2 2 5 4 4" xfId="27156" xr:uid="{368F55DF-51A3-41A5-BAC1-1DBBAADAD264}"/>
    <cellStyle name="Normal 5 2 2 5 4 5" xfId="18715" xr:uid="{F7D1D074-8E84-4423-AE4E-5AF6C3B1CC64}"/>
    <cellStyle name="Normal 5 2 2 5 4 6" xfId="10267" xr:uid="{604CA867-BB6E-47D7-A6F0-AADF1EAA2D26}"/>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33932" xr:uid="{6FDEC2B6-EA9F-47AF-89E0-556B50B771E4}"/>
    <cellStyle name="Normal 5 2 2 5 5 2 2 3" xfId="25491" xr:uid="{FBA61C5D-DB0E-44C2-962B-601774CC5F5D}"/>
    <cellStyle name="Normal 5 2 2 5 5 2 2 4" xfId="17043" xr:uid="{A170E3EB-6F80-4471-9D3C-138C6C59E581}"/>
    <cellStyle name="Normal 5 2 2 5 5 2 3" xfId="29714" xr:uid="{4385CCE4-6B89-4616-AD0D-849B8AA8AE62}"/>
    <cellStyle name="Normal 5 2 2 5 5 2 4" xfId="21273" xr:uid="{773A2415-375C-4183-9824-9F51D4BC3DA7}"/>
    <cellStyle name="Normal 5 2 2 5 5 2 5" xfId="12825" xr:uid="{5795B84E-EB57-430E-9DAD-3EFCC401EB56}"/>
    <cellStyle name="Normal 5 2 2 5 5 3" xfId="6448" xr:uid="{00000000-0005-0000-0000-00001E180000}"/>
    <cellStyle name="Normal 5 2 2 5 5 3 2" xfId="31787" xr:uid="{8ABD5612-6CD8-4157-A402-D444C25E6D00}"/>
    <cellStyle name="Normal 5 2 2 5 5 3 3" xfId="23346" xr:uid="{08F18798-08BE-4DFB-9111-1A91501E4A78}"/>
    <cellStyle name="Normal 5 2 2 5 5 3 4" xfId="14898" xr:uid="{84F5D724-B75E-4D91-B395-7EBE8C2B0F6B}"/>
    <cellStyle name="Normal 5 2 2 5 5 4" xfId="27569" xr:uid="{121E274F-623B-4984-AC13-3A441F268A07}"/>
    <cellStyle name="Normal 5 2 2 5 5 5" xfId="19128" xr:uid="{DB75FA44-555D-4194-A1B8-A6247F269B47}"/>
    <cellStyle name="Normal 5 2 2 5 5 6" xfId="10680" xr:uid="{7858DD56-D433-49F8-9839-7B0367DE5058}"/>
    <cellStyle name="Normal 5 2 2 5 6" xfId="2578" xr:uid="{00000000-0005-0000-0000-00001F180000}"/>
    <cellStyle name="Normal 5 2 2 5 6 2" xfId="6861" xr:uid="{00000000-0005-0000-0000-000020180000}"/>
    <cellStyle name="Normal 5 2 2 5 6 2 2" xfId="32200" xr:uid="{166D92BF-0380-4A84-9653-3DB6037769A9}"/>
    <cellStyle name="Normal 5 2 2 5 6 2 3" xfId="23759" xr:uid="{FC1AFFEA-65AF-4A53-9BC0-240E97C27078}"/>
    <cellStyle name="Normal 5 2 2 5 6 2 4" xfId="15311" xr:uid="{538902D4-1B2D-46A8-A2C3-5CA3F1EDAB65}"/>
    <cellStyle name="Normal 5 2 2 5 6 3" xfId="27982" xr:uid="{1E91B426-487B-4AFD-96EF-21735E9BE48F}"/>
    <cellStyle name="Normal 5 2 2 5 6 4" xfId="19541" xr:uid="{232619A5-D4B2-41E6-AE0E-9B6C5B81B0CB}"/>
    <cellStyle name="Normal 5 2 2 5 6 5" xfId="11093" xr:uid="{D00C71AA-6589-4C84-8C5B-C792FB469D77}"/>
    <cellStyle name="Normal 5 2 2 5 7" xfId="4796" xr:uid="{00000000-0005-0000-0000-000021180000}"/>
    <cellStyle name="Normal 5 2 2 5 7 2" xfId="30135" xr:uid="{88CEF306-C722-4665-944E-703C61BA7E8B}"/>
    <cellStyle name="Normal 5 2 2 5 7 3" xfId="21694" xr:uid="{11CF2E49-5594-46FA-980E-10C3A946B95B}"/>
    <cellStyle name="Normal 5 2 2 5 7 4" xfId="13246" xr:uid="{0196DEF1-CC80-4E8A-8825-3CF24BC3C406}"/>
    <cellStyle name="Normal 5 2 2 5 8" xfId="25917" xr:uid="{77721A5E-F107-4639-BBC0-2E667A9B5843}"/>
    <cellStyle name="Normal 5 2 2 5 9" xfId="17476" xr:uid="{6B1FCEE2-1A88-43AC-BB6A-A546CDCEE69E}"/>
    <cellStyle name="Normal 5 2 2 6" xfId="882" xr:uid="{00000000-0005-0000-0000-000022180000}"/>
    <cellStyle name="Normal 5 2 2 6 2" xfId="3117" xr:uid="{00000000-0005-0000-0000-000023180000}"/>
    <cellStyle name="Normal 5 2 2 6 2 2" xfId="7339" xr:uid="{00000000-0005-0000-0000-000024180000}"/>
    <cellStyle name="Normal 5 2 2 6 2 2 2" xfId="32678" xr:uid="{CD0C1C80-A4D6-4B13-B009-1E3C50F883A8}"/>
    <cellStyle name="Normal 5 2 2 6 2 2 3" xfId="24237" xr:uid="{A599743F-9C47-4682-A054-8C7352DB0D02}"/>
    <cellStyle name="Normal 5 2 2 6 2 2 4" xfId="15789" xr:uid="{9335D072-C261-4D3E-9E5D-62B24CDC04DA}"/>
    <cellStyle name="Normal 5 2 2 6 2 3" xfId="28460" xr:uid="{80782633-EB96-479A-B350-8DB5F961B1FD}"/>
    <cellStyle name="Normal 5 2 2 6 2 4" xfId="20019" xr:uid="{0748862A-CE20-4B31-8C5B-0A986A1D5E57}"/>
    <cellStyle name="Normal 5 2 2 6 2 5" xfId="11571" xr:uid="{11F8348B-6501-43EB-84D4-F5215D5A0AE0}"/>
    <cellStyle name="Normal 5 2 2 6 3" xfId="5194" xr:uid="{00000000-0005-0000-0000-000025180000}"/>
    <cellStyle name="Normal 5 2 2 6 3 2" xfId="30533" xr:uid="{12C62E74-CB2E-41D8-A7EB-7EBB1154B01A}"/>
    <cellStyle name="Normal 5 2 2 6 3 3" xfId="22092" xr:uid="{AC702681-65AB-4F79-B8BD-198B6833219F}"/>
    <cellStyle name="Normal 5 2 2 6 3 4" xfId="13644" xr:uid="{7B1AF942-19CE-4A13-B750-E0724576E759}"/>
    <cellStyle name="Normal 5 2 2 6 4" xfId="26315" xr:uid="{CAEA6B0E-8026-4D3F-B05B-4290EA81F1CD}"/>
    <cellStyle name="Normal 5 2 2 6 5" xfId="17874" xr:uid="{105D83C2-803A-47FB-BD00-302C3C8FEDFB}"/>
    <cellStyle name="Normal 5 2 2 6 6" xfId="9426" xr:uid="{08336720-66CC-4B46-B3E3-F7C26076570F}"/>
    <cellStyle name="Normal 5 2 2 7" xfId="1300" xr:uid="{00000000-0005-0000-0000-000026180000}"/>
    <cellStyle name="Normal 5 2 2 7 2" xfId="3530" xr:uid="{00000000-0005-0000-0000-000027180000}"/>
    <cellStyle name="Normal 5 2 2 7 2 2" xfId="7752" xr:uid="{00000000-0005-0000-0000-000028180000}"/>
    <cellStyle name="Normal 5 2 2 7 2 2 2" xfId="33091" xr:uid="{F1A34D11-D50B-43E7-A583-976FED358BB3}"/>
    <cellStyle name="Normal 5 2 2 7 2 2 3" xfId="24650" xr:uid="{0C5BA19D-6077-44A2-AF2D-C36F58529530}"/>
    <cellStyle name="Normal 5 2 2 7 2 2 4" xfId="16202" xr:uid="{0DC6D74C-F988-4C53-AEDC-49CA6FA77F34}"/>
    <cellStyle name="Normal 5 2 2 7 2 3" xfId="28873" xr:uid="{1E28C35F-4A73-4076-BE98-66B37B04B4D0}"/>
    <cellStyle name="Normal 5 2 2 7 2 4" xfId="20432" xr:uid="{8165F427-D572-4C25-800B-84ABC317857C}"/>
    <cellStyle name="Normal 5 2 2 7 2 5" xfId="11984" xr:uid="{D55069F7-8D24-4B79-A959-ED2E2CA587DA}"/>
    <cellStyle name="Normal 5 2 2 7 3" xfId="5607" xr:uid="{00000000-0005-0000-0000-000029180000}"/>
    <cellStyle name="Normal 5 2 2 7 3 2" xfId="30946" xr:uid="{510F0651-6DF6-4FB8-9901-2EF0FAA93474}"/>
    <cellStyle name="Normal 5 2 2 7 3 3" xfId="22505" xr:uid="{39FC254E-8630-4901-8ED8-D71080A84690}"/>
    <cellStyle name="Normal 5 2 2 7 3 4" xfId="14057" xr:uid="{85CBF682-F8D3-466F-B198-E27EC3785BDF}"/>
    <cellStyle name="Normal 5 2 2 7 4" xfId="26728" xr:uid="{52F77685-1B52-42A2-B42D-E18B4B021A0F}"/>
    <cellStyle name="Normal 5 2 2 7 5" xfId="18287" xr:uid="{81CA7533-B797-451A-A1F9-F535F8BE8D5E}"/>
    <cellStyle name="Normal 5 2 2 7 6" xfId="9839" xr:uid="{E39B1959-70B0-43CD-891E-2D3EFC94661F}"/>
    <cellStyle name="Normal 5 2 2 8" xfId="1713" xr:uid="{00000000-0005-0000-0000-00002A180000}"/>
    <cellStyle name="Normal 5 2 2 8 2" xfId="3943" xr:uid="{00000000-0005-0000-0000-00002B180000}"/>
    <cellStyle name="Normal 5 2 2 8 2 2" xfId="8165" xr:uid="{00000000-0005-0000-0000-00002C180000}"/>
    <cellStyle name="Normal 5 2 2 8 2 2 2" xfId="33504" xr:uid="{DFCF652F-51FC-4FD5-AC91-ABDE66A96978}"/>
    <cellStyle name="Normal 5 2 2 8 2 2 3" xfId="25063" xr:uid="{A4AC0CEC-A3BC-492A-9352-77550803A265}"/>
    <cellStyle name="Normal 5 2 2 8 2 2 4" xfId="16615" xr:uid="{4F262FC7-1050-4BD1-B4A9-31E82510618E}"/>
    <cellStyle name="Normal 5 2 2 8 2 3" xfId="29286" xr:uid="{2280917A-ECA9-4910-98A5-4078EA118E01}"/>
    <cellStyle name="Normal 5 2 2 8 2 4" xfId="20845" xr:uid="{1F7484A8-C9D5-4597-B48D-BCF1904229E3}"/>
    <cellStyle name="Normal 5 2 2 8 2 5" xfId="12397" xr:uid="{E597B815-827A-4FE4-8E3E-8335A851F125}"/>
    <cellStyle name="Normal 5 2 2 8 3" xfId="6020" xr:uid="{00000000-0005-0000-0000-00002D180000}"/>
    <cellStyle name="Normal 5 2 2 8 3 2" xfId="31359" xr:uid="{70E9F7BD-04BC-4E06-BF26-6726AB1EDF32}"/>
    <cellStyle name="Normal 5 2 2 8 3 3" xfId="22918" xr:uid="{13B58A58-D04A-4EC2-BBB6-942EBECA6B70}"/>
    <cellStyle name="Normal 5 2 2 8 3 4" xfId="14470" xr:uid="{38FD3F48-DBBF-4823-A092-E84AA4BB5A34}"/>
    <cellStyle name="Normal 5 2 2 8 4" xfId="27141" xr:uid="{9DEC9797-67E0-4349-8AC6-601D80D60CA1}"/>
    <cellStyle name="Normal 5 2 2 8 5" xfId="18700" xr:uid="{001ADE06-6A9C-4A37-8926-CAB6442A9967}"/>
    <cellStyle name="Normal 5 2 2 8 6" xfId="10252" xr:uid="{789AE1EF-E814-4D96-AF42-1EC82EFEDF75}"/>
    <cellStyle name="Normal 5 2 2 9" xfId="2127" xr:uid="{00000000-0005-0000-0000-00002E180000}"/>
    <cellStyle name="Normal 5 2 2 9 2" xfId="4356" xr:uid="{00000000-0005-0000-0000-00002F180000}"/>
    <cellStyle name="Normal 5 2 2 9 2 2" xfId="8578" xr:uid="{00000000-0005-0000-0000-000030180000}"/>
    <cellStyle name="Normal 5 2 2 9 2 2 2" xfId="33917" xr:uid="{E31C90F0-A9FE-46EC-88C9-7ADB60746672}"/>
    <cellStyle name="Normal 5 2 2 9 2 2 3" xfId="25476" xr:uid="{68B84906-C893-40AD-9597-7B8A2B1FAF0C}"/>
    <cellStyle name="Normal 5 2 2 9 2 2 4" xfId="17028" xr:uid="{5AF0BF4A-D260-4068-97F2-9813BDFBE115}"/>
    <cellStyle name="Normal 5 2 2 9 2 3" xfId="29699" xr:uid="{263FBB5A-E014-43A1-9D27-1C11546CA5FD}"/>
    <cellStyle name="Normal 5 2 2 9 2 4" xfId="21258" xr:uid="{6887F84D-3F59-44F7-B32C-25695FB20203}"/>
    <cellStyle name="Normal 5 2 2 9 2 5" xfId="12810" xr:uid="{BFCDB8CA-BF50-4D57-94ED-B8EAA9584EA9}"/>
    <cellStyle name="Normal 5 2 2 9 3" xfId="6433" xr:uid="{00000000-0005-0000-0000-000031180000}"/>
    <cellStyle name="Normal 5 2 2 9 3 2" xfId="31772" xr:uid="{15AFA175-0EF1-4065-8360-58F7A8B64794}"/>
    <cellStyle name="Normal 5 2 2 9 3 3" xfId="23331" xr:uid="{B8387AAE-1BCC-442B-A2DF-B95D9CF720C4}"/>
    <cellStyle name="Normal 5 2 2 9 3 4" xfId="14883" xr:uid="{F13C57AE-4B04-40F3-80EE-D2F5C65DBEAA}"/>
    <cellStyle name="Normal 5 2 2 9 4" xfId="27554" xr:uid="{14603751-A38E-4C1F-A0AC-FE9D038466AC}"/>
    <cellStyle name="Normal 5 2 2 9 5" xfId="19113" xr:uid="{0AB1B9B0-23DD-4160-BD6C-100A84F5CFDC}"/>
    <cellStyle name="Normal 5 2 2 9 6" xfId="10665" xr:uid="{816B6B26-6FD4-421D-8A5D-51EA1B2FE3F8}"/>
    <cellStyle name="Normal 5 2 3" xfId="424" xr:uid="{00000000-0005-0000-0000-000032180000}"/>
    <cellStyle name="Normal 5 2 3 10" xfId="4797" xr:uid="{00000000-0005-0000-0000-000033180000}"/>
    <cellStyle name="Normal 5 2 3 10 2" xfId="30136" xr:uid="{DCCB8745-38AB-4F45-A039-6BBD69D5DD7D}"/>
    <cellStyle name="Normal 5 2 3 10 3" xfId="21695" xr:uid="{8047CCD0-5D6B-4BBF-8C15-F604F0F824C5}"/>
    <cellStyle name="Normal 5 2 3 10 4" xfId="13247" xr:uid="{9A900E49-72E1-4438-B8DB-725DF86BD813}"/>
    <cellStyle name="Normal 5 2 3 11" xfId="25918" xr:uid="{D1EDB9E2-7AEF-40D2-84F8-958FFE2969B3}"/>
    <cellStyle name="Normal 5 2 3 12" xfId="17477" xr:uid="{AEDF407D-801C-4138-BF9C-B756479CB551}"/>
    <cellStyle name="Normal 5 2 3 13" xfId="9029" xr:uid="{504507D9-C941-44A6-8E3B-C84C08E85CB0}"/>
    <cellStyle name="Normal 5 2 3 2" xfId="425" xr:uid="{00000000-0005-0000-0000-000034180000}"/>
    <cellStyle name="Normal 5 2 3 2 10" xfId="25919" xr:uid="{0ED9D493-AF95-400C-84BA-8D45728800A6}"/>
    <cellStyle name="Normal 5 2 3 2 11" xfId="17478" xr:uid="{DD2D74D2-92F9-46D4-AAEB-AD31A55E1ADA}"/>
    <cellStyle name="Normal 5 2 3 2 12" xfId="9030" xr:uid="{70B3C2DE-8DDB-442A-A33F-E7C2AF8238B7}"/>
    <cellStyle name="Normal 5 2 3 2 2" xfId="426" xr:uid="{00000000-0005-0000-0000-000035180000}"/>
    <cellStyle name="Normal 5 2 3 2 2 10" xfId="17479" xr:uid="{9C48A96E-8403-42EA-A6C5-743312322542}"/>
    <cellStyle name="Normal 5 2 3 2 2 11" xfId="9031" xr:uid="{2EBD5EFD-59B0-4779-AFF2-9428FBD70B54}"/>
    <cellStyle name="Normal 5 2 3 2 2 2" xfId="427" xr:uid="{00000000-0005-0000-0000-000036180000}"/>
    <cellStyle name="Normal 5 2 3 2 2 2 10" xfId="9032" xr:uid="{F6A8EAB9-EB05-4EF7-84C8-4FF18CAB720C}"/>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32697" xr:uid="{5130AE0E-0CA3-4F50-80D6-2DA8D38BE502}"/>
    <cellStyle name="Normal 5 2 3 2 2 2 2 2 2 3" xfId="24256" xr:uid="{513F6D83-FB2F-42F9-A526-A52CBF7BCA31}"/>
    <cellStyle name="Normal 5 2 3 2 2 2 2 2 2 4" xfId="15808" xr:uid="{30C12193-7E04-4B46-B20F-E79B771C4E13}"/>
    <cellStyle name="Normal 5 2 3 2 2 2 2 2 3" xfId="28479" xr:uid="{A7A1E686-F7EE-4686-92E3-0A18DDC0EE6F}"/>
    <cellStyle name="Normal 5 2 3 2 2 2 2 2 4" xfId="20038" xr:uid="{ECF2CE7B-A184-41A1-B892-662E08FC20FC}"/>
    <cellStyle name="Normal 5 2 3 2 2 2 2 2 5" xfId="11590" xr:uid="{8A467D88-48DD-4D22-AC2C-4A8E94254481}"/>
    <cellStyle name="Normal 5 2 3 2 2 2 2 3" xfId="5213" xr:uid="{00000000-0005-0000-0000-00003A180000}"/>
    <cellStyle name="Normal 5 2 3 2 2 2 2 3 2" xfId="30552" xr:uid="{44A60EA3-F0F5-4C8F-8556-453A59990D27}"/>
    <cellStyle name="Normal 5 2 3 2 2 2 2 3 3" xfId="22111" xr:uid="{A6E627BB-01AE-4B03-BA23-6E7B2E5257A0}"/>
    <cellStyle name="Normal 5 2 3 2 2 2 2 3 4" xfId="13663" xr:uid="{49B9B7A4-A711-4DF5-9395-5C168F4C1640}"/>
    <cellStyle name="Normal 5 2 3 2 2 2 2 4" xfId="26334" xr:uid="{FC304668-CE07-451E-9F9B-C8CB9D9B290D}"/>
    <cellStyle name="Normal 5 2 3 2 2 2 2 5" xfId="17893" xr:uid="{956AB470-D1BE-4134-A5A0-2EC30924FB0A}"/>
    <cellStyle name="Normal 5 2 3 2 2 2 2 6" xfId="9445" xr:uid="{9CEC767A-13B3-42A2-B9E3-483160E4569E}"/>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33110" xr:uid="{85AF37AB-8B68-46F7-B40F-BB676FD5089C}"/>
    <cellStyle name="Normal 5 2 3 2 2 2 3 2 2 3" xfId="24669" xr:uid="{D0F12B78-8EB7-40B3-8C03-C140C24D2DC7}"/>
    <cellStyle name="Normal 5 2 3 2 2 2 3 2 2 4" xfId="16221" xr:uid="{4C2CFBEC-7DC0-437D-AA8E-27391E2E959D}"/>
    <cellStyle name="Normal 5 2 3 2 2 2 3 2 3" xfId="28892" xr:uid="{6E0FE291-9E0E-4086-81AA-77035E4C9684}"/>
    <cellStyle name="Normal 5 2 3 2 2 2 3 2 4" xfId="20451" xr:uid="{34E8C0E3-B061-4DEA-AE7D-991F801EDCEA}"/>
    <cellStyle name="Normal 5 2 3 2 2 2 3 2 5" xfId="12003" xr:uid="{A8F4A089-1193-4A0A-9144-E1D6575D4FAF}"/>
    <cellStyle name="Normal 5 2 3 2 2 2 3 3" xfId="5626" xr:uid="{00000000-0005-0000-0000-00003E180000}"/>
    <cellStyle name="Normal 5 2 3 2 2 2 3 3 2" xfId="30965" xr:uid="{895F0F9C-E7FD-40B4-B537-3C2941DBB0B7}"/>
    <cellStyle name="Normal 5 2 3 2 2 2 3 3 3" xfId="22524" xr:uid="{EE516DDB-6823-4254-B201-112AFFC5EFA4}"/>
    <cellStyle name="Normal 5 2 3 2 2 2 3 3 4" xfId="14076" xr:uid="{3C3F070F-C259-457A-AB98-36794B689ABB}"/>
    <cellStyle name="Normal 5 2 3 2 2 2 3 4" xfId="26747" xr:uid="{BBD83BB7-A48B-4C6A-888E-1D0AF42753F9}"/>
    <cellStyle name="Normal 5 2 3 2 2 2 3 5" xfId="18306" xr:uid="{DE77C15A-ABED-41C7-85E6-08F851F95BCE}"/>
    <cellStyle name="Normal 5 2 3 2 2 2 3 6" xfId="9858" xr:uid="{7B6919C4-6796-47D0-9138-018A5D8669BE}"/>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33523" xr:uid="{5DB9BF19-46A8-497E-9657-0B29AAC6F010}"/>
    <cellStyle name="Normal 5 2 3 2 2 2 4 2 2 3" xfId="25082" xr:uid="{216F8136-A75F-446A-BD51-C02AD828A10A}"/>
    <cellStyle name="Normal 5 2 3 2 2 2 4 2 2 4" xfId="16634" xr:uid="{354E3829-E976-4D66-BBF8-BD170D8CCD30}"/>
    <cellStyle name="Normal 5 2 3 2 2 2 4 2 3" xfId="29305" xr:uid="{A073EB9A-1C1C-42F8-9678-3A97F11C85D7}"/>
    <cellStyle name="Normal 5 2 3 2 2 2 4 2 4" xfId="20864" xr:uid="{D70A6B27-0E00-48CA-8DBD-74CF1397705E}"/>
    <cellStyle name="Normal 5 2 3 2 2 2 4 2 5" xfId="12416" xr:uid="{65582FF8-DDA7-4D9C-AE64-62B9F035A9B6}"/>
    <cellStyle name="Normal 5 2 3 2 2 2 4 3" xfId="6039" xr:uid="{00000000-0005-0000-0000-000042180000}"/>
    <cellStyle name="Normal 5 2 3 2 2 2 4 3 2" xfId="31378" xr:uid="{8EBD2107-3417-44C0-A856-6E444F38EFFC}"/>
    <cellStyle name="Normal 5 2 3 2 2 2 4 3 3" xfId="22937" xr:uid="{63691D98-B2EC-4A0C-B1BE-DDC18B9E4301}"/>
    <cellStyle name="Normal 5 2 3 2 2 2 4 3 4" xfId="14489" xr:uid="{89AC9D08-E395-49B9-837C-8008E84570B7}"/>
    <cellStyle name="Normal 5 2 3 2 2 2 4 4" xfId="27160" xr:uid="{9D65CF2F-8E62-44D0-ABCD-265EA8FD782B}"/>
    <cellStyle name="Normal 5 2 3 2 2 2 4 5" xfId="18719" xr:uid="{817B438E-64C7-4E45-A0F3-7EB5C39EB04D}"/>
    <cellStyle name="Normal 5 2 3 2 2 2 4 6" xfId="10271" xr:uid="{CC852F5C-8307-43AE-9DB6-AF78D885E761}"/>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33936" xr:uid="{4565399A-F3F3-45EA-92E7-4C071A1DE1DE}"/>
    <cellStyle name="Normal 5 2 3 2 2 2 5 2 2 3" xfId="25495" xr:uid="{316A5BA9-E26B-49D0-B685-CCC304696EFE}"/>
    <cellStyle name="Normal 5 2 3 2 2 2 5 2 2 4" xfId="17047" xr:uid="{776419E7-3696-4E3D-8D90-39E292719C28}"/>
    <cellStyle name="Normal 5 2 3 2 2 2 5 2 3" xfId="29718" xr:uid="{4988B4C7-241E-42B9-B1DA-23A0948DB0FC}"/>
    <cellStyle name="Normal 5 2 3 2 2 2 5 2 4" xfId="21277" xr:uid="{45D58982-F39F-4BAF-BB68-E6385FD1FFB3}"/>
    <cellStyle name="Normal 5 2 3 2 2 2 5 2 5" xfId="12829" xr:uid="{1EFC09B3-F74B-468F-8F75-92152DC83178}"/>
    <cellStyle name="Normal 5 2 3 2 2 2 5 3" xfId="6452" xr:uid="{00000000-0005-0000-0000-000046180000}"/>
    <cellStyle name="Normal 5 2 3 2 2 2 5 3 2" xfId="31791" xr:uid="{938F1F7A-E547-4C09-8684-22EE7329154F}"/>
    <cellStyle name="Normal 5 2 3 2 2 2 5 3 3" xfId="23350" xr:uid="{2135189F-D1A1-412B-AB7A-AC813019924B}"/>
    <cellStyle name="Normal 5 2 3 2 2 2 5 3 4" xfId="14902" xr:uid="{3580E4CA-9B4B-4C24-9A63-CAC6267FBC80}"/>
    <cellStyle name="Normal 5 2 3 2 2 2 5 4" xfId="27573" xr:uid="{80F9B6D3-CF6E-4BB4-9AA5-B0F2970BB519}"/>
    <cellStyle name="Normal 5 2 3 2 2 2 5 5" xfId="19132" xr:uid="{C352B293-79DC-42DC-BCAC-9F8A882AE2A0}"/>
    <cellStyle name="Normal 5 2 3 2 2 2 5 6" xfId="10684" xr:uid="{5A7B46BE-5161-42C0-BFEC-9357A213002B}"/>
    <cellStyle name="Normal 5 2 3 2 2 2 6" xfId="2582" xr:uid="{00000000-0005-0000-0000-000047180000}"/>
    <cellStyle name="Normal 5 2 3 2 2 2 6 2" xfId="6865" xr:uid="{00000000-0005-0000-0000-000048180000}"/>
    <cellStyle name="Normal 5 2 3 2 2 2 6 2 2" xfId="32204" xr:uid="{20BAF0B5-FB78-4BDD-A10F-7700998017DB}"/>
    <cellStyle name="Normal 5 2 3 2 2 2 6 2 3" xfId="23763" xr:uid="{508A179D-284E-4802-AEB5-02B2406C549E}"/>
    <cellStyle name="Normal 5 2 3 2 2 2 6 2 4" xfId="15315" xr:uid="{C05FC80B-67C2-4D5C-919C-47DEAE5E0713}"/>
    <cellStyle name="Normal 5 2 3 2 2 2 6 3" xfId="27986" xr:uid="{20CB596A-0CC5-471D-B58C-B14E9192E983}"/>
    <cellStyle name="Normal 5 2 3 2 2 2 6 4" xfId="19545" xr:uid="{8E844EB1-6BBE-428B-8DCA-2B146F4337DC}"/>
    <cellStyle name="Normal 5 2 3 2 2 2 6 5" xfId="11097" xr:uid="{503E08E1-9C89-484E-A718-8181B0B25B5D}"/>
    <cellStyle name="Normal 5 2 3 2 2 2 7" xfId="4800" xr:uid="{00000000-0005-0000-0000-000049180000}"/>
    <cellStyle name="Normal 5 2 3 2 2 2 7 2" xfId="30139" xr:uid="{370F9C99-C6F8-4463-A7ED-AFBEF29731D9}"/>
    <cellStyle name="Normal 5 2 3 2 2 2 7 3" xfId="21698" xr:uid="{95891817-36AD-4665-AC4F-BCB69B03275E}"/>
    <cellStyle name="Normal 5 2 3 2 2 2 7 4" xfId="13250" xr:uid="{BD36FAF4-71C7-4A87-AABD-3D33D15424CA}"/>
    <cellStyle name="Normal 5 2 3 2 2 2 8" xfId="25921" xr:uid="{D0813092-C033-4DF6-9635-9E11E399F410}"/>
    <cellStyle name="Normal 5 2 3 2 2 2 9" xfId="17480" xr:uid="{DBF50795-D70E-4663-AB2A-C8E96A5010C8}"/>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32696" xr:uid="{F619784E-7108-4840-BCC4-486F082D65B7}"/>
    <cellStyle name="Normal 5 2 3 2 2 3 2 2 3" xfId="24255" xr:uid="{5616732F-D4B4-4B37-9191-AD58F285496D}"/>
    <cellStyle name="Normal 5 2 3 2 2 3 2 2 4" xfId="15807" xr:uid="{E9199095-24BD-4F85-9689-06AF674EF35D}"/>
    <cellStyle name="Normal 5 2 3 2 2 3 2 3" xfId="28478" xr:uid="{10F09A7B-C336-41B3-AF72-A5762FCA7676}"/>
    <cellStyle name="Normal 5 2 3 2 2 3 2 4" xfId="20037" xr:uid="{2BC147F4-0937-4ABD-8394-5B2B6B827997}"/>
    <cellStyle name="Normal 5 2 3 2 2 3 2 5" xfId="11589" xr:uid="{EC8FB5B9-23A2-4D51-820F-113FD8649CEC}"/>
    <cellStyle name="Normal 5 2 3 2 2 3 3" xfId="5212" xr:uid="{00000000-0005-0000-0000-00004D180000}"/>
    <cellStyle name="Normal 5 2 3 2 2 3 3 2" xfId="30551" xr:uid="{4019FED4-D364-4D5C-A938-50FC1CD0FCBA}"/>
    <cellStyle name="Normal 5 2 3 2 2 3 3 3" xfId="22110" xr:uid="{2486A785-654C-43BE-8BC0-4417E8AF40B6}"/>
    <cellStyle name="Normal 5 2 3 2 2 3 3 4" xfId="13662" xr:uid="{6A5273F8-3BCC-4889-82CF-0B0E2BA7794F}"/>
    <cellStyle name="Normal 5 2 3 2 2 3 4" xfId="26333" xr:uid="{B01A1C59-6798-407F-90F5-1F7DEB8BE5B1}"/>
    <cellStyle name="Normal 5 2 3 2 2 3 5" xfId="17892" xr:uid="{222994E7-B376-4DD7-B813-C6A439237746}"/>
    <cellStyle name="Normal 5 2 3 2 2 3 6" xfId="9444" xr:uid="{6D36A56F-B1F0-4012-AE18-63C21F3EE5BC}"/>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33109" xr:uid="{1C578202-416B-40F5-8C61-6E38A7CA7A40}"/>
    <cellStyle name="Normal 5 2 3 2 2 4 2 2 3" xfId="24668" xr:uid="{801BBC2D-6994-4EF3-A3D6-70C01F70A9D7}"/>
    <cellStyle name="Normal 5 2 3 2 2 4 2 2 4" xfId="16220" xr:uid="{FBA9DC63-462E-4096-B0D9-571161B7BACC}"/>
    <cellStyle name="Normal 5 2 3 2 2 4 2 3" xfId="28891" xr:uid="{CAF3486C-2D7F-4F4B-8D9E-63C95EAE6D6B}"/>
    <cellStyle name="Normal 5 2 3 2 2 4 2 4" xfId="20450" xr:uid="{A12E8B4D-768B-403E-935F-6EF2DAD7E4F7}"/>
    <cellStyle name="Normal 5 2 3 2 2 4 2 5" xfId="12002" xr:uid="{D41CB7EE-01E1-4B45-80D8-B7027D6E6D8E}"/>
    <cellStyle name="Normal 5 2 3 2 2 4 3" xfId="5625" xr:uid="{00000000-0005-0000-0000-000051180000}"/>
    <cellStyle name="Normal 5 2 3 2 2 4 3 2" xfId="30964" xr:uid="{7D8BA740-FBDF-4D41-AB2C-E1776673ACFD}"/>
    <cellStyle name="Normal 5 2 3 2 2 4 3 3" xfId="22523" xr:uid="{F1D0562C-2212-4E67-9122-3D862FAD7A82}"/>
    <cellStyle name="Normal 5 2 3 2 2 4 3 4" xfId="14075" xr:uid="{6C97E3C0-2BF5-49E8-91DB-B768F83C6BEA}"/>
    <cellStyle name="Normal 5 2 3 2 2 4 4" xfId="26746" xr:uid="{7C414EA2-5E53-4F3F-9253-8F88B0B9F4B7}"/>
    <cellStyle name="Normal 5 2 3 2 2 4 5" xfId="18305" xr:uid="{5E2E531B-98B8-49D0-B68D-15E0C4735541}"/>
    <cellStyle name="Normal 5 2 3 2 2 4 6" xfId="9857" xr:uid="{7735D81C-0EBE-4251-9903-EF7309B01754}"/>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33522" xr:uid="{C9DEE9B9-AECF-4474-8B17-EE8DD9AA1462}"/>
    <cellStyle name="Normal 5 2 3 2 2 5 2 2 3" xfId="25081" xr:uid="{08A899AD-8F3D-49FD-BEC4-FCCBABF4E38C}"/>
    <cellStyle name="Normal 5 2 3 2 2 5 2 2 4" xfId="16633" xr:uid="{6C8BE55B-2C1A-48DF-BA23-5A84CB1956F6}"/>
    <cellStyle name="Normal 5 2 3 2 2 5 2 3" xfId="29304" xr:uid="{A278DE03-2A03-4D38-B6B2-CD38E0501CF6}"/>
    <cellStyle name="Normal 5 2 3 2 2 5 2 4" xfId="20863" xr:uid="{33B155DE-CDBD-4444-B83A-CC1853EFE909}"/>
    <cellStyle name="Normal 5 2 3 2 2 5 2 5" xfId="12415" xr:uid="{7370B4D4-B0C7-4D25-A661-CBE31469B995}"/>
    <cellStyle name="Normal 5 2 3 2 2 5 3" xfId="6038" xr:uid="{00000000-0005-0000-0000-000055180000}"/>
    <cellStyle name="Normal 5 2 3 2 2 5 3 2" xfId="31377" xr:uid="{FF0507E2-ED23-4B97-9A45-A699AFFA0316}"/>
    <cellStyle name="Normal 5 2 3 2 2 5 3 3" xfId="22936" xr:uid="{71E832AA-A132-4F40-BF4C-C141BE2EB7E6}"/>
    <cellStyle name="Normal 5 2 3 2 2 5 3 4" xfId="14488" xr:uid="{9FCF247A-53D2-4B0E-992D-D5DD954C8042}"/>
    <cellStyle name="Normal 5 2 3 2 2 5 4" xfId="27159" xr:uid="{873E9E35-BB65-4430-8EC9-43DB216CF3C2}"/>
    <cellStyle name="Normal 5 2 3 2 2 5 5" xfId="18718" xr:uid="{72446B00-2BB7-40DD-B15D-E964F1051689}"/>
    <cellStyle name="Normal 5 2 3 2 2 5 6" xfId="10270" xr:uid="{66467B48-2B9A-4D1D-9773-DF600F077347}"/>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33935" xr:uid="{649E589B-BF94-4C89-A5BE-342245B7F2AF}"/>
    <cellStyle name="Normal 5 2 3 2 2 6 2 2 3" xfId="25494" xr:uid="{A033D89D-B1EB-47CC-99E8-A86A36C37352}"/>
    <cellStyle name="Normal 5 2 3 2 2 6 2 2 4" xfId="17046" xr:uid="{CBBD8255-8C85-41CF-BCF1-ECC5B38F2831}"/>
    <cellStyle name="Normal 5 2 3 2 2 6 2 3" xfId="29717" xr:uid="{E97A3F94-082C-4564-A160-68D498FF1FC7}"/>
    <cellStyle name="Normal 5 2 3 2 2 6 2 4" xfId="21276" xr:uid="{42B05B32-F30B-4F53-88BB-44C2C3D63201}"/>
    <cellStyle name="Normal 5 2 3 2 2 6 2 5" xfId="12828" xr:uid="{A5929808-04CC-4C9D-A578-35B8E5DD00DE}"/>
    <cellStyle name="Normal 5 2 3 2 2 6 3" xfId="6451" xr:uid="{00000000-0005-0000-0000-000059180000}"/>
    <cellStyle name="Normal 5 2 3 2 2 6 3 2" xfId="31790" xr:uid="{5BBF530C-1657-4D26-ACD6-33F52C8373ED}"/>
    <cellStyle name="Normal 5 2 3 2 2 6 3 3" xfId="23349" xr:uid="{A8D4B5BC-C785-4FD7-BF01-34D9FF1D92B4}"/>
    <cellStyle name="Normal 5 2 3 2 2 6 3 4" xfId="14901" xr:uid="{9C8625A9-0628-4227-A1B5-A5AFD362709B}"/>
    <cellStyle name="Normal 5 2 3 2 2 6 4" xfId="27572" xr:uid="{E8B719BD-B6A1-4C9E-8601-A8B5FCEB45BB}"/>
    <cellStyle name="Normal 5 2 3 2 2 6 5" xfId="19131" xr:uid="{B3DAAA4C-922A-4E83-B3BF-5286504AF1C8}"/>
    <cellStyle name="Normal 5 2 3 2 2 6 6" xfId="10683" xr:uid="{495A4F62-FEC3-4998-B49C-E26D01C72AF6}"/>
    <cellStyle name="Normal 5 2 3 2 2 7" xfId="2581" xr:uid="{00000000-0005-0000-0000-00005A180000}"/>
    <cellStyle name="Normal 5 2 3 2 2 7 2" xfId="6864" xr:uid="{00000000-0005-0000-0000-00005B180000}"/>
    <cellStyle name="Normal 5 2 3 2 2 7 2 2" xfId="32203" xr:uid="{1A3380F2-7F15-4EB9-A843-D6A11B3F116F}"/>
    <cellStyle name="Normal 5 2 3 2 2 7 2 3" xfId="23762" xr:uid="{CA0FB171-FC59-4F86-8D09-602A3921EAC2}"/>
    <cellStyle name="Normal 5 2 3 2 2 7 2 4" xfId="15314" xr:uid="{DAFBB18B-F1F2-4766-A597-4D840E798C56}"/>
    <cellStyle name="Normal 5 2 3 2 2 7 3" xfId="27985" xr:uid="{56BDDE36-69BB-42F8-AEC3-AA345AECD330}"/>
    <cellStyle name="Normal 5 2 3 2 2 7 4" xfId="19544" xr:uid="{C8652E7E-7C01-4BE0-ABFA-5CF167114B60}"/>
    <cellStyle name="Normal 5 2 3 2 2 7 5" xfId="11096" xr:uid="{2FF672AF-F606-4BCD-BDE5-FD9EFB6AF7FE}"/>
    <cellStyle name="Normal 5 2 3 2 2 8" xfId="4799" xr:uid="{00000000-0005-0000-0000-00005C180000}"/>
    <cellStyle name="Normal 5 2 3 2 2 8 2" xfId="30138" xr:uid="{A12610EF-EFF8-4EBD-9FC5-C618137E7317}"/>
    <cellStyle name="Normal 5 2 3 2 2 8 3" xfId="21697" xr:uid="{140763D0-B0CE-4AAA-A535-0B570434FCB5}"/>
    <cellStyle name="Normal 5 2 3 2 2 8 4" xfId="13249" xr:uid="{617F1E08-1F9D-47B9-978E-51D5A39A63E3}"/>
    <cellStyle name="Normal 5 2 3 2 2 9" xfId="25920" xr:uid="{67552498-AB48-4DE6-99FC-5A40387D9E48}"/>
    <cellStyle name="Normal 5 2 3 2 3" xfId="428" xr:uid="{00000000-0005-0000-0000-00005D180000}"/>
    <cellStyle name="Normal 5 2 3 2 3 10" xfId="9033" xr:uid="{A3B44DB4-C4D4-4287-AF16-5B5460C94613}"/>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32698" xr:uid="{33D03614-D4B3-426F-BD26-45F20BCC7A90}"/>
    <cellStyle name="Normal 5 2 3 2 3 2 2 2 3" xfId="24257" xr:uid="{5AE124FD-A977-412C-A2F6-8E407A912856}"/>
    <cellStyle name="Normal 5 2 3 2 3 2 2 2 4" xfId="15809" xr:uid="{7DB4CB49-CD79-47D3-87CD-E75EB3D770B9}"/>
    <cellStyle name="Normal 5 2 3 2 3 2 2 3" xfId="28480" xr:uid="{18A911F7-E58B-4F75-B5C3-8BF6AFB81200}"/>
    <cellStyle name="Normal 5 2 3 2 3 2 2 4" xfId="20039" xr:uid="{514C7277-C4CA-42A2-AE82-EBB5DC64D1EB}"/>
    <cellStyle name="Normal 5 2 3 2 3 2 2 5" xfId="11591" xr:uid="{814EE0C6-CD7A-446C-8B8E-65A829010B8A}"/>
    <cellStyle name="Normal 5 2 3 2 3 2 3" xfId="5214" xr:uid="{00000000-0005-0000-0000-000061180000}"/>
    <cellStyle name="Normal 5 2 3 2 3 2 3 2" xfId="30553" xr:uid="{F4B010C4-CD40-4648-9DD2-B124AE7E442B}"/>
    <cellStyle name="Normal 5 2 3 2 3 2 3 3" xfId="22112" xr:uid="{2E281E97-F639-4B90-A6D2-5B3DB5797C24}"/>
    <cellStyle name="Normal 5 2 3 2 3 2 3 4" xfId="13664" xr:uid="{44BED0EA-1A19-4E8F-A538-734BC62AF6C5}"/>
    <cellStyle name="Normal 5 2 3 2 3 2 4" xfId="26335" xr:uid="{88BD119F-052B-412A-830B-846318C6919F}"/>
    <cellStyle name="Normal 5 2 3 2 3 2 5" xfId="17894" xr:uid="{7B09B04D-A3CC-42A3-9E05-85F53BA73262}"/>
    <cellStyle name="Normal 5 2 3 2 3 2 6" xfId="9446" xr:uid="{83A0CA73-BB80-4192-AFC7-F43DE628D7AB}"/>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33111" xr:uid="{64C88F08-B6A8-4BBF-BC17-CEEE78B8C760}"/>
    <cellStyle name="Normal 5 2 3 2 3 3 2 2 3" xfId="24670" xr:uid="{A36B5488-A6CA-4E28-9FFA-CF6126DCA4B0}"/>
    <cellStyle name="Normal 5 2 3 2 3 3 2 2 4" xfId="16222" xr:uid="{840DC38B-B8F3-4920-B980-0A49219743CA}"/>
    <cellStyle name="Normal 5 2 3 2 3 3 2 3" xfId="28893" xr:uid="{0AFA1B38-81E2-40B6-9480-DFE5E265B500}"/>
    <cellStyle name="Normal 5 2 3 2 3 3 2 4" xfId="20452" xr:uid="{12B06707-5F1F-4C04-B7E9-4A759A955F7F}"/>
    <cellStyle name="Normal 5 2 3 2 3 3 2 5" xfId="12004" xr:uid="{11110B32-B3A9-44C7-8A7C-E169A966211E}"/>
    <cellStyle name="Normal 5 2 3 2 3 3 3" xfId="5627" xr:uid="{00000000-0005-0000-0000-000065180000}"/>
    <cellStyle name="Normal 5 2 3 2 3 3 3 2" xfId="30966" xr:uid="{345E4C31-C43C-44BA-BE4D-8F6DCBFF3423}"/>
    <cellStyle name="Normal 5 2 3 2 3 3 3 3" xfId="22525" xr:uid="{467B0C48-25AF-421D-9005-345423068AF0}"/>
    <cellStyle name="Normal 5 2 3 2 3 3 3 4" xfId="14077" xr:uid="{84471C13-0D62-4FE7-BF12-44DFA0699F88}"/>
    <cellStyle name="Normal 5 2 3 2 3 3 4" xfId="26748" xr:uid="{C547CEBF-8BF3-4CC3-9960-31337D75F83B}"/>
    <cellStyle name="Normal 5 2 3 2 3 3 5" xfId="18307" xr:uid="{A48CC726-BCF3-4143-A685-4A8A7A501CD5}"/>
    <cellStyle name="Normal 5 2 3 2 3 3 6" xfId="9859" xr:uid="{B551F161-6236-443C-A486-1BC338EC5849}"/>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33524" xr:uid="{B5162C57-722F-4D65-A9C1-5DB5EE62B0C9}"/>
    <cellStyle name="Normal 5 2 3 2 3 4 2 2 3" xfId="25083" xr:uid="{4DB470DF-7EEB-4054-8475-5DDDDBB0AA17}"/>
    <cellStyle name="Normal 5 2 3 2 3 4 2 2 4" xfId="16635" xr:uid="{DBECF57C-7610-481B-A6D6-B1FB6A8009B4}"/>
    <cellStyle name="Normal 5 2 3 2 3 4 2 3" xfId="29306" xr:uid="{9BAD5958-1763-48E1-9544-85D4C31A1F5A}"/>
    <cellStyle name="Normal 5 2 3 2 3 4 2 4" xfId="20865" xr:uid="{99B7CF5D-E5CC-4E69-BC9E-AF78428463C2}"/>
    <cellStyle name="Normal 5 2 3 2 3 4 2 5" xfId="12417" xr:uid="{02F9D7DB-C453-4BBA-8078-CBB5FC9D1E51}"/>
    <cellStyle name="Normal 5 2 3 2 3 4 3" xfId="6040" xr:uid="{00000000-0005-0000-0000-000069180000}"/>
    <cellStyle name="Normal 5 2 3 2 3 4 3 2" xfId="31379" xr:uid="{1583F12C-FA69-4DAC-A25F-ADD364C38CE2}"/>
    <cellStyle name="Normal 5 2 3 2 3 4 3 3" xfId="22938" xr:uid="{613131E5-7E35-4D4F-A8F0-69FE6B1398CC}"/>
    <cellStyle name="Normal 5 2 3 2 3 4 3 4" xfId="14490" xr:uid="{44C241C4-48E2-421D-AF49-78E108148D80}"/>
    <cellStyle name="Normal 5 2 3 2 3 4 4" xfId="27161" xr:uid="{F4644778-3B20-43FD-A33A-30F9BA996E1C}"/>
    <cellStyle name="Normal 5 2 3 2 3 4 5" xfId="18720" xr:uid="{D58E7312-4217-48AD-A683-32AE43E93F8A}"/>
    <cellStyle name="Normal 5 2 3 2 3 4 6" xfId="10272" xr:uid="{B2EA31CC-445A-479D-98D5-0034F013E9E7}"/>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33937" xr:uid="{298D4BDA-0174-40DA-94E3-EA7F217A769E}"/>
    <cellStyle name="Normal 5 2 3 2 3 5 2 2 3" xfId="25496" xr:uid="{07C231BC-3644-4084-8651-511FB06A0FD0}"/>
    <cellStyle name="Normal 5 2 3 2 3 5 2 2 4" xfId="17048" xr:uid="{8F020F17-045D-4D63-BADE-0BB433418CD0}"/>
    <cellStyle name="Normal 5 2 3 2 3 5 2 3" xfId="29719" xr:uid="{BAF365C9-37CD-423C-8C81-E489764E86AC}"/>
    <cellStyle name="Normal 5 2 3 2 3 5 2 4" xfId="21278" xr:uid="{62F09655-69E6-4E0E-9884-D56F5468C4CB}"/>
    <cellStyle name="Normal 5 2 3 2 3 5 2 5" xfId="12830" xr:uid="{64058353-2063-4334-8AC4-6DE92EC248FC}"/>
    <cellStyle name="Normal 5 2 3 2 3 5 3" xfId="6453" xr:uid="{00000000-0005-0000-0000-00006D180000}"/>
    <cellStyle name="Normal 5 2 3 2 3 5 3 2" xfId="31792" xr:uid="{C0022DD6-E56B-4330-8153-EF5C3AB811AC}"/>
    <cellStyle name="Normal 5 2 3 2 3 5 3 3" xfId="23351" xr:uid="{C1C9FB1F-FA02-4E19-A816-958A3E940075}"/>
    <cellStyle name="Normal 5 2 3 2 3 5 3 4" xfId="14903" xr:uid="{C5CB1E18-41C3-4DE3-B8A2-7E6C8D7B0780}"/>
    <cellStyle name="Normal 5 2 3 2 3 5 4" xfId="27574" xr:uid="{DEA75704-B863-417B-9080-C83330D70253}"/>
    <cellStyle name="Normal 5 2 3 2 3 5 5" xfId="19133" xr:uid="{F552659F-D9A1-482C-85BA-4990F73EB5AC}"/>
    <cellStyle name="Normal 5 2 3 2 3 5 6" xfId="10685" xr:uid="{DEB8BB7F-E3CC-4202-AA62-7959CA6D3BAE}"/>
    <cellStyle name="Normal 5 2 3 2 3 6" xfId="2583" xr:uid="{00000000-0005-0000-0000-00006E180000}"/>
    <cellStyle name="Normal 5 2 3 2 3 6 2" xfId="6866" xr:uid="{00000000-0005-0000-0000-00006F180000}"/>
    <cellStyle name="Normal 5 2 3 2 3 6 2 2" xfId="32205" xr:uid="{8CBCA747-8956-44C9-87FA-C4AC329622E0}"/>
    <cellStyle name="Normal 5 2 3 2 3 6 2 3" xfId="23764" xr:uid="{29895894-2619-4D42-9BD1-0023D2FA63CB}"/>
    <cellStyle name="Normal 5 2 3 2 3 6 2 4" xfId="15316" xr:uid="{5A68DC37-7E25-4D4B-A26B-11C9D6159147}"/>
    <cellStyle name="Normal 5 2 3 2 3 6 3" xfId="27987" xr:uid="{12E0FA29-B15D-4787-B89A-66BD4EC6EA0A}"/>
    <cellStyle name="Normal 5 2 3 2 3 6 4" xfId="19546" xr:uid="{86B838FA-BEB3-40F1-ADED-8CC3FBD8EC23}"/>
    <cellStyle name="Normal 5 2 3 2 3 6 5" xfId="11098" xr:uid="{63B0299D-E717-493C-9B60-33C05F9EF712}"/>
    <cellStyle name="Normal 5 2 3 2 3 7" xfId="4801" xr:uid="{00000000-0005-0000-0000-000070180000}"/>
    <cellStyle name="Normal 5 2 3 2 3 7 2" xfId="30140" xr:uid="{878D0186-999D-448E-9F3D-066B941CFA76}"/>
    <cellStyle name="Normal 5 2 3 2 3 7 3" xfId="21699" xr:uid="{B4D42559-7C32-4834-9EE0-29A9C6CC287C}"/>
    <cellStyle name="Normal 5 2 3 2 3 7 4" xfId="13251" xr:uid="{0B3ABCDA-FCC7-4572-998E-7F1B2110358D}"/>
    <cellStyle name="Normal 5 2 3 2 3 8" xfId="25922" xr:uid="{BB212257-23C4-452E-B80A-3093AF011C8E}"/>
    <cellStyle name="Normal 5 2 3 2 3 9" xfId="17481" xr:uid="{3E0692F0-FF7E-4474-B9EA-C736D1B5FFB8}"/>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32695" xr:uid="{6847A57C-5C2A-4886-A5B1-F910C62DD2EE}"/>
    <cellStyle name="Normal 5 2 3 2 4 2 2 3" xfId="24254" xr:uid="{DA2AA3D2-BAD4-44E0-9FA7-0A57CA2D4D8D}"/>
    <cellStyle name="Normal 5 2 3 2 4 2 2 4" xfId="15806" xr:uid="{1307D9C8-40CC-44C6-ABC0-D94150E31FA5}"/>
    <cellStyle name="Normal 5 2 3 2 4 2 3" xfId="28477" xr:uid="{02D87B6F-5267-400D-BF84-9BCD8024AA22}"/>
    <cellStyle name="Normal 5 2 3 2 4 2 4" xfId="20036" xr:uid="{0DB79150-E1EE-4D55-895E-EBDEEA5C1D9B}"/>
    <cellStyle name="Normal 5 2 3 2 4 2 5" xfId="11588" xr:uid="{714EE997-E4F1-4320-941C-B018CED08C66}"/>
    <cellStyle name="Normal 5 2 3 2 4 3" xfId="5211" xr:uid="{00000000-0005-0000-0000-000074180000}"/>
    <cellStyle name="Normal 5 2 3 2 4 3 2" xfId="30550" xr:uid="{A6247FBE-FEB2-44F5-A914-2F9EB5B3CE6B}"/>
    <cellStyle name="Normal 5 2 3 2 4 3 3" xfId="22109" xr:uid="{4783A27D-96A0-4753-BEB2-BF69D113F4F8}"/>
    <cellStyle name="Normal 5 2 3 2 4 3 4" xfId="13661" xr:uid="{A13E21ED-C689-40F8-BB00-EE922614E991}"/>
    <cellStyle name="Normal 5 2 3 2 4 4" xfId="26332" xr:uid="{25A64B50-4BF1-49F2-B89D-8DD754C81F46}"/>
    <cellStyle name="Normal 5 2 3 2 4 5" xfId="17891" xr:uid="{64A5F30E-EC11-4197-8995-7FE0381A67E7}"/>
    <cellStyle name="Normal 5 2 3 2 4 6" xfId="9443" xr:uid="{67353A27-A56A-4153-BEF8-DE72D64B1345}"/>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33108" xr:uid="{A06D0545-E2D5-450C-9660-78966E92807E}"/>
    <cellStyle name="Normal 5 2 3 2 5 2 2 3" xfId="24667" xr:uid="{54603314-4223-4578-A281-139515065D62}"/>
    <cellStyle name="Normal 5 2 3 2 5 2 2 4" xfId="16219" xr:uid="{85A92DF1-FA2B-461C-A831-1FEA03BA73C2}"/>
    <cellStyle name="Normal 5 2 3 2 5 2 3" xfId="28890" xr:uid="{671387A1-B233-45EA-9B30-2DC569938C56}"/>
    <cellStyle name="Normal 5 2 3 2 5 2 4" xfId="20449" xr:uid="{6A61D63D-C8DD-4BF7-B52C-DBF6C90E50C9}"/>
    <cellStyle name="Normal 5 2 3 2 5 2 5" xfId="12001" xr:uid="{6A7E3BA9-29C2-490B-97BC-2A518A8176E7}"/>
    <cellStyle name="Normal 5 2 3 2 5 3" xfId="5624" xr:uid="{00000000-0005-0000-0000-000078180000}"/>
    <cellStyle name="Normal 5 2 3 2 5 3 2" xfId="30963" xr:uid="{9C8FA045-461C-474C-9951-8F23A74B9F75}"/>
    <cellStyle name="Normal 5 2 3 2 5 3 3" xfId="22522" xr:uid="{13773630-9ADC-4FAB-AE73-B3DFFDA9D421}"/>
    <cellStyle name="Normal 5 2 3 2 5 3 4" xfId="14074" xr:uid="{C89B1BA8-E19C-43BC-8DA7-5BD0257676A3}"/>
    <cellStyle name="Normal 5 2 3 2 5 4" xfId="26745" xr:uid="{C76D0039-574A-4D28-869B-0C76634D8DDD}"/>
    <cellStyle name="Normal 5 2 3 2 5 5" xfId="18304" xr:uid="{05137ED9-2B05-45D9-AC99-C714103B57C9}"/>
    <cellStyle name="Normal 5 2 3 2 5 6" xfId="9856" xr:uid="{D52EF3FB-23A4-4E9E-935D-6D5CE002C166}"/>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33521" xr:uid="{6B05F7EF-12A1-42DD-8FAB-7C9ED912F663}"/>
    <cellStyle name="Normal 5 2 3 2 6 2 2 3" xfId="25080" xr:uid="{C48D63BD-44BA-47EB-A491-F87D4CC521C3}"/>
    <cellStyle name="Normal 5 2 3 2 6 2 2 4" xfId="16632" xr:uid="{938A4527-F71D-4029-9E26-EE663E4BC116}"/>
    <cellStyle name="Normal 5 2 3 2 6 2 3" xfId="29303" xr:uid="{50C65FDF-8857-40C4-8EE6-566F62B2AC75}"/>
    <cellStyle name="Normal 5 2 3 2 6 2 4" xfId="20862" xr:uid="{5FBC2F26-49DE-40DF-A444-AE2A811E3FE0}"/>
    <cellStyle name="Normal 5 2 3 2 6 2 5" xfId="12414" xr:uid="{CAAA523A-ED44-4447-BC80-656E5B91305C}"/>
    <cellStyle name="Normal 5 2 3 2 6 3" xfId="6037" xr:uid="{00000000-0005-0000-0000-00007C180000}"/>
    <cellStyle name="Normal 5 2 3 2 6 3 2" xfId="31376" xr:uid="{7E9BD102-0C82-41F1-8A90-D1B2E7C01D1A}"/>
    <cellStyle name="Normal 5 2 3 2 6 3 3" xfId="22935" xr:uid="{3EC19F52-6420-41E5-BDFC-F4F4FF7442D2}"/>
    <cellStyle name="Normal 5 2 3 2 6 3 4" xfId="14487" xr:uid="{ACF598DB-91EE-40E0-9583-5A8BA03C5A67}"/>
    <cellStyle name="Normal 5 2 3 2 6 4" xfId="27158" xr:uid="{080E0287-DAA8-4B04-A803-2E7F7F6BFBE5}"/>
    <cellStyle name="Normal 5 2 3 2 6 5" xfId="18717" xr:uid="{EF7454C8-3020-4C7F-AAC5-52D430583618}"/>
    <cellStyle name="Normal 5 2 3 2 6 6" xfId="10269" xr:uid="{07D92CC6-25DE-402E-ACBB-AA8296B160F4}"/>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33934" xr:uid="{59105E8F-D635-4DC4-B3E8-47BD7D899BD5}"/>
    <cellStyle name="Normal 5 2 3 2 7 2 2 3" xfId="25493" xr:uid="{0BC58CD3-6E46-4EF4-9BA8-179E92327FF5}"/>
    <cellStyle name="Normal 5 2 3 2 7 2 2 4" xfId="17045" xr:uid="{51968761-F636-4F68-AB21-ADF6EDCAD230}"/>
    <cellStyle name="Normal 5 2 3 2 7 2 3" xfId="29716" xr:uid="{859882C3-4F8B-4F38-8847-07BC2CF1271B}"/>
    <cellStyle name="Normal 5 2 3 2 7 2 4" xfId="21275" xr:uid="{6DCE84DA-E550-43D4-B721-4703F583D319}"/>
    <cellStyle name="Normal 5 2 3 2 7 2 5" xfId="12827" xr:uid="{D7EDEF2B-AE4A-4209-8110-174656B7B4F3}"/>
    <cellStyle name="Normal 5 2 3 2 7 3" xfId="6450" xr:uid="{00000000-0005-0000-0000-000080180000}"/>
    <cellStyle name="Normal 5 2 3 2 7 3 2" xfId="31789" xr:uid="{5FB9A48E-547A-4EAE-A027-0FA309413FEC}"/>
    <cellStyle name="Normal 5 2 3 2 7 3 3" xfId="23348" xr:uid="{01EC8877-5FE1-4630-9341-36F2894341A9}"/>
    <cellStyle name="Normal 5 2 3 2 7 3 4" xfId="14900" xr:uid="{F1EC131A-3918-4B81-9652-DD37D41624AF}"/>
    <cellStyle name="Normal 5 2 3 2 7 4" xfId="27571" xr:uid="{90B501E0-C8C8-4B2B-8F85-7C4134DB60A0}"/>
    <cellStyle name="Normal 5 2 3 2 7 5" xfId="19130" xr:uid="{4D4109D2-9CE1-4B4A-9AF1-6B783D5CE334}"/>
    <cellStyle name="Normal 5 2 3 2 7 6" xfId="10682" xr:uid="{9F0A79BD-AC2A-4FA4-8495-8CD3113AB2B1}"/>
    <cellStyle name="Normal 5 2 3 2 8" xfId="2580" xr:uid="{00000000-0005-0000-0000-000081180000}"/>
    <cellStyle name="Normal 5 2 3 2 8 2" xfId="6863" xr:uid="{00000000-0005-0000-0000-000082180000}"/>
    <cellStyle name="Normal 5 2 3 2 8 2 2" xfId="32202" xr:uid="{CD0F47EE-170F-4310-8BB5-C01458682D65}"/>
    <cellStyle name="Normal 5 2 3 2 8 2 3" xfId="23761" xr:uid="{FFD18149-0E0B-4A64-8651-0E2E1EB89947}"/>
    <cellStyle name="Normal 5 2 3 2 8 2 4" xfId="15313" xr:uid="{2E39E3A5-EF25-4C95-BA23-E3FE1214490A}"/>
    <cellStyle name="Normal 5 2 3 2 8 3" xfId="27984" xr:uid="{16B3D0C6-1FA5-464C-95FD-91EBA79279BE}"/>
    <cellStyle name="Normal 5 2 3 2 8 4" xfId="19543" xr:uid="{E2E72FE7-B352-4BE4-BDF9-BFCCCA0D97EA}"/>
    <cellStyle name="Normal 5 2 3 2 8 5" xfId="11095" xr:uid="{27250494-9DA6-4AB5-8860-3472A822B5BD}"/>
    <cellStyle name="Normal 5 2 3 2 9" xfId="4798" xr:uid="{00000000-0005-0000-0000-000083180000}"/>
    <cellStyle name="Normal 5 2 3 2 9 2" xfId="30137" xr:uid="{3D8A7DFD-C24C-4EDD-A185-453DA5386416}"/>
    <cellStyle name="Normal 5 2 3 2 9 3" xfId="21696" xr:uid="{7AD82401-5B0A-4463-BA03-0DDFF3A993C6}"/>
    <cellStyle name="Normal 5 2 3 2 9 4" xfId="13248" xr:uid="{68AA208D-982D-4D3B-B047-5B3A864E0FA0}"/>
    <cellStyle name="Normal 5 2 3 3" xfId="429" xr:uid="{00000000-0005-0000-0000-000084180000}"/>
    <cellStyle name="Normal 5 2 3 3 10" xfId="17482" xr:uid="{2B9FA3A5-D96F-4D48-ACDD-0AE87B221A6B}"/>
    <cellStyle name="Normal 5 2 3 3 11" xfId="9034" xr:uid="{39AF9954-925E-4215-A3F5-1624DCBEFB1E}"/>
    <cellStyle name="Normal 5 2 3 3 2" xfId="430" xr:uid="{00000000-0005-0000-0000-000085180000}"/>
    <cellStyle name="Normal 5 2 3 3 2 10" xfId="9035" xr:uid="{B08D3B00-902A-4170-BBE2-B3E8B1555A5F}"/>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32700" xr:uid="{7605630F-CA74-4246-912D-15332DFACF76}"/>
    <cellStyle name="Normal 5 2 3 3 2 2 2 2 3" xfId="24259" xr:uid="{EF753B53-1C32-47F0-937D-38AE96812200}"/>
    <cellStyle name="Normal 5 2 3 3 2 2 2 2 4" xfId="15811" xr:uid="{3AF7BB8B-EB1A-48E3-96C5-B5DF8DA0741B}"/>
    <cellStyle name="Normal 5 2 3 3 2 2 2 3" xfId="28482" xr:uid="{3D5A2365-45AA-40A9-9D43-502678802252}"/>
    <cellStyle name="Normal 5 2 3 3 2 2 2 4" xfId="20041" xr:uid="{E60D75D4-43A0-4664-A55E-AECFAE5FC8C0}"/>
    <cellStyle name="Normal 5 2 3 3 2 2 2 5" xfId="11593" xr:uid="{1075983A-EB05-4792-9058-BB7410DD0317}"/>
    <cellStyle name="Normal 5 2 3 3 2 2 3" xfId="5216" xr:uid="{00000000-0005-0000-0000-000089180000}"/>
    <cellStyle name="Normal 5 2 3 3 2 2 3 2" xfId="30555" xr:uid="{52641D16-9E4C-4323-8E2B-89ECE31E5F2D}"/>
    <cellStyle name="Normal 5 2 3 3 2 2 3 3" xfId="22114" xr:uid="{73942B73-3952-4C9E-AF43-E88205424122}"/>
    <cellStyle name="Normal 5 2 3 3 2 2 3 4" xfId="13666" xr:uid="{9867DA3F-557E-4B59-A501-F78A5C6345A7}"/>
    <cellStyle name="Normal 5 2 3 3 2 2 4" xfId="26337" xr:uid="{ABE03757-A0C4-4290-847D-A76E40FE5220}"/>
    <cellStyle name="Normal 5 2 3 3 2 2 5" xfId="17896" xr:uid="{BC59ED57-18D7-46E1-8EA0-13C7AF3891B5}"/>
    <cellStyle name="Normal 5 2 3 3 2 2 6" xfId="9448" xr:uid="{64FD2E43-45C7-46DF-AB47-4F844EFE772F}"/>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33113" xr:uid="{CD6AC1B7-544F-4CB3-A39C-CE23AB521258}"/>
    <cellStyle name="Normal 5 2 3 3 2 3 2 2 3" xfId="24672" xr:uid="{4134C10F-A04F-4E11-9D03-58FD364AE408}"/>
    <cellStyle name="Normal 5 2 3 3 2 3 2 2 4" xfId="16224" xr:uid="{22743110-67C9-4F83-80C4-6439DE617335}"/>
    <cellStyle name="Normal 5 2 3 3 2 3 2 3" xfId="28895" xr:uid="{50F8DCAA-0CFF-44E3-BF7B-209891C3499B}"/>
    <cellStyle name="Normal 5 2 3 3 2 3 2 4" xfId="20454" xr:uid="{6451AAD3-9E2F-45F4-A5FB-EC39D2B102AD}"/>
    <cellStyle name="Normal 5 2 3 3 2 3 2 5" xfId="12006" xr:uid="{F895AA53-8C94-445A-9C82-6DB8E1C94D2E}"/>
    <cellStyle name="Normal 5 2 3 3 2 3 3" xfId="5629" xr:uid="{00000000-0005-0000-0000-00008D180000}"/>
    <cellStyle name="Normal 5 2 3 3 2 3 3 2" xfId="30968" xr:uid="{3FF43B98-BFB6-48E6-8340-3E473B27C306}"/>
    <cellStyle name="Normal 5 2 3 3 2 3 3 3" xfId="22527" xr:uid="{628FC6AC-2D23-4E0F-9269-5428484AC736}"/>
    <cellStyle name="Normal 5 2 3 3 2 3 3 4" xfId="14079" xr:uid="{23AAEC52-E2DC-49E6-B30B-6D9791C6EFA7}"/>
    <cellStyle name="Normal 5 2 3 3 2 3 4" xfId="26750" xr:uid="{436ACB58-BA48-4A54-A0CA-5870B0770AFA}"/>
    <cellStyle name="Normal 5 2 3 3 2 3 5" xfId="18309" xr:uid="{4BE60E76-464C-4F9F-A1D7-A87BD02EECBF}"/>
    <cellStyle name="Normal 5 2 3 3 2 3 6" xfId="9861" xr:uid="{2722126B-3CC9-401A-9585-EC9288F2D243}"/>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33526" xr:uid="{5BDDA5B3-CAFE-4727-B3FF-A97FCE8376F7}"/>
    <cellStyle name="Normal 5 2 3 3 2 4 2 2 3" xfId="25085" xr:uid="{EC198781-3AE3-4F50-9F60-FDDE2471AC5F}"/>
    <cellStyle name="Normal 5 2 3 3 2 4 2 2 4" xfId="16637" xr:uid="{880AFAEC-EA3A-4A5A-9307-B1065B411052}"/>
    <cellStyle name="Normal 5 2 3 3 2 4 2 3" xfId="29308" xr:uid="{F1A62303-DC37-4C50-B193-A55D7C1FF01F}"/>
    <cellStyle name="Normal 5 2 3 3 2 4 2 4" xfId="20867" xr:uid="{2F6959D0-8CD8-4EB2-9DF0-D0DBDF595F99}"/>
    <cellStyle name="Normal 5 2 3 3 2 4 2 5" xfId="12419" xr:uid="{E3F5E503-058B-480C-969D-71F96A143DA6}"/>
    <cellStyle name="Normal 5 2 3 3 2 4 3" xfId="6042" xr:uid="{00000000-0005-0000-0000-000091180000}"/>
    <cellStyle name="Normal 5 2 3 3 2 4 3 2" xfId="31381" xr:uid="{15D36B19-E9A2-4D26-A209-5D4F65662E6F}"/>
    <cellStyle name="Normal 5 2 3 3 2 4 3 3" xfId="22940" xr:uid="{7228ED58-DD72-490B-9F2F-C1B8C44F1BFF}"/>
    <cellStyle name="Normal 5 2 3 3 2 4 3 4" xfId="14492" xr:uid="{579B164C-2912-42DA-A951-634E23F61E14}"/>
    <cellStyle name="Normal 5 2 3 3 2 4 4" xfId="27163" xr:uid="{36CA6B15-9D8D-4544-B1A7-FE9FAB464041}"/>
    <cellStyle name="Normal 5 2 3 3 2 4 5" xfId="18722" xr:uid="{0A5ACF01-BCE2-4E29-8D80-6E9E72923AAC}"/>
    <cellStyle name="Normal 5 2 3 3 2 4 6" xfId="10274" xr:uid="{20B98839-B219-48F3-9F9B-089AC498E625}"/>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33939" xr:uid="{5B3AC22C-B80D-49B9-9A8E-F569DFB76C8D}"/>
    <cellStyle name="Normal 5 2 3 3 2 5 2 2 3" xfId="25498" xr:uid="{CC23DE50-3883-4B24-A956-E922AFFE5614}"/>
    <cellStyle name="Normal 5 2 3 3 2 5 2 2 4" xfId="17050" xr:uid="{5B97C741-5F3E-4924-87BA-2AD6A52BDBFD}"/>
    <cellStyle name="Normal 5 2 3 3 2 5 2 3" xfId="29721" xr:uid="{2F64145B-561D-4EF4-B6B1-9641C86C3AD4}"/>
    <cellStyle name="Normal 5 2 3 3 2 5 2 4" xfId="21280" xr:uid="{67E95C44-B5AC-4AA0-9768-6681DBCF49E8}"/>
    <cellStyle name="Normal 5 2 3 3 2 5 2 5" xfId="12832" xr:uid="{2FC1C20E-8165-4EDF-9C3F-200D3F87AB26}"/>
    <cellStyle name="Normal 5 2 3 3 2 5 3" xfId="6455" xr:uid="{00000000-0005-0000-0000-000095180000}"/>
    <cellStyle name="Normal 5 2 3 3 2 5 3 2" xfId="31794" xr:uid="{DBF850A1-D17B-4977-9C0E-0A2E6D3C1D2C}"/>
    <cellStyle name="Normal 5 2 3 3 2 5 3 3" xfId="23353" xr:uid="{FA86BE2F-7079-4655-A9EC-3A512332BF8A}"/>
    <cellStyle name="Normal 5 2 3 3 2 5 3 4" xfId="14905" xr:uid="{F8CC6583-837F-4C27-AD5F-37B10FC11FD1}"/>
    <cellStyle name="Normal 5 2 3 3 2 5 4" xfId="27576" xr:uid="{E1778A69-C874-407E-BE76-98B5B179B470}"/>
    <cellStyle name="Normal 5 2 3 3 2 5 5" xfId="19135" xr:uid="{CCEBE626-3341-4814-862C-4D4F83F656F5}"/>
    <cellStyle name="Normal 5 2 3 3 2 5 6" xfId="10687" xr:uid="{E53145EC-ABF3-4E32-B594-D2BD002871C0}"/>
    <cellStyle name="Normal 5 2 3 3 2 6" xfId="2585" xr:uid="{00000000-0005-0000-0000-000096180000}"/>
    <cellStyle name="Normal 5 2 3 3 2 6 2" xfId="6868" xr:uid="{00000000-0005-0000-0000-000097180000}"/>
    <cellStyle name="Normal 5 2 3 3 2 6 2 2" xfId="32207" xr:uid="{E37B45C3-8722-4927-97FB-8675E8F01AB4}"/>
    <cellStyle name="Normal 5 2 3 3 2 6 2 3" xfId="23766" xr:uid="{3CDB8910-3A02-41E4-B921-31A5FA324113}"/>
    <cellStyle name="Normal 5 2 3 3 2 6 2 4" xfId="15318" xr:uid="{55E95FFC-6045-44E7-B355-2576572A6780}"/>
    <cellStyle name="Normal 5 2 3 3 2 6 3" xfId="27989" xr:uid="{0716877C-5E1E-497C-86C3-695DDD5C814E}"/>
    <cellStyle name="Normal 5 2 3 3 2 6 4" xfId="19548" xr:uid="{7A5CA418-F4D4-46AF-A6A7-0BFD34CDA791}"/>
    <cellStyle name="Normal 5 2 3 3 2 6 5" xfId="11100" xr:uid="{17365CFB-2013-4F05-8CF9-CCA3E8993BD2}"/>
    <cellStyle name="Normal 5 2 3 3 2 7" xfId="4803" xr:uid="{00000000-0005-0000-0000-000098180000}"/>
    <cellStyle name="Normal 5 2 3 3 2 7 2" xfId="30142" xr:uid="{CB9E6338-4795-44F3-BB2C-3E8923C2C751}"/>
    <cellStyle name="Normal 5 2 3 3 2 7 3" xfId="21701" xr:uid="{6681C375-C878-4613-B466-DAC56C1FE249}"/>
    <cellStyle name="Normal 5 2 3 3 2 7 4" xfId="13253" xr:uid="{4039DF68-2F68-4477-8682-541E7F6403C3}"/>
    <cellStyle name="Normal 5 2 3 3 2 8" xfId="25924" xr:uid="{3DD4C6B8-5B17-43F5-B8A6-EC22CAB0527C}"/>
    <cellStyle name="Normal 5 2 3 3 2 9" xfId="17483" xr:uid="{7A817E39-170F-474D-9818-A5EED67865B1}"/>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32699" xr:uid="{8437E8BE-F38E-4988-BA5A-62CE07D3E5A6}"/>
    <cellStyle name="Normal 5 2 3 3 3 2 2 3" xfId="24258" xr:uid="{1AE417F0-A90C-4CEE-A3F6-886E94927402}"/>
    <cellStyle name="Normal 5 2 3 3 3 2 2 4" xfId="15810" xr:uid="{285ACB14-794D-4314-A5DE-68925CEC81EF}"/>
    <cellStyle name="Normal 5 2 3 3 3 2 3" xfId="28481" xr:uid="{FF7807F5-D9B7-41FD-9096-A0F990B96A05}"/>
    <cellStyle name="Normal 5 2 3 3 3 2 4" xfId="20040" xr:uid="{E2F356FA-6A5D-4D2A-ADD9-15398CB49DB0}"/>
    <cellStyle name="Normal 5 2 3 3 3 2 5" xfId="11592" xr:uid="{6B2BDD49-8D0C-430D-8535-E5908D26FFA7}"/>
    <cellStyle name="Normal 5 2 3 3 3 3" xfId="5215" xr:uid="{00000000-0005-0000-0000-00009C180000}"/>
    <cellStyle name="Normal 5 2 3 3 3 3 2" xfId="30554" xr:uid="{0321458B-B68E-49B9-AEB9-F6D4308B6607}"/>
    <cellStyle name="Normal 5 2 3 3 3 3 3" xfId="22113" xr:uid="{8EA7AD5A-61D8-4A9D-949E-4CCB251363F8}"/>
    <cellStyle name="Normal 5 2 3 3 3 3 4" xfId="13665" xr:uid="{D7D31400-3B46-405E-89C1-682AC79CB264}"/>
    <cellStyle name="Normal 5 2 3 3 3 4" xfId="26336" xr:uid="{6E149C16-60D7-4C49-B14B-852407D2999D}"/>
    <cellStyle name="Normal 5 2 3 3 3 5" xfId="17895" xr:uid="{71661373-4D12-4222-9427-7AF49040A512}"/>
    <cellStyle name="Normal 5 2 3 3 3 6" xfId="9447" xr:uid="{F693FD18-5D0A-4D6B-87D5-1740D6F699CE}"/>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33112" xr:uid="{0DCD3935-010A-4A9E-9EE4-56A7046343F7}"/>
    <cellStyle name="Normal 5 2 3 3 4 2 2 3" xfId="24671" xr:uid="{1EC040A7-CACD-4AB8-807C-2D9A7B1F412E}"/>
    <cellStyle name="Normal 5 2 3 3 4 2 2 4" xfId="16223" xr:uid="{B272B235-34C0-491A-9C24-55514425D30F}"/>
    <cellStyle name="Normal 5 2 3 3 4 2 3" xfId="28894" xr:uid="{AFDB9475-5FCE-4DFF-B0C5-51BC47A5122B}"/>
    <cellStyle name="Normal 5 2 3 3 4 2 4" xfId="20453" xr:uid="{D31AEA3D-C8B2-4FF1-9017-0FDF2AA228D5}"/>
    <cellStyle name="Normal 5 2 3 3 4 2 5" xfId="12005" xr:uid="{C2C96559-B0AD-4291-B868-EEB961FC8A76}"/>
    <cellStyle name="Normal 5 2 3 3 4 3" xfId="5628" xr:uid="{00000000-0005-0000-0000-0000A0180000}"/>
    <cellStyle name="Normal 5 2 3 3 4 3 2" xfId="30967" xr:uid="{3B193FF8-D5DF-4AC5-AF90-FF6C2F892906}"/>
    <cellStyle name="Normal 5 2 3 3 4 3 3" xfId="22526" xr:uid="{FB0B7AE9-168A-4D08-B67B-338E77D97D45}"/>
    <cellStyle name="Normal 5 2 3 3 4 3 4" xfId="14078" xr:uid="{68E26BA2-90EA-4963-BF1C-807948F8D512}"/>
    <cellStyle name="Normal 5 2 3 3 4 4" xfId="26749" xr:uid="{D8577481-AE5A-4499-B04E-D05581E6EC65}"/>
    <cellStyle name="Normal 5 2 3 3 4 5" xfId="18308" xr:uid="{686525E4-F46B-49F7-9DD3-20A43F728A3E}"/>
    <cellStyle name="Normal 5 2 3 3 4 6" xfId="9860" xr:uid="{90490991-0566-4A1F-A749-5C26757DA8F7}"/>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33525" xr:uid="{44C1B3F4-9796-44DC-8678-57A5F5401A05}"/>
    <cellStyle name="Normal 5 2 3 3 5 2 2 3" xfId="25084" xr:uid="{DEAF380E-99DA-43C8-A681-C59F09B5B7EB}"/>
    <cellStyle name="Normal 5 2 3 3 5 2 2 4" xfId="16636" xr:uid="{92DE499E-1851-4944-A4B8-29494D4EF0A8}"/>
    <cellStyle name="Normal 5 2 3 3 5 2 3" xfId="29307" xr:uid="{2D723CBB-3C95-4965-8744-4BB02A56D3FF}"/>
    <cellStyle name="Normal 5 2 3 3 5 2 4" xfId="20866" xr:uid="{86C88897-1573-405A-8E3A-5E4F76803C15}"/>
    <cellStyle name="Normal 5 2 3 3 5 2 5" xfId="12418" xr:uid="{95935A89-2FD2-4CB3-AFE7-13A537A7BA99}"/>
    <cellStyle name="Normal 5 2 3 3 5 3" xfId="6041" xr:uid="{00000000-0005-0000-0000-0000A4180000}"/>
    <cellStyle name="Normal 5 2 3 3 5 3 2" xfId="31380" xr:uid="{63B4A6E5-EFB3-4007-A7C7-F83F09AF2713}"/>
    <cellStyle name="Normal 5 2 3 3 5 3 3" xfId="22939" xr:uid="{EFDA5267-FC7D-45CF-A13B-8EF5451434A6}"/>
    <cellStyle name="Normal 5 2 3 3 5 3 4" xfId="14491" xr:uid="{20C6F4B7-DC7F-4D81-A1EE-E60DA118D21D}"/>
    <cellStyle name="Normal 5 2 3 3 5 4" xfId="27162" xr:uid="{150271B4-81F7-48EB-9B2E-91C3D4B3E925}"/>
    <cellStyle name="Normal 5 2 3 3 5 5" xfId="18721" xr:uid="{A56A3056-811A-44D5-8267-32738E5C7858}"/>
    <cellStyle name="Normal 5 2 3 3 5 6" xfId="10273" xr:uid="{FD4402CE-0E08-4151-8338-9A9B2C6035A6}"/>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33938" xr:uid="{8D28713C-9A77-4715-ACC9-C99910A091C1}"/>
    <cellStyle name="Normal 5 2 3 3 6 2 2 3" xfId="25497" xr:uid="{7BAAF015-D745-4358-AE52-BCFE7F97A4C0}"/>
    <cellStyle name="Normal 5 2 3 3 6 2 2 4" xfId="17049" xr:uid="{91B4E5A9-7914-4E65-B49B-CE597525F9F6}"/>
    <cellStyle name="Normal 5 2 3 3 6 2 3" xfId="29720" xr:uid="{6347C81F-D413-4CC4-AF2C-F508D060AED2}"/>
    <cellStyle name="Normal 5 2 3 3 6 2 4" xfId="21279" xr:uid="{DF505E61-0C25-4423-8710-B2AAC9C0C517}"/>
    <cellStyle name="Normal 5 2 3 3 6 2 5" xfId="12831" xr:uid="{AD31DEF4-F428-4E95-990C-F4262298780C}"/>
    <cellStyle name="Normal 5 2 3 3 6 3" xfId="6454" xr:uid="{00000000-0005-0000-0000-0000A8180000}"/>
    <cellStyle name="Normal 5 2 3 3 6 3 2" xfId="31793" xr:uid="{2633F6D8-8EBE-4313-9945-4B157C7F8702}"/>
    <cellStyle name="Normal 5 2 3 3 6 3 3" xfId="23352" xr:uid="{3B987594-1C4B-4DF8-B340-6F32EDF4200A}"/>
    <cellStyle name="Normal 5 2 3 3 6 3 4" xfId="14904" xr:uid="{E441BEB5-A6DD-4134-B9D6-CFB1F43CE929}"/>
    <cellStyle name="Normal 5 2 3 3 6 4" xfId="27575" xr:uid="{84477BBA-CED0-4928-9F18-3C02A8867F0E}"/>
    <cellStyle name="Normal 5 2 3 3 6 5" xfId="19134" xr:uid="{A07EFE99-6299-46B0-BDDA-302DF432D4D5}"/>
    <cellStyle name="Normal 5 2 3 3 6 6" xfId="10686" xr:uid="{6B0DFB1A-E1FF-4D41-AA94-8E4D611CADFF}"/>
    <cellStyle name="Normal 5 2 3 3 7" xfId="2584" xr:uid="{00000000-0005-0000-0000-0000A9180000}"/>
    <cellStyle name="Normal 5 2 3 3 7 2" xfId="6867" xr:uid="{00000000-0005-0000-0000-0000AA180000}"/>
    <cellStyle name="Normal 5 2 3 3 7 2 2" xfId="32206" xr:uid="{9EEB210C-4D3C-47F5-8AD9-9E1B8ED85A7D}"/>
    <cellStyle name="Normal 5 2 3 3 7 2 3" xfId="23765" xr:uid="{058EE454-C8A0-4D8B-86A0-1B0424D314D2}"/>
    <cellStyle name="Normal 5 2 3 3 7 2 4" xfId="15317" xr:uid="{74F37758-D2B8-4854-A486-86318E8A03BA}"/>
    <cellStyle name="Normal 5 2 3 3 7 3" xfId="27988" xr:uid="{6451D281-7EB7-45E7-83BD-65C6827BB352}"/>
    <cellStyle name="Normal 5 2 3 3 7 4" xfId="19547" xr:uid="{2103D4F6-704C-456E-AAFD-4B59BFCACAEA}"/>
    <cellStyle name="Normal 5 2 3 3 7 5" xfId="11099" xr:uid="{6B88FA63-2FE4-46AA-9C57-BB67A4F4B283}"/>
    <cellStyle name="Normal 5 2 3 3 8" xfId="4802" xr:uid="{00000000-0005-0000-0000-0000AB180000}"/>
    <cellStyle name="Normal 5 2 3 3 8 2" xfId="30141" xr:uid="{4A50FDBA-F530-46E7-BF5D-336609C65A68}"/>
    <cellStyle name="Normal 5 2 3 3 8 3" xfId="21700" xr:uid="{F20FE8E3-2CA8-48BD-9E47-B77653E96825}"/>
    <cellStyle name="Normal 5 2 3 3 8 4" xfId="13252" xr:uid="{6EB98EEA-61B2-40BF-B135-CE0E832233C6}"/>
    <cellStyle name="Normal 5 2 3 3 9" xfId="25923" xr:uid="{D7E68372-C265-4DBA-A55B-11DD636A3AA8}"/>
    <cellStyle name="Normal 5 2 3 4" xfId="431" xr:uid="{00000000-0005-0000-0000-0000AC180000}"/>
    <cellStyle name="Normal 5 2 3 4 10" xfId="9036" xr:uid="{E8206A8B-8366-477B-A18B-6645973CD81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32701" xr:uid="{2D53AB3A-7F6E-4F00-9B07-0F97B28AADCF}"/>
    <cellStyle name="Normal 5 2 3 4 2 2 2 3" xfId="24260" xr:uid="{AE7C78FA-C6D6-46F3-B73B-62BDDCCBBF31}"/>
    <cellStyle name="Normal 5 2 3 4 2 2 2 4" xfId="15812" xr:uid="{62461610-D154-4F5F-B39F-3F75AB1B324D}"/>
    <cellStyle name="Normal 5 2 3 4 2 2 3" xfId="28483" xr:uid="{512A73DA-EAD2-4EA9-B384-C4128BAE85CE}"/>
    <cellStyle name="Normal 5 2 3 4 2 2 4" xfId="20042" xr:uid="{955080B9-A0F0-498C-B2C7-77DE8FA99EB1}"/>
    <cellStyle name="Normal 5 2 3 4 2 2 5" xfId="11594" xr:uid="{EC2BBC5F-F8E6-4068-8BD9-E2B6983B2CD2}"/>
    <cellStyle name="Normal 5 2 3 4 2 3" xfId="5217" xr:uid="{00000000-0005-0000-0000-0000B0180000}"/>
    <cellStyle name="Normal 5 2 3 4 2 3 2" xfId="30556" xr:uid="{7142A256-1879-4A91-8BF1-A05DF2B246EF}"/>
    <cellStyle name="Normal 5 2 3 4 2 3 3" xfId="22115" xr:uid="{64CA4538-C8CE-41FD-A26C-D61B28FB92F9}"/>
    <cellStyle name="Normal 5 2 3 4 2 3 4" xfId="13667" xr:uid="{4189557C-7DFD-45E0-AD08-117520C98AF6}"/>
    <cellStyle name="Normal 5 2 3 4 2 4" xfId="26338" xr:uid="{FA009C3C-7E37-427F-B039-936A8273B4C0}"/>
    <cellStyle name="Normal 5 2 3 4 2 5" xfId="17897" xr:uid="{CAC333A9-587C-47C8-A808-595E29B05002}"/>
    <cellStyle name="Normal 5 2 3 4 2 6" xfId="9449" xr:uid="{4EE5C6C4-DB36-4942-B01C-781E8C2B631A}"/>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33114" xr:uid="{BE49C6A7-CA2A-43D9-8CD6-DD3E7F5A3065}"/>
    <cellStyle name="Normal 5 2 3 4 3 2 2 3" xfId="24673" xr:uid="{503453CE-C098-412A-BD1C-0710666296D4}"/>
    <cellStyle name="Normal 5 2 3 4 3 2 2 4" xfId="16225" xr:uid="{E2CAF08E-9A42-420E-A158-743AD663C3E4}"/>
    <cellStyle name="Normal 5 2 3 4 3 2 3" xfId="28896" xr:uid="{8078792C-4053-4010-92BB-60969079FAF3}"/>
    <cellStyle name="Normal 5 2 3 4 3 2 4" xfId="20455" xr:uid="{1B978304-44DC-4C2A-B4D2-5FC639123A93}"/>
    <cellStyle name="Normal 5 2 3 4 3 2 5" xfId="12007" xr:uid="{252068B3-053D-4565-85CD-05D70ABD248C}"/>
    <cellStyle name="Normal 5 2 3 4 3 3" xfId="5630" xr:uid="{00000000-0005-0000-0000-0000B4180000}"/>
    <cellStyle name="Normal 5 2 3 4 3 3 2" xfId="30969" xr:uid="{730A2AF7-7F5F-4AED-AE9A-C196AA996906}"/>
    <cellStyle name="Normal 5 2 3 4 3 3 3" xfId="22528" xr:uid="{6985CE80-18BD-40A4-8858-A24785B821B4}"/>
    <cellStyle name="Normal 5 2 3 4 3 3 4" xfId="14080" xr:uid="{0DF8E54A-84A6-45F2-B3C0-CCB4CC645C54}"/>
    <cellStyle name="Normal 5 2 3 4 3 4" xfId="26751" xr:uid="{E76AA37A-46CC-4CBC-98CE-18E24CC04699}"/>
    <cellStyle name="Normal 5 2 3 4 3 5" xfId="18310" xr:uid="{381C982D-230B-4543-9341-57AA77FB0AFC}"/>
    <cellStyle name="Normal 5 2 3 4 3 6" xfId="9862" xr:uid="{CC46B7DA-B65C-4972-AC73-8BF1CD00E4AF}"/>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33527" xr:uid="{EC5E2B10-BC3A-4981-B0F9-49136F8E6912}"/>
    <cellStyle name="Normal 5 2 3 4 4 2 2 3" xfId="25086" xr:uid="{65570B78-651C-4DCB-91B3-57A9BA230E3E}"/>
    <cellStyle name="Normal 5 2 3 4 4 2 2 4" xfId="16638" xr:uid="{D2278BDF-771E-42DD-8D45-B9650C84802B}"/>
    <cellStyle name="Normal 5 2 3 4 4 2 3" xfId="29309" xr:uid="{1138CD70-BF2C-4381-A345-808D63A89AF5}"/>
    <cellStyle name="Normal 5 2 3 4 4 2 4" xfId="20868" xr:uid="{828AF1B0-CA9B-469A-A5F7-871CBDCC51E7}"/>
    <cellStyle name="Normal 5 2 3 4 4 2 5" xfId="12420" xr:uid="{13A9514C-6638-4EF8-A776-BF3C23D0D494}"/>
    <cellStyle name="Normal 5 2 3 4 4 3" xfId="6043" xr:uid="{00000000-0005-0000-0000-0000B8180000}"/>
    <cellStyle name="Normal 5 2 3 4 4 3 2" xfId="31382" xr:uid="{BBD2FDAC-FD19-4407-A8A4-F3B58FAF267C}"/>
    <cellStyle name="Normal 5 2 3 4 4 3 3" xfId="22941" xr:uid="{3523A8D3-E22C-48E8-934E-FFA6D529E253}"/>
    <cellStyle name="Normal 5 2 3 4 4 3 4" xfId="14493" xr:uid="{5D487A1F-CC04-488F-AAB8-84311C8DCBC6}"/>
    <cellStyle name="Normal 5 2 3 4 4 4" xfId="27164" xr:uid="{6AC67308-81A6-4CDA-BE1A-57984106D52F}"/>
    <cellStyle name="Normal 5 2 3 4 4 5" xfId="18723" xr:uid="{99D1AEB9-7F05-4491-9BF1-114BF9420D5B}"/>
    <cellStyle name="Normal 5 2 3 4 4 6" xfId="10275" xr:uid="{48CB6FA3-E332-4C03-82CF-B72E73C0CEA3}"/>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33940" xr:uid="{5DC34C06-2DE3-4088-8F97-9614A812924A}"/>
    <cellStyle name="Normal 5 2 3 4 5 2 2 3" xfId="25499" xr:uid="{C927164F-1EB7-4556-938C-CB38DA46F0B8}"/>
    <cellStyle name="Normal 5 2 3 4 5 2 2 4" xfId="17051" xr:uid="{F03213AD-226F-48CD-B593-3859936E6942}"/>
    <cellStyle name="Normal 5 2 3 4 5 2 3" xfId="29722" xr:uid="{8BF7BFC8-756B-473A-9490-B9911C989A11}"/>
    <cellStyle name="Normal 5 2 3 4 5 2 4" xfId="21281" xr:uid="{B7849A36-7E02-4A8A-86D3-445B6C2248F9}"/>
    <cellStyle name="Normal 5 2 3 4 5 2 5" xfId="12833" xr:uid="{BD69B28F-4297-4E30-B2A0-B1A0231EE31A}"/>
    <cellStyle name="Normal 5 2 3 4 5 3" xfId="6456" xr:uid="{00000000-0005-0000-0000-0000BC180000}"/>
    <cellStyle name="Normal 5 2 3 4 5 3 2" xfId="31795" xr:uid="{0EFCFA35-A363-4753-9C9B-B0411BBFDA71}"/>
    <cellStyle name="Normal 5 2 3 4 5 3 3" xfId="23354" xr:uid="{7832B949-2C04-451E-A0F4-ECF493ED348F}"/>
    <cellStyle name="Normal 5 2 3 4 5 3 4" xfId="14906" xr:uid="{F776F01A-F0B7-4C16-94E0-5982C4DD3451}"/>
    <cellStyle name="Normal 5 2 3 4 5 4" xfId="27577" xr:uid="{56BDEB7A-4662-49B3-A23A-B542120B4A4A}"/>
    <cellStyle name="Normal 5 2 3 4 5 5" xfId="19136" xr:uid="{14B2C92D-A046-4F7B-B0A1-B4E2085CE94C}"/>
    <cellStyle name="Normal 5 2 3 4 5 6" xfId="10688" xr:uid="{623B841A-685B-4646-B72A-7513852DEE49}"/>
    <cellStyle name="Normal 5 2 3 4 6" xfId="2586" xr:uid="{00000000-0005-0000-0000-0000BD180000}"/>
    <cellStyle name="Normal 5 2 3 4 6 2" xfId="6869" xr:uid="{00000000-0005-0000-0000-0000BE180000}"/>
    <cellStyle name="Normal 5 2 3 4 6 2 2" xfId="32208" xr:uid="{0B92D10E-2FC9-4813-ACFB-2D55D67FAFC0}"/>
    <cellStyle name="Normal 5 2 3 4 6 2 3" xfId="23767" xr:uid="{55C33B16-6331-4097-A769-C530C69C7A7B}"/>
    <cellStyle name="Normal 5 2 3 4 6 2 4" xfId="15319" xr:uid="{D977471D-A77A-49B0-AB6F-54FD988F8433}"/>
    <cellStyle name="Normal 5 2 3 4 6 3" xfId="27990" xr:uid="{1DFDC2D7-500B-4844-BC22-537156391130}"/>
    <cellStyle name="Normal 5 2 3 4 6 4" xfId="19549" xr:uid="{80758F57-12A9-42C2-8B34-9490CFCF772B}"/>
    <cellStyle name="Normal 5 2 3 4 6 5" xfId="11101" xr:uid="{56A3EF34-0986-4911-B481-865A49ACECCA}"/>
    <cellStyle name="Normal 5 2 3 4 7" xfId="4804" xr:uid="{00000000-0005-0000-0000-0000BF180000}"/>
    <cellStyle name="Normal 5 2 3 4 7 2" xfId="30143" xr:uid="{7697AD6C-26F0-45AF-A45F-D6311664BECA}"/>
    <cellStyle name="Normal 5 2 3 4 7 3" xfId="21702" xr:uid="{CE9E644F-8F61-4726-8172-2E7C4FBC194C}"/>
    <cellStyle name="Normal 5 2 3 4 7 4" xfId="13254" xr:uid="{C00903D2-F5D8-4266-8E0B-1C5966262F6A}"/>
    <cellStyle name="Normal 5 2 3 4 8" xfId="25925" xr:uid="{559CA265-CAAF-4B63-8080-5BDA5A675FB7}"/>
    <cellStyle name="Normal 5 2 3 4 9" xfId="17484" xr:uid="{40041A4A-182B-4850-B15D-3522E742E4D5}"/>
    <cellStyle name="Normal 5 2 3 5" xfId="898" xr:uid="{00000000-0005-0000-0000-0000C0180000}"/>
    <cellStyle name="Normal 5 2 3 5 2" xfId="3133" xr:uid="{00000000-0005-0000-0000-0000C1180000}"/>
    <cellStyle name="Normal 5 2 3 5 2 2" xfId="7355" xr:uid="{00000000-0005-0000-0000-0000C2180000}"/>
    <cellStyle name="Normal 5 2 3 5 2 2 2" xfId="32694" xr:uid="{5EA9CB36-EE79-490E-92A2-A7C5F020011B}"/>
    <cellStyle name="Normal 5 2 3 5 2 2 3" xfId="24253" xr:uid="{1CD9C985-9EB8-4294-9327-AF4DEBCA2372}"/>
    <cellStyle name="Normal 5 2 3 5 2 2 4" xfId="15805" xr:uid="{F36ED0E0-7988-4DF7-B01A-69A51BB4E355}"/>
    <cellStyle name="Normal 5 2 3 5 2 3" xfId="28476" xr:uid="{941077E2-D3A4-4783-BEB3-BC49539F7B7B}"/>
    <cellStyle name="Normal 5 2 3 5 2 4" xfId="20035" xr:uid="{77F40249-CD1D-4772-B3B6-A44AECDE6DC6}"/>
    <cellStyle name="Normal 5 2 3 5 2 5" xfId="11587" xr:uid="{2E80E759-AD3A-443F-BE89-980D3D521C4C}"/>
    <cellStyle name="Normal 5 2 3 5 3" xfId="5210" xr:uid="{00000000-0005-0000-0000-0000C3180000}"/>
    <cellStyle name="Normal 5 2 3 5 3 2" xfId="30549" xr:uid="{E1E1EC64-F476-4A0B-B483-B1EC5FC62A63}"/>
    <cellStyle name="Normal 5 2 3 5 3 3" xfId="22108" xr:uid="{FA7B6023-A159-4C1D-BAA4-0917AE0E8713}"/>
    <cellStyle name="Normal 5 2 3 5 3 4" xfId="13660" xr:uid="{9860F1FE-3004-48FF-B80A-CB837E5213B6}"/>
    <cellStyle name="Normal 5 2 3 5 4" xfId="26331" xr:uid="{8C55665C-B8F0-485C-B29A-2364B993C6FF}"/>
    <cellStyle name="Normal 5 2 3 5 5" xfId="17890" xr:uid="{E043DE79-0044-4A7D-85FE-E18B6F200B40}"/>
    <cellStyle name="Normal 5 2 3 5 6" xfId="9442" xr:uid="{B22C2CA4-5E5E-4D92-8173-4432D98036AC}"/>
    <cellStyle name="Normal 5 2 3 6" xfId="1316" xr:uid="{00000000-0005-0000-0000-0000C4180000}"/>
    <cellStyle name="Normal 5 2 3 6 2" xfId="3546" xr:uid="{00000000-0005-0000-0000-0000C5180000}"/>
    <cellStyle name="Normal 5 2 3 6 2 2" xfId="7768" xr:uid="{00000000-0005-0000-0000-0000C6180000}"/>
    <cellStyle name="Normal 5 2 3 6 2 2 2" xfId="33107" xr:uid="{EBE74F4C-A4DA-41CF-A84D-739FD35B0512}"/>
    <cellStyle name="Normal 5 2 3 6 2 2 3" xfId="24666" xr:uid="{79A91841-546E-40EE-8526-2AEE6DA725D1}"/>
    <cellStyle name="Normal 5 2 3 6 2 2 4" xfId="16218" xr:uid="{EF7831C7-D747-4AA9-B6BB-826E9F414A3F}"/>
    <cellStyle name="Normal 5 2 3 6 2 3" xfId="28889" xr:uid="{F53FF214-D595-482E-AA07-684CDC2899C1}"/>
    <cellStyle name="Normal 5 2 3 6 2 4" xfId="20448" xr:uid="{72354A21-179C-4E82-8475-FEF37763B887}"/>
    <cellStyle name="Normal 5 2 3 6 2 5" xfId="12000" xr:uid="{983D9183-BE6B-4F20-899F-BE4CC314DFD4}"/>
    <cellStyle name="Normal 5 2 3 6 3" xfId="5623" xr:uid="{00000000-0005-0000-0000-0000C7180000}"/>
    <cellStyle name="Normal 5 2 3 6 3 2" xfId="30962" xr:uid="{6245D258-B605-4B73-BF31-FBCC336242F8}"/>
    <cellStyle name="Normal 5 2 3 6 3 3" xfId="22521" xr:uid="{21012BEC-731A-4F89-B110-5F864D4C9BDF}"/>
    <cellStyle name="Normal 5 2 3 6 3 4" xfId="14073" xr:uid="{C18DC73A-5508-4FFA-AA25-174B0FCE01C5}"/>
    <cellStyle name="Normal 5 2 3 6 4" xfId="26744" xr:uid="{DEB068AC-5792-4EE5-8DBC-B8A4F9B68742}"/>
    <cellStyle name="Normal 5 2 3 6 5" xfId="18303" xr:uid="{8ADF6328-1164-4F41-930E-8B512A837C49}"/>
    <cellStyle name="Normal 5 2 3 6 6" xfId="9855" xr:uid="{DEAB3554-CF69-4070-9FCF-A565DCA049BA}"/>
    <cellStyle name="Normal 5 2 3 7" xfId="1729" xr:uid="{00000000-0005-0000-0000-0000C8180000}"/>
    <cellStyle name="Normal 5 2 3 7 2" xfId="3959" xr:uid="{00000000-0005-0000-0000-0000C9180000}"/>
    <cellStyle name="Normal 5 2 3 7 2 2" xfId="8181" xr:uid="{00000000-0005-0000-0000-0000CA180000}"/>
    <cellStyle name="Normal 5 2 3 7 2 2 2" xfId="33520" xr:uid="{223CA493-9A06-478C-859C-B826198B2BF3}"/>
    <cellStyle name="Normal 5 2 3 7 2 2 3" xfId="25079" xr:uid="{FF9B8D14-4A56-4F84-81F1-40929F0A1083}"/>
    <cellStyle name="Normal 5 2 3 7 2 2 4" xfId="16631" xr:uid="{34883EDD-0B6E-48A8-B06D-81441BF7B78B}"/>
    <cellStyle name="Normal 5 2 3 7 2 3" xfId="29302" xr:uid="{FAE93B98-9924-46B9-AFAB-473FD00BD1CC}"/>
    <cellStyle name="Normal 5 2 3 7 2 4" xfId="20861" xr:uid="{BE3D016C-D7FB-4A60-B0A0-A9DAC404BABF}"/>
    <cellStyle name="Normal 5 2 3 7 2 5" xfId="12413" xr:uid="{673BEDAA-DE0F-46E2-8B26-690210E471F0}"/>
    <cellStyle name="Normal 5 2 3 7 3" xfId="6036" xr:uid="{00000000-0005-0000-0000-0000CB180000}"/>
    <cellStyle name="Normal 5 2 3 7 3 2" xfId="31375" xr:uid="{C3E2238D-4DDE-4573-ADCF-2DEF9948A098}"/>
    <cellStyle name="Normal 5 2 3 7 3 3" xfId="22934" xr:uid="{9D689188-F40E-4B29-9E7F-4D36C82B9F7E}"/>
    <cellStyle name="Normal 5 2 3 7 3 4" xfId="14486" xr:uid="{F0BF5EC0-9212-484E-9560-E355FC19B0DE}"/>
    <cellStyle name="Normal 5 2 3 7 4" xfId="27157" xr:uid="{9D43287A-2CC1-4921-A0E7-1AB992129CB6}"/>
    <cellStyle name="Normal 5 2 3 7 5" xfId="18716" xr:uid="{A7814ABB-322F-46A7-8BD0-CA302EB44414}"/>
    <cellStyle name="Normal 5 2 3 7 6" xfId="10268" xr:uid="{5F8D4590-8469-4C0C-969B-CACFC7B3C4C0}"/>
    <cellStyle name="Normal 5 2 3 8" xfId="2143" xr:uid="{00000000-0005-0000-0000-0000CC180000}"/>
    <cellStyle name="Normal 5 2 3 8 2" xfId="4372" xr:uid="{00000000-0005-0000-0000-0000CD180000}"/>
    <cellStyle name="Normal 5 2 3 8 2 2" xfId="8594" xr:uid="{00000000-0005-0000-0000-0000CE180000}"/>
    <cellStyle name="Normal 5 2 3 8 2 2 2" xfId="33933" xr:uid="{56C4C91E-4F72-4785-9FCA-A5F9288DAFB4}"/>
    <cellStyle name="Normal 5 2 3 8 2 2 3" xfId="25492" xr:uid="{C03A95FF-17B2-431F-9D78-DFEB507C8023}"/>
    <cellStyle name="Normal 5 2 3 8 2 2 4" xfId="17044" xr:uid="{96A4ED88-1839-466B-A86C-290DBCA04BBB}"/>
    <cellStyle name="Normal 5 2 3 8 2 3" xfId="29715" xr:uid="{8EDE5765-6D34-4E4B-AE91-E9A2DE8DB1ED}"/>
    <cellStyle name="Normal 5 2 3 8 2 4" xfId="21274" xr:uid="{D0EE7E49-512F-4A8B-BA82-1369C354A420}"/>
    <cellStyle name="Normal 5 2 3 8 2 5" xfId="12826" xr:uid="{7D83EC55-FC6A-4392-99F4-89F4D3EF35CD}"/>
    <cellStyle name="Normal 5 2 3 8 3" xfId="6449" xr:uid="{00000000-0005-0000-0000-0000CF180000}"/>
    <cellStyle name="Normal 5 2 3 8 3 2" xfId="31788" xr:uid="{5577D65B-C03E-481E-8AAD-2138BB0EEBAE}"/>
    <cellStyle name="Normal 5 2 3 8 3 3" xfId="23347" xr:uid="{D2A2681F-A01B-4092-9E20-FE3AE9851E19}"/>
    <cellStyle name="Normal 5 2 3 8 3 4" xfId="14899" xr:uid="{86C8198B-DC00-47BA-87C4-78B378A57DA9}"/>
    <cellStyle name="Normal 5 2 3 8 4" xfId="27570" xr:uid="{FEF4DBB5-76C3-4E5E-A3DF-B1F656FD99A9}"/>
    <cellStyle name="Normal 5 2 3 8 5" xfId="19129" xr:uid="{5B048346-E1BA-46B8-8C96-BBC201040021}"/>
    <cellStyle name="Normal 5 2 3 8 6" xfId="10681" xr:uid="{013CD7DF-FD5D-44E0-8A0D-81B0F1148F10}"/>
    <cellStyle name="Normal 5 2 3 9" xfId="2579" xr:uid="{00000000-0005-0000-0000-0000D0180000}"/>
    <cellStyle name="Normal 5 2 3 9 2" xfId="6862" xr:uid="{00000000-0005-0000-0000-0000D1180000}"/>
    <cellStyle name="Normal 5 2 3 9 2 2" xfId="32201" xr:uid="{7D598B1C-EE29-41DD-92A7-9ADC0992B716}"/>
    <cellStyle name="Normal 5 2 3 9 2 3" xfId="23760" xr:uid="{F3492567-8941-45B9-9656-982D04E7FEC5}"/>
    <cellStyle name="Normal 5 2 3 9 2 4" xfId="15312" xr:uid="{9D25E43F-1193-46E6-BDC5-24C92A420929}"/>
    <cellStyle name="Normal 5 2 3 9 3" xfId="27983" xr:uid="{59DAD832-E32C-4D9C-A3AE-1A4D7DE7303C}"/>
    <cellStyle name="Normal 5 2 3 9 4" xfId="19542" xr:uid="{4D86AE6D-491C-46A1-BF75-4B8DD2D169D0}"/>
    <cellStyle name="Normal 5 2 3 9 5" xfId="11094" xr:uid="{9BA7FC39-B8F2-482F-AE7E-9583D2CECD97}"/>
    <cellStyle name="Normal 5 2 4" xfId="432" xr:uid="{00000000-0005-0000-0000-0000D2180000}"/>
    <cellStyle name="Normal 5 2 4 10" xfId="25926" xr:uid="{45E2C011-3D25-4A55-A455-FF5BD7B4D612}"/>
    <cellStyle name="Normal 5 2 4 11" xfId="17485" xr:uid="{2262B595-FD5A-42BC-B738-42EFD62F8285}"/>
    <cellStyle name="Normal 5 2 4 12" xfId="9037" xr:uid="{20E10425-A2DF-49E3-878F-CE9C79B1DB13}"/>
    <cellStyle name="Normal 5 2 4 2" xfId="433" xr:uid="{00000000-0005-0000-0000-0000D3180000}"/>
    <cellStyle name="Normal 5 2 4 2 10" xfId="17486" xr:uid="{ED757693-6676-4BA7-92D2-5B0CD1323E0A}"/>
    <cellStyle name="Normal 5 2 4 2 11" xfId="9038" xr:uid="{5D75F04B-2AF0-4BAD-B573-136532272248}"/>
    <cellStyle name="Normal 5 2 4 2 2" xfId="434" xr:uid="{00000000-0005-0000-0000-0000D4180000}"/>
    <cellStyle name="Normal 5 2 4 2 2 10" xfId="9039" xr:uid="{14A1EF7B-30D4-4C6F-BEDE-24898B9EB1B4}"/>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32704" xr:uid="{62D44F5C-81B2-4C9D-80EC-EDCB5A08A955}"/>
    <cellStyle name="Normal 5 2 4 2 2 2 2 2 3" xfId="24263" xr:uid="{73428CC1-8FD1-4C8B-899F-BE259D799A14}"/>
    <cellStyle name="Normal 5 2 4 2 2 2 2 2 4" xfId="15815" xr:uid="{C345C432-C362-4F78-B44D-3F3219845635}"/>
    <cellStyle name="Normal 5 2 4 2 2 2 2 3" xfId="28486" xr:uid="{EE01A7A3-A9F3-443B-AED1-48EAA0184BA6}"/>
    <cellStyle name="Normal 5 2 4 2 2 2 2 4" xfId="20045" xr:uid="{D9C2D746-39A6-4F66-9F20-0D069CD8051F}"/>
    <cellStyle name="Normal 5 2 4 2 2 2 2 5" xfId="11597" xr:uid="{78904187-4D43-4A92-ACCC-9CE4FCA283E6}"/>
    <cellStyle name="Normal 5 2 4 2 2 2 3" xfId="5220" xr:uid="{00000000-0005-0000-0000-0000D8180000}"/>
    <cellStyle name="Normal 5 2 4 2 2 2 3 2" xfId="30559" xr:uid="{DE64915C-853C-4074-B105-C441F77F553E}"/>
    <cellStyle name="Normal 5 2 4 2 2 2 3 3" xfId="22118" xr:uid="{70D66BCF-92D7-433C-A568-E046A8E2EEB8}"/>
    <cellStyle name="Normal 5 2 4 2 2 2 3 4" xfId="13670" xr:uid="{F5D92B73-E934-43C2-90E3-0F316C40F0FF}"/>
    <cellStyle name="Normal 5 2 4 2 2 2 4" xfId="26341" xr:uid="{368F8C21-C361-4AE4-B904-C8862758D86A}"/>
    <cellStyle name="Normal 5 2 4 2 2 2 5" xfId="17900" xr:uid="{B9B91956-16ED-4E65-9618-40DF34901DFB}"/>
    <cellStyle name="Normal 5 2 4 2 2 2 6" xfId="9452" xr:uid="{70647D10-D9ED-41DB-97D1-CAEA3F59B05D}"/>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33117" xr:uid="{A86B938D-175A-48CA-B184-88B1AD972815}"/>
    <cellStyle name="Normal 5 2 4 2 2 3 2 2 3" xfId="24676" xr:uid="{0D6FF5F6-BA86-4F1E-95A4-2A8FC6EAB6C1}"/>
    <cellStyle name="Normal 5 2 4 2 2 3 2 2 4" xfId="16228" xr:uid="{F2ED3A73-E3D9-4C94-BBB1-3A80F3D4070C}"/>
    <cellStyle name="Normal 5 2 4 2 2 3 2 3" xfId="28899" xr:uid="{D89C64F4-F4E5-43C8-B7CE-631DE42BC18A}"/>
    <cellStyle name="Normal 5 2 4 2 2 3 2 4" xfId="20458" xr:uid="{3E31B52E-D5FE-4503-A5E3-ECB32A0DF3A9}"/>
    <cellStyle name="Normal 5 2 4 2 2 3 2 5" xfId="12010" xr:uid="{17A3B87C-69D6-42A3-9638-95938B0880CF}"/>
    <cellStyle name="Normal 5 2 4 2 2 3 3" xfId="5633" xr:uid="{00000000-0005-0000-0000-0000DC180000}"/>
    <cellStyle name="Normal 5 2 4 2 2 3 3 2" xfId="30972" xr:uid="{B77D5D70-50DD-445B-9412-00952B17BAAE}"/>
    <cellStyle name="Normal 5 2 4 2 2 3 3 3" xfId="22531" xr:uid="{24220C2F-24EF-4B75-90A1-6010D6FC62A4}"/>
    <cellStyle name="Normal 5 2 4 2 2 3 3 4" xfId="14083" xr:uid="{51006B3D-BA7D-4F1A-890F-1632047B7855}"/>
    <cellStyle name="Normal 5 2 4 2 2 3 4" xfId="26754" xr:uid="{409CEAE4-15B4-4739-A14F-5F9B92A03EA0}"/>
    <cellStyle name="Normal 5 2 4 2 2 3 5" xfId="18313" xr:uid="{92D02DB0-C594-4C19-B9B6-49B80277AE23}"/>
    <cellStyle name="Normal 5 2 4 2 2 3 6" xfId="9865" xr:uid="{9DED4B3D-766E-434B-A3CB-E6530A02EF7A}"/>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33530" xr:uid="{61D4F096-9B38-4DAD-83D5-65F8C9703570}"/>
    <cellStyle name="Normal 5 2 4 2 2 4 2 2 3" xfId="25089" xr:uid="{764A2428-55DD-4FEC-AAFF-8A485834A37C}"/>
    <cellStyle name="Normal 5 2 4 2 2 4 2 2 4" xfId="16641" xr:uid="{8254BC12-C090-4353-85F6-A7BB55FB88FB}"/>
    <cellStyle name="Normal 5 2 4 2 2 4 2 3" xfId="29312" xr:uid="{34EE3391-4776-4D9A-A958-2CDCC98A5B8A}"/>
    <cellStyle name="Normal 5 2 4 2 2 4 2 4" xfId="20871" xr:uid="{DF268107-145E-4B5A-8A32-B64D2A8F456C}"/>
    <cellStyle name="Normal 5 2 4 2 2 4 2 5" xfId="12423" xr:uid="{69078EB1-3706-4FCD-AB54-2589103141B7}"/>
    <cellStyle name="Normal 5 2 4 2 2 4 3" xfId="6046" xr:uid="{00000000-0005-0000-0000-0000E0180000}"/>
    <cellStyle name="Normal 5 2 4 2 2 4 3 2" xfId="31385" xr:uid="{563ED4DE-1DFA-4F74-A186-5253F152873E}"/>
    <cellStyle name="Normal 5 2 4 2 2 4 3 3" xfId="22944" xr:uid="{BFD2C578-A289-4E7A-B7B6-8BF25F141BB1}"/>
    <cellStyle name="Normal 5 2 4 2 2 4 3 4" xfId="14496" xr:uid="{46A2E6F2-FDEA-4010-8D04-2C057625DB91}"/>
    <cellStyle name="Normal 5 2 4 2 2 4 4" xfId="27167" xr:uid="{4B33CD41-AEA9-49B2-9547-9BBFB1C9F51C}"/>
    <cellStyle name="Normal 5 2 4 2 2 4 5" xfId="18726" xr:uid="{A2778A73-CCF9-426A-8E8A-6CAA35C73C05}"/>
    <cellStyle name="Normal 5 2 4 2 2 4 6" xfId="10278" xr:uid="{C01671D8-720C-4BAE-86E3-79B20FDAEB13}"/>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33943" xr:uid="{160BA825-0A7B-409E-926B-14F2B2E0B013}"/>
    <cellStyle name="Normal 5 2 4 2 2 5 2 2 3" xfId="25502" xr:uid="{58D4DD17-F32F-45C7-92BC-4A6EC55D039B}"/>
    <cellStyle name="Normal 5 2 4 2 2 5 2 2 4" xfId="17054" xr:uid="{EE0C524C-46CF-44A7-994E-99D3288EEA8E}"/>
    <cellStyle name="Normal 5 2 4 2 2 5 2 3" xfId="29725" xr:uid="{5E8BB327-FA2E-4D1B-A2C9-3847014E51DF}"/>
    <cellStyle name="Normal 5 2 4 2 2 5 2 4" xfId="21284" xr:uid="{890BC265-C1E9-44DE-BD8D-F59443C55128}"/>
    <cellStyle name="Normal 5 2 4 2 2 5 2 5" xfId="12836" xr:uid="{8C361DC5-51E9-4AF4-81F2-01C7B0215BC6}"/>
    <cellStyle name="Normal 5 2 4 2 2 5 3" xfId="6459" xr:uid="{00000000-0005-0000-0000-0000E4180000}"/>
    <cellStyle name="Normal 5 2 4 2 2 5 3 2" xfId="31798" xr:uid="{EA1C2C78-FB5D-4BDC-B37C-A294DDADE858}"/>
    <cellStyle name="Normal 5 2 4 2 2 5 3 3" xfId="23357" xr:uid="{D4BCFC78-D5A7-466C-81BF-D0E1AA0C2BC3}"/>
    <cellStyle name="Normal 5 2 4 2 2 5 3 4" xfId="14909" xr:uid="{26A449F9-BA87-4815-90A9-E7B2E5F1ED0E}"/>
    <cellStyle name="Normal 5 2 4 2 2 5 4" xfId="27580" xr:uid="{E9093834-4EDC-41F5-8AC9-689D29BF5744}"/>
    <cellStyle name="Normal 5 2 4 2 2 5 5" xfId="19139" xr:uid="{D1EBE2EC-E5A9-4E2B-8E5A-42F5C2670A65}"/>
    <cellStyle name="Normal 5 2 4 2 2 5 6" xfId="10691" xr:uid="{4A015DA6-2D5D-4BBC-9603-0B53B4D16D86}"/>
    <cellStyle name="Normal 5 2 4 2 2 6" xfId="2589" xr:uid="{00000000-0005-0000-0000-0000E5180000}"/>
    <cellStyle name="Normal 5 2 4 2 2 6 2" xfId="6872" xr:uid="{00000000-0005-0000-0000-0000E6180000}"/>
    <cellStyle name="Normal 5 2 4 2 2 6 2 2" xfId="32211" xr:uid="{2FABD5B1-2C96-4347-9EE6-54B20EC0D30A}"/>
    <cellStyle name="Normal 5 2 4 2 2 6 2 3" xfId="23770" xr:uid="{2354A8B8-CBEB-48C0-A823-8DA81F0FECC9}"/>
    <cellStyle name="Normal 5 2 4 2 2 6 2 4" xfId="15322" xr:uid="{4ED3EF37-4EEF-46D1-A5D6-1DB2DCA7A70B}"/>
    <cellStyle name="Normal 5 2 4 2 2 6 3" xfId="27993" xr:uid="{4FAB23F3-C54D-4231-9C1C-D36D04B53280}"/>
    <cellStyle name="Normal 5 2 4 2 2 6 4" xfId="19552" xr:uid="{C908129F-2A05-4ABC-9CFE-3CBE37FF5CBA}"/>
    <cellStyle name="Normal 5 2 4 2 2 6 5" xfId="11104" xr:uid="{928AA92A-1C1C-4EAD-A431-03F60E123A02}"/>
    <cellStyle name="Normal 5 2 4 2 2 7" xfId="4807" xr:uid="{00000000-0005-0000-0000-0000E7180000}"/>
    <cellStyle name="Normal 5 2 4 2 2 7 2" xfId="30146" xr:uid="{EAEE90E1-1768-4884-A600-CC324FCC5FBC}"/>
    <cellStyle name="Normal 5 2 4 2 2 7 3" xfId="21705" xr:uid="{239D931A-696C-421A-828F-3E5A1839A731}"/>
    <cellStyle name="Normal 5 2 4 2 2 7 4" xfId="13257" xr:uid="{8C7BCBBA-9C24-4F43-BB48-381181EC8F15}"/>
    <cellStyle name="Normal 5 2 4 2 2 8" xfId="25928" xr:uid="{CE04927F-5DBA-42BB-89AB-A1F527A01A4B}"/>
    <cellStyle name="Normal 5 2 4 2 2 9" xfId="17487" xr:uid="{11DC674E-F614-40DE-AB86-544219AF61ED}"/>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32703" xr:uid="{49BEC056-31D7-4CAB-826C-7BD9E3AB9D1C}"/>
    <cellStyle name="Normal 5 2 4 2 3 2 2 3" xfId="24262" xr:uid="{1A9BFB2A-6653-41A6-B90B-78004DDFAB51}"/>
    <cellStyle name="Normal 5 2 4 2 3 2 2 4" xfId="15814" xr:uid="{CA29F88F-382A-42F7-AC38-D6BB30AB910E}"/>
    <cellStyle name="Normal 5 2 4 2 3 2 3" xfId="28485" xr:uid="{E461BF20-4233-48E6-98C3-C16FE93E4DEF}"/>
    <cellStyle name="Normal 5 2 4 2 3 2 4" xfId="20044" xr:uid="{C404B2A6-20FB-4DCD-9E4C-9AC76DD4CD92}"/>
    <cellStyle name="Normal 5 2 4 2 3 2 5" xfId="11596" xr:uid="{2D1BA268-F3CB-445C-B532-638B44FE1C06}"/>
    <cellStyle name="Normal 5 2 4 2 3 3" xfId="5219" xr:uid="{00000000-0005-0000-0000-0000EB180000}"/>
    <cellStyle name="Normal 5 2 4 2 3 3 2" xfId="30558" xr:uid="{7516440B-0D47-498F-B296-6C19542A06E3}"/>
    <cellStyle name="Normal 5 2 4 2 3 3 3" xfId="22117" xr:uid="{A9BE0148-3495-495E-B307-127B4E600071}"/>
    <cellStyle name="Normal 5 2 4 2 3 3 4" xfId="13669" xr:uid="{68F8D935-DC63-4868-A267-B5726F9E87E7}"/>
    <cellStyle name="Normal 5 2 4 2 3 4" xfId="26340" xr:uid="{04FF7454-3802-448E-B286-C68D057DC303}"/>
    <cellStyle name="Normal 5 2 4 2 3 5" xfId="17899" xr:uid="{20647CBE-3217-4CCC-B435-B7DE879C9848}"/>
    <cellStyle name="Normal 5 2 4 2 3 6" xfId="9451" xr:uid="{8DF990A6-7E1E-4057-BD30-B20A52347399}"/>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33116" xr:uid="{761D3088-8C6E-4E08-A7B7-FECFFBB45629}"/>
    <cellStyle name="Normal 5 2 4 2 4 2 2 3" xfId="24675" xr:uid="{A33E894C-C58E-4638-951B-EEEAB5B954A6}"/>
    <cellStyle name="Normal 5 2 4 2 4 2 2 4" xfId="16227" xr:uid="{378D7D4F-E728-4F76-8A76-50D2A1B656A5}"/>
    <cellStyle name="Normal 5 2 4 2 4 2 3" xfId="28898" xr:uid="{31A02BA5-FD42-44DF-89D7-0DD48DAB4D57}"/>
    <cellStyle name="Normal 5 2 4 2 4 2 4" xfId="20457" xr:uid="{B51C08B0-B852-4230-A955-EFF582DFD587}"/>
    <cellStyle name="Normal 5 2 4 2 4 2 5" xfId="12009" xr:uid="{9FA1365F-4851-4560-B9F7-CB0E545DA4CF}"/>
    <cellStyle name="Normal 5 2 4 2 4 3" xfId="5632" xr:uid="{00000000-0005-0000-0000-0000EF180000}"/>
    <cellStyle name="Normal 5 2 4 2 4 3 2" xfId="30971" xr:uid="{C554EF8B-A50F-4B47-AA5C-08E4B7B1519E}"/>
    <cellStyle name="Normal 5 2 4 2 4 3 3" xfId="22530" xr:uid="{6EB5DBDA-CD83-46F0-90FA-8F6471150CE0}"/>
    <cellStyle name="Normal 5 2 4 2 4 3 4" xfId="14082" xr:uid="{4F2F1E3B-9528-4CED-8F41-4647D3779E3D}"/>
    <cellStyle name="Normal 5 2 4 2 4 4" xfId="26753" xr:uid="{3D228CA8-4DE5-4682-9AEA-FF8EEBE6CC0C}"/>
    <cellStyle name="Normal 5 2 4 2 4 5" xfId="18312" xr:uid="{305A2C6C-47C1-4BD3-9015-DC02F9FB1D68}"/>
    <cellStyle name="Normal 5 2 4 2 4 6" xfId="9864" xr:uid="{63AB82C3-266E-448B-9463-F008D3E8B7F3}"/>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33529" xr:uid="{DF484A89-66B7-4AF5-9CA3-E0C159A840C0}"/>
    <cellStyle name="Normal 5 2 4 2 5 2 2 3" xfId="25088" xr:uid="{4F3673B8-6459-48DF-91FE-017D1C8E9D47}"/>
    <cellStyle name="Normal 5 2 4 2 5 2 2 4" xfId="16640" xr:uid="{D3651C5F-E14E-44AC-AC96-20436E2C469F}"/>
    <cellStyle name="Normal 5 2 4 2 5 2 3" xfId="29311" xr:uid="{465AA71B-9F39-4CE7-9920-E4592A59D4DB}"/>
    <cellStyle name="Normal 5 2 4 2 5 2 4" xfId="20870" xr:uid="{84FC815C-7C97-442A-BFA1-2B1B18AC0DC4}"/>
    <cellStyle name="Normal 5 2 4 2 5 2 5" xfId="12422" xr:uid="{92C1965C-4866-454B-B999-155C7150ABF5}"/>
    <cellStyle name="Normal 5 2 4 2 5 3" xfId="6045" xr:uid="{00000000-0005-0000-0000-0000F3180000}"/>
    <cellStyle name="Normal 5 2 4 2 5 3 2" xfId="31384" xr:uid="{04E80C40-3852-4185-A3A3-6E11B1845238}"/>
    <cellStyle name="Normal 5 2 4 2 5 3 3" xfId="22943" xr:uid="{AD056DDB-B583-4324-8E17-F67B09379B45}"/>
    <cellStyle name="Normal 5 2 4 2 5 3 4" xfId="14495" xr:uid="{EC216236-63AE-4A9B-A40D-890203C08CCF}"/>
    <cellStyle name="Normal 5 2 4 2 5 4" xfId="27166" xr:uid="{CD00A3E7-C315-4A90-907C-F2B6976C0BB7}"/>
    <cellStyle name="Normal 5 2 4 2 5 5" xfId="18725" xr:uid="{E5142613-4E25-4208-B1FD-D975C7FD6F68}"/>
    <cellStyle name="Normal 5 2 4 2 5 6" xfId="10277" xr:uid="{BF7BE6F0-C2C0-476F-8FC7-FAD73DD9541C}"/>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33942" xr:uid="{0980BAB9-EE03-44D8-9684-84921CBCF008}"/>
    <cellStyle name="Normal 5 2 4 2 6 2 2 3" xfId="25501" xr:uid="{2C439E00-32CD-4D9B-B984-8B873EE6994D}"/>
    <cellStyle name="Normal 5 2 4 2 6 2 2 4" xfId="17053" xr:uid="{71392A21-D9D1-4EE5-8CAD-CC2AA44374BC}"/>
    <cellStyle name="Normal 5 2 4 2 6 2 3" xfId="29724" xr:uid="{0279A494-7671-4972-B209-202C0652B6D9}"/>
    <cellStyle name="Normal 5 2 4 2 6 2 4" xfId="21283" xr:uid="{AE5EAC54-D926-4439-862A-09FAAC041C21}"/>
    <cellStyle name="Normal 5 2 4 2 6 2 5" xfId="12835" xr:uid="{4A95B208-050B-4665-AC84-09C186CCB923}"/>
    <cellStyle name="Normal 5 2 4 2 6 3" xfId="6458" xr:uid="{00000000-0005-0000-0000-0000F7180000}"/>
    <cellStyle name="Normal 5 2 4 2 6 3 2" xfId="31797" xr:uid="{AB7338A7-0134-4E8F-805E-2317D2DD0C4E}"/>
    <cellStyle name="Normal 5 2 4 2 6 3 3" xfId="23356" xr:uid="{83E1AE92-7BB9-4711-9DEC-C2EB98C2552E}"/>
    <cellStyle name="Normal 5 2 4 2 6 3 4" xfId="14908" xr:uid="{0C66CC24-EDD3-497A-8A98-8B67EE9E46B2}"/>
    <cellStyle name="Normal 5 2 4 2 6 4" xfId="27579" xr:uid="{D6AF2180-0008-474F-B9FA-4562B20694A3}"/>
    <cellStyle name="Normal 5 2 4 2 6 5" xfId="19138" xr:uid="{A644C37D-8984-4251-94E6-8BEB8A699999}"/>
    <cellStyle name="Normal 5 2 4 2 6 6" xfId="10690" xr:uid="{D9BFC735-C692-4FC4-B501-A898B1F6D5EF}"/>
    <cellStyle name="Normal 5 2 4 2 7" xfId="2588" xr:uid="{00000000-0005-0000-0000-0000F8180000}"/>
    <cellStyle name="Normal 5 2 4 2 7 2" xfId="6871" xr:uid="{00000000-0005-0000-0000-0000F9180000}"/>
    <cellStyle name="Normal 5 2 4 2 7 2 2" xfId="32210" xr:uid="{09D6E2F4-08D6-4DB2-9F22-EAD635607119}"/>
    <cellStyle name="Normal 5 2 4 2 7 2 3" xfId="23769" xr:uid="{53712842-344A-471E-9B62-447BF642C662}"/>
    <cellStyle name="Normal 5 2 4 2 7 2 4" xfId="15321" xr:uid="{58168DB8-8259-4FA0-A70D-65BBA7C77F25}"/>
    <cellStyle name="Normal 5 2 4 2 7 3" xfId="27992" xr:uid="{FF4FE117-0E25-425E-9690-019A683A3D1E}"/>
    <cellStyle name="Normal 5 2 4 2 7 4" xfId="19551" xr:uid="{5AFA4592-E889-4F21-8996-6BAE800C2DD3}"/>
    <cellStyle name="Normal 5 2 4 2 7 5" xfId="11103" xr:uid="{888C4CF4-EEF0-430B-9875-5DC489CE80E8}"/>
    <cellStyle name="Normal 5 2 4 2 8" xfId="4806" xr:uid="{00000000-0005-0000-0000-0000FA180000}"/>
    <cellStyle name="Normal 5 2 4 2 8 2" xfId="30145" xr:uid="{BB2B1473-10EA-447E-B33C-91B618218A5D}"/>
    <cellStyle name="Normal 5 2 4 2 8 3" xfId="21704" xr:uid="{1884AFBD-C063-4BD3-81A8-A4F571D201DC}"/>
    <cellStyle name="Normal 5 2 4 2 8 4" xfId="13256" xr:uid="{4A4A249C-6E1D-41FE-926F-670EB8D4B616}"/>
    <cellStyle name="Normal 5 2 4 2 9" xfId="25927" xr:uid="{FB833376-2555-4DC3-9334-876E9F039128}"/>
    <cellStyle name="Normal 5 2 4 3" xfId="435" xr:uid="{00000000-0005-0000-0000-0000FB180000}"/>
    <cellStyle name="Normal 5 2 4 3 10" xfId="9040" xr:uid="{09875E49-6A4C-4309-AF87-D8B78B3DD6B2}"/>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32705" xr:uid="{EF5665B8-BD9C-41F9-A7CC-0C24AB3F5A71}"/>
    <cellStyle name="Normal 5 2 4 3 2 2 2 3" xfId="24264" xr:uid="{1AE90A85-CA97-49BC-B3CB-39DD55CA73B5}"/>
    <cellStyle name="Normal 5 2 4 3 2 2 2 4" xfId="15816" xr:uid="{B0A67D3B-1F47-4DC7-84AC-58D139681609}"/>
    <cellStyle name="Normal 5 2 4 3 2 2 3" xfId="28487" xr:uid="{74050FEA-2C16-40B9-A540-E0D5F701B897}"/>
    <cellStyle name="Normal 5 2 4 3 2 2 4" xfId="20046" xr:uid="{4E2B5C52-F3CD-464F-90A9-F117AEE6ACF3}"/>
    <cellStyle name="Normal 5 2 4 3 2 2 5" xfId="11598" xr:uid="{42A4067D-2B0E-4571-B7DF-A19C7F47C285}"/>
    <cellStyle name="Normal 5 2 4 3 2 3" xfId="5221" xr:uid="{00000000-0005-0000-0000-0000FF180000}"/>
    <cellStyle name="Normal 5 2 4 3 2 3 2" xfId="30560" xr:uid="{8F3BA285-8102-4D37-ACCF-4DB655DDF522}"/>
    <cellStyle name="Normal 5 2 4 3 2 3 3" xfId="22119" xr:uid="{6B0E1620-DFEC-4C0D-B5F6-2E5891E45F8B}"/>
    <cellStyle name="Normal 5 2 4 3 2 3 4" xfId="13671" xr:uid="{3EEA0FCF-CCCB-46E0-9A2B-84030A605B04}"/>
    <cellStyle name="Normal 5 2 4 3 2 4" xfId="26342" xr:uid="{AC1A8961-E128-4B4F-AF22-F7875B7B5612}"/>
    <cellStyle name="Normal 5 2 4 3 2 5" xfId="17901" xr:uid="{5914F163-D9A4-43E7-92E5-A6BAD18078E9}"/>
    <cellStyle name="Normal 5 2 4 3 2 6" xfId="9453" xr:uid="{3E21F464-A155-4A65-90D5-ABEA78A3FC1B}"/>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33118" xr:uid="{A6508ACA-820A-4392-8C36-32D4A4ADDEF6}"/>
    <cellStyle name="Normal 5 2 4 3 3 2 2 3" xfId="24677" xr:uid="{ABBA12DB-CD6D-4CA4-B6BD-38911F427757}"/>
    <cellStyle name="Normal 5 2 4 3 3 2 2 4" xfId="16229" xr:uid="{5136BF97-1D74-4D5D-8FD5-2E42BEDC6B58}"/>
    <cellStyle name="Normal 5 2 4 3 3 2 3" xfId="28900" xr:uid="{17440029-BEE9-4EE1-986E-ADEDAFAD2473}"/>
    <cellStyle name="Normal 5 2 4 3 3 2 4" xfId="20459" xr:uid="{29307F7B-6B0C-4C19-A896-6FB665EDD70A}"/>
    <cellStyle name="Normal 5 2 4 3 3 2 5" xfId="12011" xr:uid="{7C3A1211-D63C-4BC3-9037-19F62F2ACAB0}"/>
    <cellStyle name="Normal 5 2 4 3 3 3" xfId="5634" xr:uid="{00000000-0005-0000-0000-000003190000}"/>
    <cellStyle name="Normal 5 2 4 3 3 3 2" xfId="30973" xr:uid="{4E003194-3D28-4949-B934-B84AA6EEEF5B}"/>
    <cellStyle name="Normal 5 2 4 3 3 3 3" xfId="22532" xr:uid="{2F1524A1-A928-4B55-8B48-7A9FAB4993E6}"/>
    <cellStyle name="Normal 5 2 4 3 3 3 4" xfId="14084" xr:uid="{CDA523CF-0427-4B1F-9C4D-A7078B8E60F7}"/>
    <cellStyle name="Normal 5 2 4 3 3 4" xfId="26755" xr:uid="{CED7D9AE-D331-4FD3-8399-F8DF871C81EB}"/>
    <cellStyle name="Normal 5 2 4 3 3 5" xfId="18314" xr:uid="{AA8B1D1B-2406-4FF6-AA7A-7500097B6A42}"/>
    <cellStyle name="Normal 5 2 4 3 3 6" xfId="9866" xr:uid="{E6515BA0-74D0-4191-B244-6CE4FC152D7D}"/>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33531" xr:uid="{A5F79148-893E-4EC3-B8B6-555421F7C750}"/>
    <cellStyle name="Normal 5 2 4 3 4 2 2 3" xfId="25090" xr:uid="{D8C20CBB-3E90-4264-BEA3-EB470164FB10}"/>
    <cellStyle name="Normal 5 2 4 3 4 2 2 4" xfId="16642" xr:uid="{B663D96B-FA38-43D5-8393-52CACE5BEF21}"/>
    <cellStyle name="Normal 5 2 4 3 4 2 3" xfId="29313" xr:uid="{3FF1CF61-5634-4408-A586-5FCD712C6F37}"/>
    <cellStyle name="Normal 5 2 4 3 4 2 4" xfId="20872" xr:uid="{EA5F2E1A-5B33-4C69-8E8B-3785CA23852C}"/>
    <cellStyle name="Normal 5 2 4 3 4 2 5" xfId="12424" xr:uid="{797EFDCA-E505-4699-9867-D72D2200C055}"/>
    <cellStyle name="Normal 5 2 4 3 4 3" xfId="6047" xr:uid="{00000000-0005-0000-0000-000007190000}"/>
    <cellStyle name="Normal 5 2 4 3 4 3 2" xfId="31386" xr:uid="{1F5EC256-D81C-4A7F-BBC2-FFC8DA7E28A3}"/>
    <cellStyle name="Normal 5 2 4 3 4 3 3" xfId="22945" xr:uid="{191836EA-2598-4E6F-9480-A95076CF7707}"/>
    <cellStyle name="Normal 5 2 4 3 4 3 4" xfId="14497" xr:uid="{87620BF0-466A-498E-A441-8F5A32B73843}"/>
    <cellStyle name="Normal 5 2 4 3 4 4" xfId="27168" xr:uid="{996FD123-6CDA-4E05-8690-1BDFFE955A16}"/>
    <cellStyle name="Normal 5 2 4 3 4 5" xfId="18727" xr:uid="{7FAE02CF-E89C-4447-B9E0-9A9E1517F11B}"/>
    <cellStyle name="Normal 5 2 4 3 4 6" xfId="10279" xr:uid="{AC6F8EB4-B5BE-4961-A64F-49586219B9C3}"/>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33944" xr:uid="{344FF966-FF44-4284-80D3-C588B3AE5850}"/>
    <cellStyle name="Normal 5 2 4 3 5 2 2 3" xfId="25503" xr:uid="{8EC16015-EA13-433C-A3D5-8A386159F2FF}"/>
    <cellStyle name="Normal 5 2 4 3 5 2 2 4" xfId="17055" xr:uid="{01E295CF-9FD3-4174-B2F6-01F0AFC22651}"/>
    <cellStyle name="Normal 5 2 4 3 5 2 3" xfId="29726" xr:uid="{525CDD1D-3657-4BBA-951D-BC1D9A91B94C}"/>
    <cellStyle name="Normal 5 2 4 3 5 2 4" xfId="21285" xr:uid="{BADF3260-1F40-42BD-8216-FE6CC6398CC8}"/>
    <cellStyle name="Normal 5 2 4 3 5 2 5" xfId="12837" xr:uid="{5DE74CFF-2D0D-4F7F-9EAD-59610F1D56D0}"/>
    <cellStyle name="Normal 5 2 4 3 5 3" xfId="6460" xr:uid="{00000000-0005-0000-0000-00000B190000}"/>
    <cellStyle name="Normal 5 2 4 3 5 3 2" xfId="31799" xr:uid="{06D1A6B1-F039-43CF-BBFD-E5BB6AAC8373}"/>
    <cellStyle name="Normal 5 2 4 3 5 3 3" xfId="23358" xr:uid="{034E0A51-B86C-4500-860C-8F48816B55C3}"/>
    <cellStyle name="Normal 5 2 4 3 5 3 4" xfId="14910" xr:uid="{27463D14-BE96-4B87-BABC-DB5BBCB5A387}"/>
    <cellStyle name="Normal 5 2 4 3 5 4" xfId="27581" xr:uid="{B8FA5F7B-EB13-468F-9452-9139D39D0342}"/>
    <cellStyle name="Normal 5 2 4 3 5 5" xfId="19140" xr:uid="{052B0961-537C-4622-B381-7B7B17C65C64}"/>
    <cellStyle name="Normal 5 2 4 3 5 6" xfId="10692" xr:uid="{BC0B87B7-C698-45B5-B31D-54B2A6A7D121}"/>
    <cellStyle name="Normal 5 2 4 3 6" xfId="2590" xr:uid="{00000000-0005-0000-0000-00000C190000}"/>
    <cellStyle name="Normal 5 2 4 3 6 2" xfId="6873" xr:uid="{00000000-0005-0000-0000-00000D190000}"/>
    <cellStyle name="Normal 5 2 4 3 6 2 2" xfId="32212" xr:uid="{CC79E7F4-E08B-4E9F-AA49-622A5E31A8A0}"/>
    <cellStyle name="Normal 5 2 4 3 6 2 3" xfId="23771" xr:uid="{F143B75C-F06E-4584-95E8-4DF32FA24176}"/>
    <cellStyle name="Normal 5 2 4 3 6 2 4" xfId="15323" xr:uid="{33919F6A-1089-4778-9C5D-F74CD90E80C9}"/>
    <cellStyle name="Normal 5 2 4 3 6 3" xfId="27994" xr:uid="{04228B92-B81E-4786-BB3A-9A7DF9928BAE}"/>
    <cellStyle name="Normal 5 2 4 3 6 4" xfId="19553" xr:uid="{1CF337C5-93DE-48AE-8A89-61357EEF33A5}"/>
    <cellStyle name="Normal 5 2 4 3 6 5" xfId="11105" xr:uid="{0F2B4854-E927-4453-83FB-45B0CDD938AC}"/>
    <cellStyle name="Normal 5 2 4 3 7" xfId="4808" xr:uid="{00000000-0005-0000-0000-00000E190000}"/>
    <cellStyle name="Normal 5 2 4 3 7 2" xfId="30147" xr:uid="{559E1655-47E5-4C7C-A1FF-23B3034ACC97}"/>
    <cellStyle name="Normal 5 2 4 3 7 3" xfId="21706" xr:uid="{44A735FD-F98C-4FA6-A5EF-87BADE10A456}"/>
    <cellStyle name="Normal 5 2 4 3 7 4" xfId="13258" xr:uid="{68133755-D641-4B79-A9FE-DC8D59EBB8C6}"/>
    <cellStyle name="Normal 5 2 4 3 8" xfId="25929" xr:uid="{E5C538F3-BAB4-4DEA-9EA6-7E60329CD0FE}"/>
    <cellStyle name="Normal 5 2 4 3 9" xfId="17488" xr:uid="{92B5D3BA-72EC-4A41-8274-4C7C4D64A697}"/>
    <cellStyle name="Normal 5 2 4 4" xfId="906" xr:uid="{00000000-0005-0000-0000-00000F190000}"/>
    <cellStyle name="Normal 5 2 4 4 2" xfId="3141" xr:uid="{00000000-0005-0000-0000-000010190000}"/>
    <cellStyle name="Normal 5 2 4 4 2 2" xfId="7363" xr:uid="{00000000-0005-0000-0000-000011190000}"/>
    <cellStyle name="Normal 5 2 4 4 2 2 2" xfId="32702" xr:uid="{0804B391-954D-43BD-84BA-3F046448A795}"/>
    <cellStyle name="Normal 5 2 4 4 2 2 3" xfId="24261" xr:uid="{A8E5B01B-8AEC-4E89-A670-486028AACD39}"/>
    <cellStyle name="Normal 5 2 4 4 2 2 4" xfId="15813" xr:uid="{E0112675-1794-4E31-9BC4-099F986A5937}"/>
    <cellStyle name="Normal 5 2 4 4 2 3" xfId="28484" xr:uid="{C2BB799F-B4E6-4ABC-89EB-738CF7319CC4}"/>
    <cellStyle name="Normal 5 2 4 4 2 4" xfId="20043" xr:uid="{5E697EAF-BD44-4346-B489-610558146B5F}"/>
    <cellStyle name="Normal 5 2 4 4 2 5" xfId="11595" xr:uid="{D0A50867-F146-4E03-B122-7BC0F5D92C03}"/>
    <cellStyle name="Normal 5 2 4 4 3" xfId="5218" xr:uid="{00000000-0005-0000-0000-000012190000}"/>
    <cellStyle name="Normal 5 2 4 4 3 2" xfId="30557" xr:uid="{3B5D60D7-183A-461C-8202-9BA3456AEE13}"/>
    <cellStyle name="Normal 5 2 4 4 3 3" xfId="22116" xr:uid="{AD958DAD-AC1D-412B-A3A4-5CF9EC2AE411}"/>
    <cellStyle name="Normal 5 2 4 4 3 4" xfId="13668" xr:uid="{09249971-D4EB-4B0C-8392-081E21D9ECD3}"/>
    <cellStyle name="Normal 5 2 4 4 4" xfId="26339" xr:uid="{02EC84A0-5812-4985-9847-7D65D5810B7B}"/>
    <cellStyle name="Normal 5 2 4 4 5" xfId="17898" xr:uid="{946FFC27-5D7A-4A81-B5EC-BF430E05DC47}"/>
    <cellStyle name="Normal 5 2 4 4 6" xfId="9450" xr:uid="{B82B987F-10C1-4ECC-BCF3-633D52A184CC}"/>
    <cellStyle name="Normal 5 2 4 5" xfId="1324" xr:uid="{00000000-0005-0000-0000-000013190000}"/>
    <cellStyle name="Normal 5 2 4 5 2" xfId="3554" xr:uid="{00000000-0005-0000-0000-000014190000}"/>
    <cellStyle name="Normal 5 2 4 5 2 2" xfId="7776" xr:uid="{00000000-0005-0000-0000-000015190000}"/>
    <cellStyle name="Normal 5 2 4 5 2 2 2" xfId="33115" xr:uid="{03BF7C49-1DF2-4DCA-871D-63B622DB825C}"/>
    <cellStyle name="Normal 5 2 4 5 2 2 3" xfId="24674" xr:uid="{C6226673-ED6F-4044-9E91-50F64E468557}"/>
    <cellStyle name="Normal 5 2 4 5 2 2 4" xfId="16226" xr:uid="{D9CC8274-94EB-44DD-A05A-74DA7B96F129}"/>
    <cellStyle name="Normal 5 2 4 5 2 3" xfId="28897" xr:uid="{E927A216-9C78-49E8-8FA1-F002EA1046C7}"/>
    <cellStyle name="Normal 5 2 4 5 2 4" xfId="20456" xr:uid="{90203223-4873-4036-8CE8-6E83F8147BF3}"/>
    <cellStyle name="Normal 5 2 4 5 2 5" xfId="12008" xr:uid="{B8079CB6-375E-471F-9C43-D53C90C4E8FD}"/>
    <cellStyle name="Normal 5 2 4 5 3" xfId="5631" xr:uid="{00000000-0005-0000-0000-000016190000}"/>
    <cellStyle name="Normal 5 2 4 5 3 2" xfId="30970" xr:uid="{1FD42D5A-5E41-44C7-893F-8BC0221B7502}"/>
    <cellStyle name="Normal 5 2 4 5 3 3" xfId="22529" xr:uid="{90468B66-022C-4BE1-83DA-542F1E164B03}"/>
    <cellStyle name="Normal 5 2 4 5 3 4" xfId="14081" xr:uid="{3F833077-4707-4A5E-8A9B-6028FA0C3F29}"/>
    <cellStyle name="Normal 5 2 4 5 4" xfId="26752" xr:uid="{C33A9AB1-A5A0-4D0A-84D5-37FC87263F02}"/>
    <cellStyle name="Normal 5 2 4 5 5" xfId="18311" xr:uid="{7BBFA034-D26F-46FE-AEF2-DE75629331AE}"/>
    <cellStyle name="Normal 5 2 4 5 6" xfId="9863" xr:uid="{5C333B59-14A3-432F-B89C-90DAEDA8460C}"/>
    <cellStyle name="Normal 5 2 4 6" xfId="1737" xr:uid="{00000000-0005-0000-0000-000017190000}"/>
    <cellStyle name="Normal 5 2 4 6 2" xfId="3967" xr:uid="{00000000-0005-0000-0000-000018190000}"/>
    <cellStyle name="Normal 5 2 4 6 2 2" xfId="8189" xr:uid="{00000000-0005-0000-0000-000019190000}"/>
    <cellStyle name="Normal 5 2 4 6 2 2 2" xfId="33528" xr:uid="{ACF9E0C9-F46D-4B65-9353-0E45361FFE5F}"/>
    <cellStyle name="Normal 5 2 4 6 2 2 3" xfId="25087" xr:uid="{2F8F23DC-3A69-4259-B3B7-F226FD356824}"/>
    <cellStyle name="Normal 5 2 4 6 2 2 4" xfId="16639" xr:uid="{4BFCC47D-F266-4B25-8F2F-32FD2CE4AFE1}"/>
    <cellStyle name="Normal 5 2 4 6 2 3" xfId="29310" xr:uid="{05261185-1C07-4034-803F-F886BFF107FF}"/>
    <cellStyle name="Normal 5 2 4 6 2 4" xfId="20869" xr:uid="{1C91B405-0A25-4FB8-9A4E-A932F469F754}"/>
    <cellStyle name="Normal 5 2 4 6 2 5" xfId="12421" xr:uid="{9AD0AF47-1DF8-4BA9-B5E4-8FD89CD28AFB}"/>
    <cellStyle name="Normal 5 2 4 6 3" xfId="6044" xr:uid="{00000000-0005-0000-0000-00001A190000}"/>
    <cellStyle name="Normal 5 2 4 6 3 2" xfId="31383" xr:uid="{F5FABB15-585E-4E8C-AC43-D30C033D751E}"/>
    <cellStyle name="Normal 5 2 4 6 3 3" xfId="22942" xr:uid="{F54C9C9A-B948-48A7-AC5A-A66D17CFACE8}"/>
    <cellStyle name="Normal 5 2 4 6 3 4" xfId="14494" xr:uid="{F03F9553-D783-4A57-8547-21C6FA71B1D2}"/>
    <cellStyle name="Normal 5 2 4 6 4" xfId="27165" xr:uid="{5A594CDB-8403-4B0C-84BF-848E5E3E8096}"/>
    <cellStyle name="Normal 5 2 4 6 5" xfId="18724" xr:uid="{CD32C7A5-A531-4BB6-8566-9D13228845D9}"/>
    <cellStyle name="Normal 5 2 4 6 6" xfId="10276" xr:uid="{737A456C-01EF-44EF-8BE9-BD24E3C3918A}"/>
    <cellStyle name="Normal 5 2 4 7" xfId="2151" xr:uid="{00000000-0005-0000-0000-00001B190000}"/>
    <cellStyle name="Normal 5 2 4 7 2" xfId="4380" xr:uid="{00000000-0005-0000-0000-00001C190000}"/>
    <cellStyle name="Normal 5 2 4 7 2 2" xfId="8602" xr:uid="{00000000-0005-0000-0000-00001D190000}"/>
    <cellStyle name="Normal 5 2 4 7 2 2 2" xfId="33941" xr:uid="{DDF269B5-267C-41CD-99F1-6A135AE0BA70}"/>
    <cellStyle name="Normal 5 2 4 7 2 2 3" xfId="25500" xr:uid="{A45C4F1F-4190-40C2-A0F5-C8C203F08B60}"/>
    <cellStyle name="Normal 5 2 4 7 2 2 4" xfId="17052" xr:uid="{A5230FC8-B70E-42A8-86FC-B74AFA368C32}"/>
    <cellStyle name="Normal 5 2 4 7 2 3" xfId="29723" xr:uid="{DDFED779-0314-4B33-B7FC-E29C47E45D94}"/>
    <cellStyle name="Normal 5 2 4 7 2 4" xfId="21282" xr:uid="{6F6C28C9-5D8C-406A-A6E1-BFFEB83C60C6}"/>
    <cellStyle name="Normal 5 2 4 7 2 5" xfId="12834" xr:uid="{F0095B50-1E96-417E-9D52-1954AB658954}"/>
    <cellStyle name="Normal 5 2 4 7 3" xfId="6457" xr:uid="{00000000-0005-0000-0000-00001E190000}"/>
    <cellStyle name="Normal 5 2 4 7 3 2" xfId="31796" xr:uid="{EBCEE915-A21D-4C4A-B591-1AF3DBBCC905}"/>
    <cellStyle name="Normal 5 2 4 7 3 3" xfId="23355" xr:uid="{DD95B7C4-7839-499A-BA7C-0ED39C0F282D}"/>
    <cellStyle name="Normal 5 2 4 7 3 4" xfId="14907" xr:uid="{4D95E53C-7A28-4786-B393-E2CB42A7D592}"/>
    <cellStyle name="Normal 5 2 4 7 4" xfId="27578" xr:uid="{40E997E6-8625-44EB-973B-CCE8B08530B4}"/>
    <cellStyle name="Normal 5 2 4 7 5" xfId="19137" xr:uid="{84E5280A-6E6D-4426-9239-22558676096A}"/>
    <cellStyle name="Normal 5 2 4 7 6" xfId="10689" xr:uid="{C1D637BB-DEA2-42D2-9B0E-2ABD0CC5C7D2}"/>
    <cellStyle name="Normal 5 2 4 8" xfId="2587" xr:uid="{00000000-0005-0000-0000-00001F190000}"/>
    <cellStyle name="Normal 5 2 4 8 2" xfId="6870" xr:uid="{00000000-0005-0000-0000-000020190000}"/>
    <cellStyle name="Normal 5 2 4 8 2 2" xfId="32209" xr:uid="{43C50F74-ADE9-420D-9EB7-58E121F75BF9}"/>
    <cellStyle name="Normal 5 2 4 8 2 3" xfId="23768" xr:uid="{6269E6B6-17BB-4D34-8816-09FBAFF516DB}"/>
    <cellStyle name="Normal 5 2 4 8 2 4" xfId="15320" xr:uid="{5D75F98A-A90F-4F20-8064-0C55D95394DF}"/>
    <cellStyle name="Normal 5 2 4 8 3" xfId="27991" xr:uid="{773A1875-7226-4DF9-ADF9-888FF94EBC0F}"/>
    <cellStyle name="Normal 5 2 4 8 4" xfId="19550" xr:uid="{855BEA93-3CCA-4806-9E30-6F3E33662F8D}"/>
    <cellStyle name="Normal 5 2 4 8 5" xfId="11102" xr:uid="{F21D6569-47C5-40F0-9EEC-662A0DFA71F2}"/>
    <cellStyle name="Normal 5 2 4 9" xfId="4805" xr:uid="{00000000-0005-0000-0000-000021190000}"/>
    <cellStyle name="Normal 5 2 4 9 2" xfId="30144" xr:uid="{5F25E6AC-63EE-4B6F-93EC-CFA3E161D79F}"/>
    <cellStyle name="Normal 5 2 4 9 3" xfId="21703" xr:uid="{D331328C-E9EB-4616-855A-0B6F7C32FDFE}"/>
    <cellStyle name="Normal 5 2 4 9 4" xfId="13255" xr:uid="{F6FC715A-A432-406C-AC3D-F6ED14C81324}"/>
    <cellStyle name="Normal 5 2 5" xfId="436" xr:uid="{00000000-0005-0000-0000-000022190000}"/>
    <cellStyle name="Normal 5 2 5 10" xfId="17489" xr:uid="{D5A38E1B-AE62-4B55-A821-C1695E35D855}"/>
    <cellStyle name="Normal 5 2 5 11" xfId="9041" xr:uid="{5ACE5DD3-FB62-4D05-A88C-31658C7C5608}"/>
    <cellStyle name="Normal 5 2 5 2" xfId="437" xr:uid="{00000000-0005-0000-0000-000023190000}"/>
    <cellStyle name="Normal 5 2 5 2 10" xfId="9042" xr:uid="{93F0FA4D-FB4E-4B4B-A0A9-5301C82408F5}"/>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32707" xr:uid="{83DEEAF1-A95A-484B-9D5F-D0618E4010B8}"/>
    <cellStyle name="Normal 5 2 5 2 2 2 2 3" xfId="24266" xr:uid="{3103DFB2-9B47-4D81-8987-B710AB959A44}"/>
    <cellStyle name="Normal 5 2 5 2 2 2 2 4" xfId="15818" xr:uid="{4C07971C-BDFE-408F-B44E-1BEDDC8579B0}"/>
    <cellStyle name="Normal 5 2 5 2 2 2 3" xfId="28489" xr:uid="{E9C5C292-61DC-48FB-94C3-EAC7C7165208}"/>
    <cellStyle name="Normal 5 2 5 2 2 2 4" xfId="20048" xr:uid="{BA54660B-9DC4-42F0-8857-784D15AE9A45}"/>
    <cellStyle name="Normal 5 2 5 2 2 2 5" xfId="11600" xr:uid="{E6DF6271-00E7-4B3D-B261-9A4E0683133A}"/>
    <cellStyle name="Normal 5 2 5 2 2 3" xfId="5223" xr:uid="{00000000-0005-0000-0000-000027190000}"/>
    <cellStyle name="Normal 5 2 5 2 2 3 2" xfId="30562" xr:uid="{FD9420C3-F99A-48EC-8381-E47A733966C9}"/>
    <cellStyle name="Normal 5 2 5 2 2 3 3" xfId="22121" xr:uid="{DBBF1F22-276F-4943-838C-76E190B8F66B}"/>
    <cellStyle name="Normal 5 2 5 2 2 3 4" xfId="13673" xr:uid="{02EB0ACB-FC74-41EF-92FD-B8D38B114CEF}"/>
    <cellStyle name="Normal 5 2 5 2 2 4" xfId="26344" xr:uid="{115A763F-7D62-410E-B1F1-D2F370121412}"/>
    <cellStyle name="Normal 5 2 5 2 2 5" xfId="17903" xr:uid="{E6998D57-DADF-46DE-A42A-34996EFAAFDD}"/>
    <cellStyle name="Normal 5 2 5 2 2 6" xfId="9455" xr:uid="{F7DA26FA-E47C-48DB-A421-F9A211FAA68F}"/>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33120" xr:uid="{545C97A0-AD1D-48E0-A9F7-DFC3CC75D634}"/>
    <cellStyle name="Normal 5 2 5 2 3 2 2 3" xfId="24679" xr:uid="{C570BEDA-7493-48EC-B1C7-F65BA825A96E}"/>
    <cellStyle name="Normal 5 2 5 2 3 2 2 4" xfId="16231" xr:uid="{EF926025-7168-4293-829F-A5ACD56C7DD7}"/>
    <cellStyle name="Normal 5 2 5 2 3 2 3" xfId="28902" xr:uid="{550B2FCC-F9A2-476E-9511-0BC7F07D1D5B}"/>
    <cellStyle name="Normal 5 2 5 2 3 2 4" xfId="20461" xr:uid="{91EB0411-2DF9-4A9D-B6E5-77AE9F244D60}"/>
    <cellStyle name="Normal 5 2 5 2 3 2 5" xfId="12013" xr:uid="{A5D7701F-972C-443E-BD13-0E3BBFEA54A3}"/>
    <cellStyle name="Normal 5 2 5 2 3 3" xfId="5636" xr:uid="{00000000-0005-0000-0000-00002B190000}"/>
    <cellStyle name="Normal 5 2 5 2 3 3 2" xfId="30975" xr:uid="{3C0D5187-601B-4E2E-8FA7-7C89943ED2B5}"/>
    <cellStyle name="Normal 5 2 5 2 3 3 3" xfId="22534" xr:uid="{9C90BAA5-BC29-4B77-B24F-FF99398F7368}"/>
    <cellStyle name="Normal 5 2 5 2 3 3 4" xfId="14086" xr:uid="{7E44C4C6-63AF-44E5-94B1-194A6AABAD3F}"/>
    <cellStyle name="Normal 5 2 5 2 3 4" xfId="26757" xr:uid="{B423B965-D6AD-4A5C-ADEC-40FACB63C044}"/>
    <cellStyle name="Normal 5 2 5 2 3 5" xfId="18316" xr:uid="{6DE60509-F66B-4D48-9360-D95A1C6B5A91}"/>
    <cellStyle name="Normal 5 2 5 2 3 6" xfId="9868" xr:uid="{B3B89D0D-587C-4FAD-8263-0B350E4FDA34}"/>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33533" xr:uid="{466A2326-B887-4867-8A83-40BCEBBBFB23}"/>
    <cellStyle name="Normal 5 2 5 2 4 2 2 3" xfId="25092" xr:uid="{F4D928E9-9F07-43CC-9915-BDD08AC3ED6B}"/>
    <cellStyle name="Normal 5 2 5 2 4 2 2 4" xfId="16644" xr:uid="{C4B0371F-A9E1-4675-B74B-2C2C7A1979A0}"/>
    <cellStyle name="Normal 5 2 5 2 4 2 3" xfId="29315" xr:uid="{E8B8F0E5-3430-4F02-8019-645220FFF483}"/>
    <cellStyle name="Normal 5 2 5 2 4 2 4" xfId="20874" xr:uid="{5DC3C1C6-826B-4512-84CE-1C57241AA931}"/>
    <cellStyle name="Normal 5 2 5 2 4 2 5" xfId="12426" xr:uid="{0C5ACCB0-3CF5-4AB2-8C64-60C70F07BAFB}"/>
    <cellStyle name="Normal 5 2 5 2 4 3" xfId="6049" xr:uid="{00000000-0005-0000-0000-00002F190000}"/>
    <cellStyle name="Normal 5 2 5 2 4 3 2" xfId="31388" xr:uid="{81561B7F-0117-400A-A26F-654B106F2BA2}"/>
    <cellStyle name="Normal 5 2 5 2 4 3 3" xfId="22947" xr:uid="{D5C07C65-29C4-4904-A513-C5836580B5E6}"/>
    <cellStyle name="Normal 5 2 5 2 4 3 4" xfId="14499" xr:uid="{8FFFF652-90BA-4A46-8142-73AE21C84F96}"/>
    <cellStyle name="Normal 5 2 5 2 4 4" xfId="27170" xr:uid="{50BEF8CC-AB49-4ECB-A69E-9DEC5A162BE0}"/>
    <cellStyle name="Normal 5 2 5 2 4 5" xfId="18729" xr:uid="{FFB3D554-A33C-446D-BAEF-D858B616E9C9}"/>
    <cellStyle name="Normal 5 2 5 2 4 6" xfId="10281" xr:uid="{49E8084A-4032-496B-A421-DD278AFADF43}"/>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33946" xr:uid="{AD76F52D-9F2A-4EBC-8D3D-45938693090F}"/>
    <cellStyle name="Normal 5 2 5 2 5 2 2 3" xfId="25505" xr:uid="{BA05FC59-AF0F-46B8-B660-08FD9D1DA84E}"/>
    <cellStyle name="Normal 5 2 5 2 5 2 2 4" xfId="17057" xr:uid="{A239DE55-DA18-41A9-851E-1EA48C8B024E}"/>
    <cellStyle name="Normal 5 2 5 2 5 2 3" xfId="29728" xr:uid="{131FD963-FFF0-4F96-9A5F-0A0BF5C970BA}"/>
    <cellStyle name="Normal 5 2 5 2 5 2 4" xfId="21287" xr:uid="{8FC42F30-9E8E-4C1D-A972-24757335BF0B}"/>
    <cellStyle name="Normal 5 2 5 2 5 2 5" xfId="12839" xr:uid="{E8FC329B-28E6-4F92-BCE4-731D919FE212}"/>
    <cellStyle name="Normal 5 2 5 2 5 3" xfId="6462" xr:uid="{00000000-0005-0000-0000-000033190000}"/>
    <cellStyle name="Normal 5 2 5 2 5 3 2" xfId="31801" xr:uid="{81CDDD55-9528-4171-96F7-20E8BAA3E028}"/>
    <cellStyle name="Normal 5 2 5 2 5 3 3" xfId="23360" xr:uid="{F03D8AAD-9452-436F-8ABD-B9491E570C46}"/>
    <cellStyle name="Normal 5 2 5 2 5 3 4" xfId="14912" xr:uid="{2AB8AFB5-0137-400C-8DE8-F16AE2DB9FDE}"/>
    <cellStyle name="Normal 5 2 5 2 5 4" xfId="27583" xr:uid="{0967E129-D182-4FBF-8141-39BCAF596D56}"/>
    <cellStyle name="Normal 5 2 5 2 5 5" xfId="19142" xr:uid="{81343F50-DCBB-45B4-B313-294A93151A99}"/>
    <cellStyle name="Normal 5 2 5 2 5 6" xfId="10694" xr:uid="{962E5D6F-81A5-4F85-997C-71297814924B}"/>
    <cellStyle name="Normal 5 2 5 2 6" xfId="2592" xr:uid="{00000000-0005-0000-0000-000034190000}"/>
    <cellStyle name="Normal 5 2 5 2 6 2" xfId="6875" xr:uid="{00000000-0005-0000-0000-000035190000}"/>
    <cellStyle name="Normal 5 2 5 2 6 2 2" xfId="32214" xr:uid="{CCB2C34A-D736-4672-B17E-20B6A8B22182}"/>
    <cellStyle name="Normal 5 2 5 2 6 2 3" xfId="23773" xr:uid="{B6A7CEDE-E8A2-42BC-A2D5-4DEE3BF664D9}"/>
    <cellStyle name="Normal 5 2 5 2 6 2 4" xfId="15325" xr:uid="{D882A227-9D2B-4318-AA3D-EC070F7B8E50}"/>
    <cellStyle name="Normal 5 2 5 2 6 3" xfId="27996" xr:uid="{13ED397C-5ABD-4C1A-A913-BA7A41F215E3}"/>
    <cellStyle name="Normal 5 2 5 2 6 4" xfId="19555" xr:uid="{3F43C980-0182-42EA-9D5D-EA7967D80060}"/>
    <cellStyle name="Normal 5 2 5 2 6 5" xfId="11107" xr:uid="{3755A8CB-8CC7-4786-A606-6B8991EDCE72}"/>
    <cellStyle name="Normal 5 2 5 2 7" xfId="4810" xr:uid="{00000000-0005-0000-0000-000036190000}"/>
    <cellStyle name="Normal 5 2 5 2 7 2" xfId="30149" xr:uid="{74749756-2BBD-4935-BD8B-E35F76C6F27A}"/>
    <cellStyle name="Normal 5 2 5 2 7 3" xfId="21708" xr:uid="{7FAD7451-0D48-459B-BF93-4F1179FB42CD}"/>
    <cellStyle name="Normal 5 2 5 2 7 4" xfId="13260" xr:uid="{54E40581-1E80-4A3D-A82B-B2AAB1525EBA}"/>
    <cellStyle name="Normal 5 2 5 2 8" xfId="25931" xr:uid="{3E887013-8262-4882-8D6E-0E7008135A6D}"/>
    <cellStyle name="Normal 5 2 5 2 9" xfId="17490" xr:uid="{B61D4A2E-BE90-4002-A53D-B1C1695C6381}"/>
    <cellStyle name="Normal 5 2 5 3" xfId="910" xr:uid="{00000000-0005-0000-0000-000037190000}"/>
    <cellStyle name="Normal 5 2 5 3 2" xfId="3145" xr:uid="{00000000-0005-0000-0000-000038190000}"/>
    <cellStyle name="Normal 5 2 5 3 2 2" xfId="7367" xr:uid="{00000000-0005-0000-0000-000039190000}"/>
    <cellStyle name="Normal 5 2 5 3 2 2 2" xfId="32706" xr:uid="{558E2E4A-B628-4F25-ABF9-E9FDE9BB6DD9}"/>
    <cellStyle name="Normal 5 2 5 3 2 2 3" xfId="24265" xr:uid="{6B13CD26-1000-4760-8EFE-7AEE129268BE}"/>
    <cellStyle name="Normal 5 2 5 3 2 2 4" xfId="15817" xr:uid="{672478C3-35DD-41FE-9FB8-162E5DB67134}"/>
    <cellStyle name="Normal 5 2 5 3 2 3" xfId="28488" xr:uid="{AD197649-C4F8-494E-9B8A-2BFD50747E71}"/>
    <cellStyle name="Normal 5 2 5 3 2 4" xfId="20047" xr:uid="{FD85C0B8-31C6-4114-B2E6-F47B776608F8}"/>
    <cellStyle name="Normal 5 2 5 3 2 5" xfId="11599" xr:uid="{642F816D-2228-431D-B573-FCAE33B581EA}"/>
    <cellStyle name="Normal 5 2 5 3 3" xfId="5222" xr:uid="{00000000-0005-0000-0000-00003A190000}"/>
    <cellStyle name="Normal 5 2 5 3 3 2" xfId="30561" xr:uid="{5F24CC79-D1CC-4808-9DE4-0708B9E34917}"/>
    <cellStyle name="Normal 5 2 5 3 3 3" xfId="22120" xr:uid="{08077B48-AB0C-4DE6-8828-F2B4DB88F596}"/>
    <cellStyle name="Normal 5 2 5 3 3 4" xfId="13672" xr:uid="{033A8546-BC72-487B-BBA4-7F402D702F26}"/>
    <cellStyle name="Normal 5 2 5 3 4" xfId="26343" xr:uid="{9740AAE1-87BE-4F01-9566-48D4738F274A}"/>
    <cellStyle name="Normal 5 2 5 3 5" xfId="17902" xr:uid="{00F8280E-18FA-4558-8D9F-5A647A5D05C5}"/>
    <cellStyle name="Normal 5 2 5 3 6" xfId="9454" xr:uid="{204FFFD8-5D06-4BAF-844B-9674542C41B1}"/>
    <cellStyle name="Normal 5 2 5 4" xfId="1328" xr:uid="{00000000-0005-0000-0000-00003B190000}"/>
    <cellStyle name="Normal 5 2 5 4 2" xfId="3558" xr:uid="{00000000-0005-0000-0000-00003C190000}"/>
    <cellStyle name="Normal 5 2 5 4 2 2" xfId="7780" xr:uid="{00000000-0005-0000-0000-00003D190000}"/>
    <cellStyle name="Normal 5 2 5 4 2 2 2" xfId="33119" xr:uid="{82AD94D8-E42F-499B-8EC4-D77A5BD2B8D0}"/>
    <cellStyle name="Normal 5 2 5 4 2 2 3" xfId="24678" xr:uid="{3449748C-B263-462C-A3DB-083FB0A6A0A9}"/>
    <cellStyle name="Normal 5 2 5 4 2 2 4" xfId="16230" xr:uid="{E4F19B9A-2756-42B2-AF86-19F493239FF9}"/>
    <cellStyle name="Normal 5 2 5 4 2 3" xfId="28901" xr:uid="{2DB9C10B-307E-4581-B5EF-22542AA0D32A}"/>
    <cellStyle name="Normal 5 2 5 4 2 4" xfId="20460" xr:uid="{3B0E9468-4858-4463-9C4A-9F44A350960A}"/>
    <cellStyle name="Normal 5 2 5 4 2 5" xfId="12012" xr:uid="{3D12F953-2AA6-403C-AEDD-D6F822C3F910}"/>
    <cellStyle name="Normal 5 2 5 4 3" xfId="5635" xr:uid="{00000000-0005-0000-0000-00003E190000}"/>
    <cellStyle name="Normal 5 2 5 4 3 2" xfId="30974" xr:uid="{0E7C8251-669E-4E7E-9F77-1F3EEAB11D87}"/>
    <cellStyle name="Normal 5 2 5 4 3 3" xfId="22533" xr:uid="{B1E010A6-58ED-4ED7-BEF2-5C35511041D2}"/>
    <cellStyle name="Normal 5 2 5 4 3 4" xfId="14085" xr:uid="{77EA5760-CE3F-415C-A28F-33A4224FBA65}"/>
    <cellStyle name="Normal 5 2 5 4 4" xfId="26756" xr:uid="{F5476345-75F4-4E77-BF1D-ED7EDB6055D1}"/>
    <cellStyle name="Normal 5 2 5 4 5" xfId="18315" xr:uid="{04B9F088-F68C-4311-A4CD-2B7C3C209F82}"/>
    <cellStyle name="Normal 5 2 5 4 6" xfId="9867" xr:uid="{416A1A66-1471-4898-A09D-942421E72A22}"/>
    <cellStyle name="Normal 5 2 5 5" xfId="1741" xr:uid="{00000000-0005-0000-0000-00003F190000}"/>
    <cellStyle name="Normal 5 2 5 5 2" xfId="3971" xr:uid="{00000000-0005-0000-0000-000040190000}"/>
    <cellStyle name="Normal 5 2 5 5 2 2" xfId="8193" xr:uid="{00000000-0005-0000-0000-000041190000}"/>
    <cellStyle name="Normal 5 2 5 5 2 2 2" xfId="33532" xr:uid="{2837F107-24DB-4517-ADB8-367032F0CAB8}"/>
    <cellStyle name="Normal 5 2 5 5 2 2 3" xfId="25091" xr:uid="{8F1FA1D6-8FA0-4AEB-A6F0-FF685D6C700C}"/>
    <cellStyle name="Normal 5 2 5 5 2 2 4" xfId="16643" xr:uid="{DEA2134D-6A67-464A-ADBC-5098CE0FB6F6}"/>
    <cellStyle name="Normal 5 2 5 5 2 3" xfId="29314" xr:uid="{67350C40-016D-4BB5-A501-5AC014E54BC4}"/>
    <cellStyle name="Normal 5 2 5 5 2 4" xfId="20873" xr:uid="{F7F140AF-8DD4-4E36-9EC0-0807A9593BBA}"/>
    <cellStyle name="Normal 5 2 5 5 2 5" xfId="12425" xr:uid="{CED64E6B-818D-41BD-9BE5-5DA5985960D6}"/>
    <cellStyle name="Normal 5 2 5 5 3" xfId="6048" xr:uid="{00000000-0005-0000-0000-000042190000}"/>
    <cellStyle name="Normal 5 2 5 5 3 2" xfId="31387" xr:uid="{179A91B1-68C0-4E3E-874A-C7E7FE99C513}"/>
    <cellStyle name="Normal 5 2 5 5 3 3" xfId="22946" xr:uid="{D0BFA9D1-B23C-4AEA-B657-73303F160692}"/>
    <cellStyle name="Normal 5 2 5 5 3 4" xfId="14498" xr:uid="{00956EDE-EA2E-4600-9991-8B02F9E4B9E8}"/>
    <cellStyle name="Normal 5 2 5 5 4" xfId="27169" xr:uid="{4CBFF540-5DC4-4C82-8852-BC41DE5E75D7}"/>
    <cellStyle name="Normal 5 2 5 5 5" xfId="18728" xr:uid="{A2355334-8E76-402C-8E94-DF47D6C0675D}"/>
    <cellStyle name="Normal 5 2 5 5 6" xfId="10280" xr:uid="{F72AAB2B-B7C0-4460-9931-3DCFB36BF7FA}"/>
    <cellStyle name="Normal 5 2 5 6" xfId="2155" xr:uid="{00000000-0005-0000-0000-000043190000}"/>
    <cellStyle name="Normal 5 2 5 6 2" xfId="4384" xr:uid="{00000000-0005-0000-0000-000044190000}"/>
    <cellStyle name="Normal 5 2 5 6 2 2" xfId="8606" xr:uid="{00000000-0005-0000-0000-000045190000}"/>
    <cellStyle name="Normal 5 2 5 6 2 2 2" xfId="33945" xr:uid="{B3FA9916-83F3-4B82-8B85-DC32431D7EF5}"/>
    <cellStyle name="Normal 5 2 5 6 2 2 3" xfId="25504" xr:uid="{3D991F2C-C4BF-4D1A-85BD-2FCE2AF359CC}"/>
    <cellStyle name="Normal 5 2 5 6 2 2 4" xfId="17056" xr:uid="{5AF7E7AE-7E81-4FC6-B9B4-A046C9508BAC}"/>
    <cellStyle name="Normal 5 2 5 6 2 3" xfId="29727" xr:uid="{BCDC20EE-2798-4E12-82BC-6510F6D717E0}"/>
    <cellStyle name="Normal 5 2 5 6 2 4" xfId="21286" xr:uid="{645C2485-FF03-422A-92A8-51D15031E6D4}"/>
    <cellStyle name="Normal 5 2 5 6 2 5" xfId="12838" xr:uid="{300EF228-F8A0-44DE-9D10-EF0B0A780279}"/>
    <cellStyle name="Normal 5 2 5 6 3" xfId="6461" xr:uid="{00000000-0005-0000-0000-000046190000}"/>
    <cellStyle name="Normal 5 2 5 6 3 2" xfId="31800" xr:uid="{B3AAF591-7028-485D-9C6E-BF6CEC5E2AF5}"/>
    <cellStyle name="Normal 5 2 5 6 3 3" xfId="23359" xr:uid="{8388699C-C080-4E65-9C62-C26749912419}"/>
    <cellStyle name="Normal 5 2 5 6 3 4" xfId="14911" xr:uid="{7671E02E-6DBC-4903-A4C5-EFB2491D3A1F}"/>
    <cellStyle name="Normal 5 2 5 6 4" xfId="27582" xr:uid="{B9266AC8-723D-4FDD-A426-8F845DBC11C9}"/>
    <cellStyle name="Normal 5 2 5 6 5" xfId="19141" xr:uid="{AEFEFEA6-C5E3-42C9-B2CA-CD93B339E948}"/>
    <cellStyle name="Normal 5 2 5 6 6" xfId="10693" xr:uid="{8BDA806D-56DC-4FA7-B257-9AEBE96A0471}"/>
    <cellStyle name="Normal 5 2 5 7" xfId="2591" xr:uid="{00000000-0005-0000-0000-000047190000}"/>
    <cellStyle name="Normal 5 2 5 7 2" xfId="6874" xr:uid="{00000000-0005-0000-0000-000048190000}"/>
    <cellStyle name="Normal 5 2 5 7 2 2" xfId="32213" xr:uid="{1C209415-98FC-42DD-9533-278F04ED7F98}"/>
    <cellStyle name="Normal 5 2 5 7 2 3" xfId="23772" xr:uid="{C8D9692B-726D-4C13-AE69-0B4D3230B5B3}"/>
    <cellStyle name="Normal 5 2 5 7 2 4" xfId="15324" xr:uid="{59072C4B-B2EF-4720-B506-02D8D3597F86}"/>
    <cellStyle name="Normal 5 2 5 7 3" xfId="27995" xr:uid="{A549EE98-CA24-4DC0-A448-53B3ED68C447}"/>
    <cellStyle name="Normal 5 2 5 7 4" xfId="19554" xr:uid="{00255DB6-F348-4E05-994D-C855FE87D018}"/>
    <cellStyle name="Normal 5 2 5 7 5" xfId="11106" xr:uid="{AE83DB54-ECCA-43E7-ABC8-C5495BB4B724}"/>
    <cellStyle name="Normal 5 2 5 8" xfId="4809" xr:uid="{00000000-0005-0000-0000-000049190000}"/>
    <cellStyle name="Normal 5 2 5 8 2" xfId="30148" xr:uid="{4549244E-E36C-4922-94B3-63414556CEDA}"/>
    <cellStyle name="Normal 5 2 5 8 3" xfId="21707" xr:uid="{0CE193E4-D137-41CE-8F60-67CB1B05AEEC}"/>
    <cellStyle name="Normal 5 2 5 8 4" xfId="13259" xr:uid="{98CE664D-A5DC-424E-A028-58E9E25B4CC3}"/>
    <cellStyle name="Normal 5 2 5 9" xfId="25930" xr:uid="{B1CC3408-1D67-4611-8567-3BB972587164}"/>
    <cellStyle name="Normal 5 2 6" xfId="438" xr:uid="{00000000-0005-0000-0000-00004A190000}"/>
    <cellStyle name="Normal 5 2 6 10" xfId="9043" xr:uid="{3FF22200-91DD-4EE6-82C2-D1993C0B1B67}"/>
    <cellStyle name="Normal 5 2 6 2" xfId="912" xr:uid="{00000000-0005-0000-0000-00004B190000}"/>
    <cellStyle name="Normal 5 2 6 2 2" xfId="3147" xr:uid="{00000000-0005-0000-0000-00004C190000}"/>
    <cellStyle name="Normal 5 2 6 2 2 2" xfId="7369" xr:uid="{00000000-0005-0000-0000-00004D190000}"/>
    <cellStyle name="Normal 5 2 6 2 2 2 2" xfId="32708" xr:uid="{D7DAF974-DCBC-4EC5-BA8A-EBC010382EAA}"/>
    <cellStyle name="Normal 5 2 6 2 2 2 3" xfId="24267" xr:uid="{6C2DBE60-A268-46FE-AE03-5648F92783B1}"/>
    <cellStyle name="Normal 5 2 6 2 2 2 4" xfId="15819" xr:uid="{B56359AF-65E7-4B01-A1FA-C7A24A74C291}"/>
    <cellStyle name="Normal 5 2 6 2 2 3" xfId="28490" xr:uid="{19FD24B9-5AA5-4A8A-97FD-2845527F5418}"/>
    <cellStyle name="Normal 5 2 6 2 2 4" xfId="20049" xr:uid="{DD16643D-FE7C-4166-ACCB-13F907D9C6D8}"/>
    <cellStyle name="Normal 5 2 6 2 2 5" xfId="11601" xr:uid="{080ABF81-0479-4B8B-A744-FE87E02374F5}"/>
    <cellStyle name="Normal 5 2 6 2 3" xfId="5224" xr:uid="{00000000-0005-0000-0000-00004E190000}"/>
    <cellStyle name="Normal 5 2 6 2 3 2" xfId="30563" xr:uid="{6F9016C4-FA59-4BFD-B12F-9A654B1D7EB2}"/>
    <cellStyle name="Normal 5 2 6 2 3 3" xfId="22122" xr:uid="{15A9455C-91E1-49EB-AF65-C390808AA441}"/>
    <cellStyle name="Normal 5 2 6 2 3 4" xfId="13674" xr:uid="{AB3FE599-E714-4E6F-B059-D69031F34C98}"/>
    <cellStyle name="Normal 5 2 6 2 4" xfId="26345" xr:uid="{07CA349A-0D61-4BE2-85EA-B620B4F08D1C}"/>
    <cellStyle name="Normal 5 2 6 2 5" xfId="17904" xr:uid="{1FB8D6C0-B396-4BFE-95D0-3AFEA8D5587B}"/>
    <cellStyle name="Normal 5 2 6 2 6" xfId="9456" xr:uid="{E7590347-1FFF-48B7-8A3E-5CCF192E2E40}"/>
    <cellStyle name="Normal 5 2 6 3" xfId="1330" xr:uid="{00000000-0005-0000-0000-00004F190000}"/>
    <cellStyle name="Normal 5 2 6 3 2" xfId="3560" xr:uid="{00000000-0005-0000-0000-000050190000}"/>
    <cellStyle name="Normal 5 2 6 3 2 2" xfId="7782" xr:uid="{00000000-0005-0000-0000-000051190000}"/>
    <cellStyle name="Normal 5 2 6 3 2 2 2" xfId="33121" xr:uid="{8F9F025A-4A16-407F-955B-3A65C0B1A825}"/>
    <cellStyle name="Normal 5 2 6 3 2 2 3" xfId="24680" xr:uid="{46D98C4B-8CCE-4946-82D3-A67DE0729AB4}"/>
    <cellStyle name="Normal 5 2 6 3 2 2 4" xfId="16232" xr:uid="{37B605E4-26EA-48D1-B1A6-16639570E89A}"/>
    <cellStyle name="Normal 5 2 6 3 2 3" xfId="28903" xr:uid="{6DC95F7F-E647-4F81-961D-4AEF049E4022}"/>
    <cellStyle name="Normal 5 2 6 3 2 4" xfId="20462" xr:uid="{CDBCA7CD-7D3D-41F8-B06F-96B40A9B7F34}"/>
    <cellStyle name="Normal 5 2 6 3 2 5" xfId="12014" xr:uid="{A01B14FE-DC35-4FDA-9B78-601A88AC7034}"/>
    <cellStyle name="Normal 5 2 6 3 3" xfId="5637" xr:uid="{00000000-0005-0000-0000-000052190000}"/>
    <cellStyle name="Normal 5 2 6 3 3 2" xfId="30976" xr:uid="{F6F20A8C-FB52-4095-ACE0-ED29015F963A}"/>
    <cellStyle name="Normal 5 2 6 3 3 3" xfId="22535" xr:uid="{B9CA6EB3-CD13-4D31-BAA0-DB2AD8B3344F}"/>
    <cellStyle name="Normal 5 2 6 3 3 4" xfId="14087" xr:uid="{11A73954-2557-4F19-BFBD-BFB2B5A0FA06}"/>
    <cellStyle name="Normal 5 2 6 3 4" xfId="26758" xr:uid="{B7FAF66F-6D4D-41E9-A0AE-A2B142C0E580}"/>
    <cellStyle name="Normal 5 2 6 3 5" xfId="18317" xr:uid="{D9215B91-C3E9-4357-8C8B-F1BA23DCA0F6}"/>
    <cellStyle name="Normal 5 2 6 3 6" xfId="9869" xr:uid="{80FEB25A-B345-481B-B7B3-71A4907A3CAB}"/>
    <cellStyle name="Normal 5 2 6 4" xfId="1743" xr:uid="{00000000-0005-0000-0000-000053190000}"/>
    <cellStyle name="Normal 5 2 6 4 2" xfId="3973" xr:uid="{00000000-0005-0000-0000-000054190000}"/>
    <cellStyle name="Normal 5 2 6 4 2 2" xfId="8195" xr:uid="{00000000-0005-0000-0000-000055190000}"/>
    <cellStyle name="Normal 5 2 6 4 2 2 2" xfId="33534" xr:uid="{79D913E1-CAF3-4EF7-8765-44E60E73351E}"/>
    <cellStyle name="Normal 5 2 6 4 2 2 3" xfId="25093" xr:uid="{AF9F4D06-60A3-48D4-8B6C-75723356BBE0}"/>
    <cellStyle name="Normal 5 2 6 4 2 2 4" xfId="16645" xr:uid="{850FB907-91BB-4F77-82C6-378DAF37B0EF}"/>
    <cellStyle name="Normal 5 2 6 4 2 3" xfId="29316" xr:uid="{B9A78A23-D507-4DDA-B181-2A8C7E863552}"/>
    <cellStyle name="Normal 5 2 6 4 2 4" xfId="20875" xr:uid="{5F8B6EF4-DA54-4A57-9177-AE34F8C51D6E}"/>
    <cellStyle name="Normal 5 2 6 4 2 5" xfId="12427" xr:uid="{52F37413-AEED-4E52-A356-4275ED0A6A40}"/>
    <cellStyle name="Normal 5 2 6 4 3" xfId="6050" xr:uid="{00000000-0005-0000-0000-000056190000}"/>
    <cellStyle name="Normal 5 2 6 4 3 2" xfId="31389" xr:uid="{7450BFF0-2ED3-4F70-B30D-2907779E8558}"/>
    <cellStyle name="Normal 5 2 6 4 3 3" xfId="22948" xr:uid="{8CA3F102-2F90-4314-BF44-87E9A94CF0E9}"/>
    <cellStyle name="Normal 5 2 6 4 3 4" xfId="14500" xr:uid="{492AFD87-1B66-4AAD-BE74-C2A72ECE75AD}"/>
    <cellStyle name="Normal 5 2 6 4 4" xfId="27171" xr:uid="{B7D96F27-F328-4B8F-924E-A223476B026B}"/>
    <cellStyle name="Normal 5 2 6 4 5" xfId="18730" xr:uid="{B4B01A60-C7E0-47D2-AC78-D4AE585BA78F}"/>
    <cellStyle name="Normal 5 2 6 4 6" xfId="10282" xr:uid="{5719EEEA-C5AC-416A-8DA6-EB8C569697FB}"/>
    <cellStyle name="Normal 5 2 6 5" xfId="2157" xr:uid="{00000000-0005-0000-0000-000057190000}"/>
    <cellStyle name="Normal 5 2 6 5 2" xfId="4386" xr:uid="{00000000-0005-0000-0000-000058190000}"/>
    <cellStyle name="Normal 5 2 6 5 2 2" xfId="8608" xr:uid="{00000000-0005-0000-0000-000059190000}"/>
    <cellStyle name="Normal 5 2 6 5 2 2 2" xfId="33947" xr:uid="{761F90C6-23D3-4FB5-B3E2-B2074B67B1F0}"/>
    <cellStyle name="Normal 5 2 6 5 2 2 3" xfId="25506" xr:uid="{559C715B-A679-46BD-BD7F-7AE4FDABF1C5}"/>
    <cellStyle name="Normal 5 2 6 5 2 2 4" xfId="17058" xr:uid="{3249F7BE-4576-4002-9979-BC8F4C404A3F}"/>
    <cellStyle name="Normal 5 2 6 5 2 3" xfId="29729" xr:uid="{08C89200-004C-4E87-94D8-BD14D8003AE6}"/>
    <cellStyle name="Normal 5 2 6 5 2 4" xfId="21288" xr:uid="{93FA7EFA-3C3A-44E0-974F-51E5DC03A4A7}"/>
    <cellStyle name="Normal 5 2 6 5 2 5" xfId="12840" xr:uid="{E12CB07A-052C-44A6-8646-8FEC372841C1}"/>
    <cellStyle name="Normal 5 2 6 5 3" xfId="6463" xr:uid="{00000000-0005-0000-0000-00005A190000}"/>
    <cellStyle name="Normal 5 2 6 5 3 2" xfId="31802" xr:uid="{4C237B8B-AD4B-4B73-98C4-D4892192273E}"/>
    <cellStyle name="Normal 5 2 6 5 3 3" xfId="23361" xr:uid="{9841996E-0475-4374-B534-320B0418D4AA}"/>
    <cellStyle name="Normal 5 2 6 5 3 4" xfId="14913" xr:uid="{6BBE0842-0A50-4F2B-90D3-C9ADFD832A6E}"/>
    <cellStyle name="Normal 5 2 6 5 4" xfId="27584" xr:uid="{1485E7AD-1CE6-48B6-8DC3-F237605B9C11}"/>
    <cellStyle name="Normal 5 2 6 5 5" xfId="19143" xr:uid="{205B5354-281B-40E5-8A50-4895D7B6EA44}"/>
    <cellStyle name="Normal 5 2 6 5 6" xfId="10695" xr:uid="{C7955ED6-B2B1-46C3-B461-77AC8FEBCD93}"/>
    <cellStyle name="Normal 5 2 6 6" xfId="2593" xr:uid="{00000000-0005-0000-0000-00005B190000}"/>
    <cellStyle name="Normal 5 2 6 6 2" xfId="6876" xr:uid="{00000000-0005-0000-0000-00005C190000}"/>
    <cellStyle name="Normal 5 2 6 6 2 2" xfId="32215" xr:uid="{13683F40-4261-4C0A-AE4C-690EEB0FA6C7}"/>
    <cellStyle name="Normal 5 2 6 6 2 3" xfId="23774" xr:uid="{3BE22B35-37C9-49E7-A157-A7227A72990C}"/>
    <cellStyle name="Normal 5 2 6 6 2 4" xfId="15326" xr:uid="{4F47DD10-37F2-411E-B3DC-70F9F6F32ED7}"/>
    <cellStyle name="Normal 5 2 6 6 3" xfId="27997" xr:uid="{D379F867-96BB-49FB-99FF-BFC40A756B25}"/>
    <cellStyle name="Normal 5 2 6 6 4" xfId="19556" xr:uid="{FE3ED226-95C7-4D0B-A6DB-22D17035D1BC}"/>
    <cellStyle name="Normal 5 2 6 6 5" xfId="11108" xr:uid="{ABEC5CD8-E094-485C-BC54-CE934A80C586}"/>
    <cellStyle name="Normal 5 2 6 7" xfId="4811" xr:uid="{00000000-0005-0000-0000-00005D190000}"/>
    <cellStyle name="Normal 5 2 6 7 2" xfId="30150" xr:uid="{C314F90B-14D2-4C67-9371-3C77558D12FC}"/>
    <cellStyle name="Normal 5 2 6 7 3" xfId="21709" xr:uid="{5B6162E5-0DF3-4304-AC89-98F045D5577C}"/>
    <cellStyle name="Normal 5 2 6 7 4" xfId="13261" xr:uid="{0569DD79-018B-44E0-BF4F-B5B232DCE1A4}"/>
    <cellStyle name="Normal 5 2 6 8" xfId="25932" xr:uid="{362F649F-BBEC-44A4-8C6F-2134C0789A3E}"/>
    <cellStyle name="Normal 5 2 6 9" xfId="17491" xr:uid="{F408CBF1-C4E0-42B8-8627-921262A7D9B6}"/>
    <cellStyle name="Normal 5 2 7" xfId="881" xr:uid="{00000000-0005-0000-0000-00005E190000}"/>
    <cellStyle name="Normal 5 2 7 2" xfId="3116" xr:uid="{00000000-0005-0000-0000-00005F190000}"/>
    <cellStyle name="Normal 5 2 7 2 2" xfId="7338" xr:uid="{00000000-0005-0000-0000-000060190000}"/>
    <cellStyle name="Normal 5 2 7 2 2 2" xfId="32677" xr:uid="{017C70CD-99CE-4771-B864-CC660970A4AB}"/>
    <cellStyle name="Normal 5 2 7 2 2 3" xfId="24236" xr:uid="{357A577E-C413-425F-BF18-CAE87096CEFC}"/>
    <cellStyle name="Normal 5 2 7 2 2 4" xfId="15788" xr:uid="{5B7894B0-6CDA-42B5-8E2E-879920A8D215}"/>
    <cellStyle name="Normal 5 2 7 2 3" xfId="28459" xr:uid="{00A9C00F-9D81-4AB5-86FA-435A45C08361}"/>
    <cellStyle name="Normal 5 2 7 2 4" xfId="20018" xr:uid="{82B9009B-41BA-4046-9A7E-66E73F43A9CD}"/>
    <cellStyle name="Normal 5 2 7 2 5" xfId="11570" xr:uid="{26B5D5CE-1F8A-4C37-B10E-31FDD529BC26}"/>
    <cellStyle name="Normal 5 2 7 3" xfId="5193" xr:uid="{00000000-0005-0000-0000-000061190000}"/>
    <cellStyle name="Normal 5 2 7 3 2" xfId="30532" xr:uid="{8C168285-6A27-49AE-9E27-3DBA933FED74}"/>
    <cellStyle name="Normal 5 2 7 3 3" xfId="22091" xr:uid="{1125B23D-1040-437D-AD85-88793E9FA0F2}"/>
    <cellStyle name="Normal 5 2 7 3 4" xfId="13643" xr:uid="{569EEFD9-6090-43E8-968D-38730652AFCE}"/>
    <cellStyle name="Normal 5 2 7 4" xfId="26314" xr:uid="{70BCDE4C-A3B0-415F-9273-8C090D1D81E1}"/>
    <cellStyle name="Normal 5 2 7 5" xfId="17873" xr:uid="{9D7A66C9-1A33-4DB7-8B4D-E695E14042A6}"/>
    <cellStyle name="Normal 5 2 7 6" xfId="9425" xr:uid="{5B4281FF-4FF1-424F-9DFB-84E93BE271C1}"/>
    <cellStyle name="Normal 5 2 8" xfId="1299" xr:uid="{00000000-0005-0000-0000-000062190000}"/>
    <cellStyle name="Normal 5 2 8 2" xfId="3529" xr:uid="{00000000-0005-0000-0000-000063190000}"/>
    <cellStyle name="Normal 5 2 8 2 2" xfId="7751" xr:uid="{00000000-0005-0000-0000-000064190000}"/>
    <cellStyle name="Normal 5 2 8 2 2 2" xfId="33090" xr:uid="{DB359DF3-BCB3-472B-8FCE-86A6CD6372CA}"/>
    <cellStyle name="Normal 5 2 8 2 2 3" xfId="24649" xr:uid="{53BD9F5C-5AA1-40B0-8FBF-787F72FFFE4D}"/>
    <cellStyle name="Normal 5 2 8 2 2 4" xfId="16201" xr:uid="{7BC5D30A-9385-49F6-8C12-FD14E4E41BAD}"/>
    <cellStyle name="Normal 5 2 8 2 3" xfId="28872" xr:uid="{5A103B6B-5561-4AFF-88E7-E0A97F8F10B4}"/>
    <cellStyle name="Normal 5 2 8 2 4" xfId="20431" xr:uid="{D9E0AF11-2552-40AC-8FAE-570874F883F2}"/>
    <cellStyle name="Normal 5 2 8 2 5" xfId="11983" xr:uid="{7B345AB0-7832-45B2-AE4A-CB968B3BBCC0}"/>
    <cellStyle name="Normal 5 2 8 3" xfId="5606" xr:uid="{00000000-0005-0000-0000-000065190000}"/>
    <cellStyle name="Normal 5 2 8 3 2" xfId="30945" xr:uid="{C6840AF4-7EAB-4D85-95EA-DA72E63E46B2}"/>
    <cellStyle name="Normal 5 2 8 3 3" xfId="22504" xr:uid="{57056A00-B7E3-478D-A392-73D90653BDBF}"/>
    <cellStyle name="Normal 5 2 8 3 4" xfId="14056" xr:uid="{7457A062-0B7B-416E-BBA5-288E30F32F26}"/>
    <cellStyle name="Normal 5 2 8 4" xfId="26727" xr:uid="{F583C9AB-ABA0-4BD6-894B-977F71544069}"/>
    <cellStyle name="Normal 5 2 8 5" xfId="18286" xr:uid="{45BF36D6-13EC-46AE-8E75-F064C8F5225A}"/>
    <cellStyle name="Normal 5 2 8 6" xfId="9838" xr:uid="{9A814AA1-0CC8-4B5C-A7E5-700965812511}"/>
    <cellStyle name="Normal 5 2 9" xfId="1712" xr:uid="{00000000-0005-0000-0000-000066190000}"/>
    <cellStyle name="Normal 5 2 9 2" xfId="3942" xr:uid="{00000000-0005-0000-0000-000067190000}"/>
    <cellStyle name="Normal 5 2 9 2 2" xfId="8164" xr:uid="{00000000-0005-0000-0000-000068190000}"/>
    <cellStyle name="Normal 5 2 9 2 2 2" xfId="33503" xr:uid="{B60C8666-4CD4-4443-9DF8-905E580CF9BF}"/>
    <cellStyle name="Normal 5 2 9 2 2 3" xfId="25062" xr:uid="{66379386-8A91-44FC-AEF7-2F212EA13A54}"/>
    <cellStyle name="Normal 5 2 9 2 2 4" xfId="16614" xr:uid="{1246AF57-34B8-4473-B66C-34E1867B3DEA}"/>
    <cellStyle name="Normal 5 2 9 2 3" xfId="29285" xr:uid="{5DA74F54-838F-467D-85C6-CA0A53CD3732}"/>
    <cellStyle name="Normal 5 2 9 2 4" xfId="20844" xr:uid="{2B58DD86-54E0-41F2-8CFF-E7BFB043F683}"/>
    <cellStyle name="Normal 5 2 9 2 5" xfId="12396" xr:uid="{4DE62D48-1944-4A19-B3A7-C649BEAD7134}"/>
    <cellStyle name="Normal 5 2 9 3" xfId="6019" xr:uid="{00000000-0005-0000-0000-000069190000}"/>
    <cellStyle name="Normal 5 2 9 3 2" xfId="31358" xr:uid="{DA4B4540-147E-453F-94E2-CD7751928FDF}"/>
    <cellStyle name="Normal 5 2 9 3 3" xfId="22917" xr:uid="{13711A40-FA6C-49AD-B8A2-D27CECB8CB97}"/>
    <cellStyle name="Normal 5 2 9 3 4" xfId="14469" xr:uid="{86E10CE3-2873-4C3F-BE2E-5F92DF09EEBE}"/>
    <cellStyle name="Normal 5 2 9 4" xfId="27140" xr:uid="{EB5DD010-40B8-41FA-9FEA-35E5F03CCA25}"/>
    <cellStyle name="Normal 5 2 9 5" xfId="18699" xr:uid="{28DC3D31-EB0E-45F6-AD80-8BDA823A9ADD}"/>
    <cellStyle name="Normal 5 2 9 6" xfId="10251" xr:uid="{42330206-835A-4087-BF12-DB98F1715391}"/>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33948" xr:uid="{33A0ADEA-B7AE-4A7F-8F38-DA6FB229A99A}"/>
    <cellStyle name="Normal 5 3 10 2 2 3" xfId="25507" xr:uid="{F7D30BB3-30D8-4D2F-A64C-7E128017E4E7}"/>
    <cellStyle name="Normal 5 3 10 2 2 4" xfId="17059" xr:uid="{DDB6EB0D-8980-4646-AC40-79A6BE92A524}"/>
    <cellStyle name="Normal 5 3 10 2 3" xfId="29730" xr:uid="{438B5C10-7275-4C17-BC23-63B3E23F224E}"/>
    <cellStyle name="Normal 5 3 10 2 4" xfId="21289" xr:uid="{6398C1B9-5CE8-4A2F-A230-8ABAA36510B0}"/>
    <cellStyle name="Normal 5 3 10 2 5" xfId="12841" xr:uid="{98AEA70E-6665-4443-8649-A50CCEA8D515}"/>
    <cellStyle name="Normal 5 3 10 3" xfId="6464" xr:uid="{00000000-0005-0000-0000-00006E190000}"/>
    <cellStyle name="Normal 5 3 10 3 2" xfId="31803" xr:uid="{0B7C4070-9400-43CB-8A4F-4B5FB60EA8FF}"/>
    <cellStyle name="Normal 5 3 10 3 3" xfId="23362" xr:uid="{521F38ED-9FE6-486F-BCD8-F3F724B56768}"/>
    <cellStyle name="Normal 5 3 10 3 4" xfId="14914" xr:uid="{E71BD8B1-CD98-4054-BC40-2B2F9116249C}"/>
    <cellStyle name="Normal 5 3 10 4" xfId="27585" xr:uid="{FFF41FE9-4EE6-4D47-B4ED-41777C54BF7B}"/>
    <cellStyle name="Normal 5 3 10 5" xfId="19144" xr:uid="{904C0D97-C502-4ED1-B412-F15F3F50FD7B}"/>
    <cellStyle name="Normal 5 3 10 6" xfId="10696" xr:uid="{6D2BE18D-9E51-4E26-AB23-93F09D2E6247}"/>
    <cellStyle name="Normal 5 3 11" xfId="2594" xr:uid="{00000000-0005-0000-0000-00006F190000}"/>
    <cellStyle name="Normal 5 3 11 2" xfId="6877" xr:uid="{00000000-0005-0000-0000-000070190000}"/>
    <cellStyle name="Normal 5 3 11 2 2" xfId="32216" xr:uid="{8AD4C6E0-5FF0-4D01-A8AC-2EBEF7CB7E78}"/>
    <cellStyle name="Normal 5 3 11 2 3" xfId="23775" xr:uid="{8BD4551F-5E83-49D0-8725-1002E8C97DC4}"/>
    <cellStyle name="Normal 5 3 11 2 4" xfId="15327" xr:uid="{9FF0E68E-1BB7-4BB9-8AA2-81D14416813C}"/>
    <cellStyle name="Normal 5 3 11 3" xfId="27998" xr:uid="{7F02836E-0BBE-4CAE-BA1F-1B95D15E2DAF}"/>
    <cellStyle name="Normal 5 3 11 4" xfId="19557" xr:uid="{A775162D-95C0-48B0-AFEC-E80392A12A70}"/>
    <cellStyle name="Normal 5 3 11 5" xfId="11109" xr:uid="{BF54BDFA-3479-458F-B185-3D8239AACBC1}"/>
    <cellStyle name="Normal 5 3 12" xfId="4812" xr:uid="{00000000-0005-0000-0000-000071190000}"/>
    <cellStyle name="Normal 5 3 12 2" xfId="30151" xr:uid="{4C15301F-D979-4D84-82E2-192E42751DCF}"/>
    <cellStyle name="Normal 5 3 12 3" xfId="21710" xr:uid="{327F0FF7-E41A-4D87-ADFB-431918E3108F}"/>
    <cellStyle name="Normal 5 3 12 4" xfId="13262" xr:uid="{3153834F-CC1C-4924-BC66-77560086D12C}"/>
    <cellStyle name="Normal 5 3 13" xfId="25933" xr:uid="{38855706-38F1-4861-B18E-186752D820B3}"/>
    <cellStyle name="Normal 5 3 14" xfId="17492" xr:uid="{B0BD8DE0-FDE8-47D1-A373-948FE819BEBD}"/>
    <cellStyle name="Normal 5 3 15" xfId="9044" xr:uid="{E9E4F322-4A87-4DF7-AEA8-B96776CEAD39}"/>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30152" xr:uid="{B7A31200-B08F-4527-B468-3EAD8142DD24}"/>
    <cellStyle name="Normal 5 3 3 10 3" xfId="21711" xr:uid="{8EE6BCB8-3A4C-417D-8BF5-FEDE5528605D}"/>
    <cellStyle name="Normal 5 3 3 10 4" xfId="13263" xr:uid="{7137FCDB-CFC3-4426-AA46-245AF1A4B627}"/>
    <cellStyle name="Normal 5 3 3 11" xfId="25934" xr:uid="{8BA6424B-40BF-4E45-8B26-A65F1E41CA0C}"/>
    <cellStyle name="Normal 5 3 3 12" xfId="17493" xr:uid="{92129F2A-424E-40B1-A71A-8C7EEB3F235D}"/>
    <cellStyle name="Normal 5 3 3 13" xfId="9045" xr:uid="{FF731A5F-76D6-41E0-B85B-2680A47304F9}"/>
    <cellStyle name="Normal 5 3 3 2" xfId="442" xr:uid="{00000000-0005-0000-0000-000076190000}"/>
    <cellStyle name="Normal 5 3 3 2 10" xfId="25935" xr:uid="{3E22C6E2-F96F-4295-9A4A-B5453EE09817}"/>
    <cellStyle name="Normal 5 3 3 2 11" xfId="17494" xr:uid="{7D299E5C-5F16-437E-889B-BE887089F9B2}"/>
    <cellStyle name="Normal 5 3 3 2 12" xfId="9046" xr:uid="{72EB9D5B-D1CF-416F-8D29-20F9F669F409}"/>
    <cellStyle name="Normal 5 3 3 2 2" xfId="443" xr:uid="{00000000-0005-0000-0000-000077190000}"/>
    <cellStyle name="Normal 5 3 3 2 2 10" xfId="17495" xr:uid="{257FDF21-53D3-402D-8E08-72BAFFFFEDDB}"/>
    <cellStyle name="Normal 5 3 3 2 2 11" xfId="9047" xr:uid="{66DCD319-6026-43D7-A335-903711576906}"/>
    <cellStyle name="Normal 5 3 3 2 2 2" xfId="444" xr:uid="{00000000-0005-0000-0000-000078190000}"/>
    <cellStyle name="Normal 5 3 3 2 2 2 10" xfId="9048" xr:uid="{E7980B50-C6C0-43B2-BB95-2EA142C223A6}"/>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32713" xr:uid="{A46D1A14-6433-4266-92B2-94E613A92EB7}"/>
    <cellStyle name="Normal 5 3 3 2 2 2 2 2 2 3" xfId="24272" xr:uid="{C6CC54AA-87FF-4930-844C-0BD784508460}"/>
    <cellStyle name="Normal 5 3 3 2 2 2 2 2 2 4" xfId="15824" xr:uid="{1C882C33-743B-4034-8098-B2E3421D8F10}"/>
    <cellStyle name="Normal 5 3 3 2 2 2 2 2 3" xfId="28495" xr:uid="{544E0AA5-45B5-4E3E-8A23-96B3B47BD0A0}"/>
    <cellStyle name="Normal 5 3 3 2 2 2 2 2 4" xfId="20054" xr:uid="{4DD8D009-8F75-4294-B15D-CECCAB33D7E8}"/>
    <cellStyle name="Normal 5 3 3 2 2 2 2 2 5" xfId="11606" xr:uid="{F6103BA7-2670-4A9A-A56B-1D3F6EBE18D0}"/>
    <cellStyle name="Normal 5 3 3 2 2 2 2 3" xfId="5229" xr:uid="{00000000-0005-0000-0000-00007C190000}"/>
    <cellStyle name="Normal 5 3 3 2 2 2 2 3 2" xfId="30568" xr:uid="{DB1E4564-E6FD-497C-AA88-AE514E9BF4CA}"/>
    <cellStyle name="Normal 5 3 3 2 2 2 2 3 3" xfId="22127" xr:uid="{69958557-ED6D-487E-9551-338F08EE0BAF}"/>
    <cellStyle name="Normal 5 3 3 2 2 2 2 3 4" xfId="13679" xr:uid="{D1F1B552-487E-4438-8FF7-E082CAED21BC}"/>
    <cellStyle name="Normal 5 3 3 2 2 2 2 4" xfId="26350" xr:uid="{0B5E83DE-8ED4-41B1-BC78-31729D3470E8}"/>
    <cellStyle name="Normal 5 3 3 2 2 2 2 5" xfId="17909" xr:uid="{FCD5AE40-FCCC-482B-83A4-529AC5A94650}"/>
    <cellStyle name="Normal 5 3 3 2 2 2 2 6" xfId="9461" xr:uid="{04BC3ACB-6285-4DA4-8901-1FE474727CBF}"/>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33126" xr:uid="{BED67C26-78CE-4902-AAA9-CEF7C0859C5F}"/>
    <cellStyle name="Normal 5 3 3 2 2 2 3 2 2 3" xfId="24685" xr:uid="{45AC93A3-E44D-4EAE-9637-DBFC40EF5DC9}"/>
    <cellStyle name="Normal 5 3 3 2 2 2 3 2 2 4" xfId="16237" xr:uid="{D8B3B4EB-3DD1-48D7-A54D-184A1607995D}"/>
    <cellStyle name="Normal 5 3 3 2 2 2 3 2 3" xfId="28908" xr:uid="{B4F4B4ED-5704-4360-B121-73C98226975A}"/>
    <cellStyle name="Normal 5 3 3 2 2 2 3 2 4" xfId="20467" xr:uid="{C32494C1-6E66-462C-91C1-ADF468E4AA75}"/>
    <cellStyle name="Normal 5 3 3 2 2 2 3 2 5" xfId="12019" xr:uid="{28653F87-A324-4FD0-8E5F-9CDFB5BB8C05}"/>
    <cellStyle name="Normal 5 3 3 2 2 2 3 3" xfId="5642" xr:uid="{00000000-0005-0000-0000-000080190000}"/>
    <cellStyle name="Normal 5 3 3 2 2 2 3 3 2" xfId="30981" xr:uid="{1E0C32D8-2DA7-424D-8525-03FD9E791E9B}"/>
    <cellStyle name="Normal 5 3 3 2 2 2 3 3 3" xfId="22540" xr:uid="{91C1B637-4A03-48F5-849E-FA7870133092}"/>
    <cellStyle name="Normal 5 3 3 2 2 2 3 3 4" xfId="14092" xr:uid="{FA3035D7-C076-486E-AA38-37F6B20E1AFD}"/>
    <cellStyle name="Normal 5 3 3 2 2 2 3 4" xfId="26763" xr:uid="{47E5981F-5A87-4A95-96F0-405A956A6CC6}"/>
    <cellStyle name="Normal 5 3 3 2 2 2 3 5" xfId="18322" xr:uid="{46E9BDF4-66A1-4710-A048-2A719E9F7921}"/>
    <cellStyle name="Normal 5 3 3 2 2 2 3 6" xfId="9874" xr:uid="{1A480716-416C-45E4-ADE4-850ACE85ADE2}"/>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33539" xr:uid="{65627205-C4BA-4CEF-B361-4E2CD2373160}"/>
    <cellStyle name="Normal 5 3 3 2 2 2 4 2 2 3" xfId="25098" xr:uid="{91B07512-5F54-4D3D-87ED-A793DF6A1824}"/>
    <cellStyle name="Normal 5 3 3 2 2 2 4 2 2 4" xfId="16650" xr:uid="{BF41408B-69AF-46BE-BFF0-6EE2C69F811F}"/>
    <cellStyle name="Normal 5 3 3 2 2 2 4 2 3" xfId="29321" xr:uid="{0E52D559-9DA4-4B47-B2CC-605B6A1BCB03}"/>
    <cellStyle name="Normal 5 3 3 2 2 2 4 2 4" xfId="20880" xr:uid="{C0BBFE11-D369-4803-B99C-823CF01AFDC2}"/>
    <cellStyle name="Normal 5 3 3 2 2 2 4 2 5" xfId="12432" xr:uid="{0A3EF61A-E4A4-46D4-92A7-C7D376264697}"/>
    <cellStyle name="Normal 5 3 3 2 2 2 4 3" xfId="6055" xr:uid="{00000000-0005-0000-0000-000084190000}"/>
    <cellStyle name="Normal 5 3 3 2 2 2 4 3 2" xfId="31394" xr:uid="{86F1C545-F7AC-4588-9A8D-B436C98898DD}"/>
    <cellStyle name="Normal 5 3 3 2 2 2 4 3 3" xfId="22953" xr:uid="{3533957E-79CC-4D74-B827-DB54B9C03730}"/>
    <cellStyle name="Normal 5 3 3 2 2 2 4 3 4" xfId="14505" xr:uid="{C342BA11-2C39-415A-8010-9F96F6BAEBD4}"/>
    <cellStyle name="Normal 5 3 3 2 2 2 4 4" xfId="27176" xr:uid="{A6473095-989D-4049-8850-FEF19650E612}"/>
    <cellStyle name="Normal 5 3 3 2 2 2 4 5" xfId="18735" xr:uid="{FBCB40A3-067A-4A95-B0FF-E5053DD3B69C}"/>
    <cellStyle name="Normal 5 3 3 2 2 2 4 6" xfId="10287" xr:uid="{C84D7564-4AB2-444C-B27F-3D7276F6B805}"/>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33952" xr:uid="{703A1EDD-4B65-4BB6-AD8F-3FB35FB3820A}"/>
    <cellStyle name="Normal 5 3 3 2 2 2 5 2 2 3" xfId="25511" xr:uid="{4F6FAEAF-41F9-495A-B818-C43B6E37368D}"/>
    <cellStyle name="Normal 5 3 3 2 2 2 5 2 2 4" xfId="17063" xr:uid="{8079E4DA-1B34-4A2B-A74E-55B45E4F1A7F}"/>
    <cellStyle name="Normal 5 3 3 2 2 2 5 2 3" xfId="29734" xr:uid="{AE20A79A-CB28-4937-9ED6-95C708748DBF}"/>
    <cellStyle name="Normal 5 3 3 2 2 2 5 2 4" xfId="21293" xr:uid="{46A04108-B01B-458F-BAD6-12E3C59CDE0D}"/>
    <cellStyle name="Normal 5 3 3 2 2 2 5 2 5" xfId="12845" xr:uid="{F0142EEF-ADF3-4980-A3E1-6859D6DCC839}"/>
    <cellStyle name="Normal 5 3 3 2 2 2 5 3" xfId="6468" xr:uid="{00000000-0005-0000-0000-000088190000}"/>
    <cellStyle name="Normal 5 3 3 2 2 2 5 3 2" xfId="31807" xr:uid="{0DA697B6-4F8D-48EF-B58F-5F61F22D30CF}"/>
    <cellStyle name="Normal 5 3 3 2 2 2 5 3 3" xfId="23366" xr:uid="{725CECC3-0A5A-46D8-BCD2-AAD749D95655}"/>
    <cellStyle name="Normal 5 3 3 2 2 2 5 3 4" xfId="14918" xr:uid="{2E9010C6-DBCB-48E8-8937-AA0B3CDC3E81}"/>
    <cellStyle name="Normal 5 3 3 2 2 2 5 4" xfId="27589" xr:uid="{D9E75F1E-7062-4E2B-9CAA-10A217574011}"/>
    <cellStyle name="Normal 5 3 3 2 2 2 5 5" xfId="19148" xr:uid="{7B96ADB6-878C-438C-87FF-986562D5A45C}"/>
    <cellStyle name="Normal 5 3 3 2 2 2 5 6" xfId="10700" xr:uid="{0B44CCF0-7B96-4CCA-9EC9-29FD54A70BBE}"/>
    <cellStyle name="Normal 5 3 3 2 2 2 6" xfId="2598" xr:uid="{00000000-0005-0000-0000-000089190000}"/>
    <cellStyle name="Normal 5 3 3 2 2 2 6 2" xfId="6881" xr:uid="{00000000-0005-0000-0000-00008A190000}"/>
    <cellStyle name="Normal 5 3 3 2 2 2 6 2 2" xfId="32220" xr:uid="{A73B44A1-8522-487C-91D1-444FD29A6285}"/>
    <cellStyle name="Normal 5 3 3 2 2 2 6 2 3" xfId="23779" xr:uid="{1188FFF1-D607-43A7-BEBC-AEAB3777A826}"/>
    <cellStyle name="Normal 5 3 3 2 2 2 6 2 4" xfId="15331" xr:uid="{161CE4B9-2C30-4E93-B257-75624E9BC0D3}"/>
    <cellStyle name="Normal 5 3 3 2 2 2 6 3" xfId="28002" xr:uid="{A9FC0EA8-CE47-4039-8407-0F692E2899AE}"/>
    <cellStyle name="Normal 5 3 3 2 2 2 6 4" xfId="19561" xr:uid="{4DE20F73-B531-48BB-A3A6-7CFCF4600415}"/>
    <cellStyle name="Normal 5 3 3 2 2 2 6 5" xfId="11113" xr:uid="{3FC68747-E663-446F-B39A-19BDEE9E2DCD}"/>
    <cellStyle name="Normal 5 3 3 2 2 2 7" xfId="4816" xr:uid="{00000000-0005-0000-0000-00008B190000}"/>
    <cellStyle name="Normal 5 3 3 2 2 2 7 2" xfId="30155" xr:uid="{81B2B29F-2B24-4493-B24B-4278536B22B5}"/>
    <cellStyle name="Normal 5 3 3 2 2 2 7 3" xfId="21714" xr:uid="{A915399E-91BF-4751-9A01-2EDBD4A486F7}"/>
    <cellStyle name="Normal 5 3 3 2 2 2 7 4" xfId="13266" xr:uid="{F7B35155-67F6-48D6-BF0D-CF01ED5933E9}"/>
    <cellStyle name="Normal 5 3 3 2 2 2 8" xfId="25937" xr:uid="{0DE87CC8-15EC-43B5-AD92-8415282A6BFA}"/>
    <cellStyle name="Normal 5 3 3 2 2 2 9" xfId="17496" xr:uid="{1C397060-2159-4FA2-A59D-D50BD56E2426}"/>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32712" xr:uid="{86041BF2-C4B5-4E89-9E4E-540B6607A01C}"/>
    <cellStyle name="Normal 5 3 3 2 2 3 2 2 3" xfId="24271" xr:uid="{70B92DB6-040E-4201-8C7D-037E384FCBA5}"/>
    <cellStyle name="Normal 5 3 3 2 2 3 2 2 4" xfId="15823" xr:uid="{2ADBAB3C-71FE-4B46-B5CB-00D1BD2DF0CF}"/>
    <cellStyle name="Normal 5 3 3 2 2 3 2 3" xfId="28494" xr:uid="{85EC657B-61C9-42B2-9D65-4C540F3F5E6A}"/>
    <cellStyle name="Normal 5 3 3 2 2 3 2 4" xfId="20053" xr:uid="{80E43AA3-399C-436D-B161-98E57D110B42}"/>
    <cellStyle name="Normal 5 3 3 2 2 3 2 5" xfId="11605" xr:uid="{086822D6-765F-49C2-8DF6-3C395549D821}"/>
    <cellStyle name="Normal 5 3 3 2 2 3 3" xfId="5228" xr:uid="{00000000-0005-0000-0000-00008F190000}"/>
    <cellStyle name="Normal 5 3 3 2 2 3 3 2" xfId="30567" xr:uid="{7E8B6F97-2EA3-4895-89AB-98894628BE74}"/>
    <cellStyle name="Normal 5 3 3 2 2 3 3 3" xfId="22126" xr:uid="{571C9768-AD6F-4078-AE44-BA96DB442BB3}"/>
    <cellStyle name="Normal 5 3 3 2 2 3 3 4" xfId="13678" xr:uid="{7F7FB6B3-02A2-4E3D-A575-8F7BA586C333}"/>
    <cellStyle name="Normal 5 3 3 2 2 3 4" xfId="26349" xr:uid="{24483DEA-9090-4AFE-98A1-58E664403103}"/>
    <cellStyle name="Normal 5 3 3 2 2 3 5" xfId="17908" xr:uid="{3134A719-DA03-4E99-9020-EC7049701D62}"/>
    <cellStyle name="Normal 5 3 3 2 2 3 6" xfId="9460" xr:uid="{370494B9-6EFB-4F64-9E26-3B1E0864288E}"/>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33125" xr:uid="{DD0D5F8E-9CB5-49AE-A828-7F22F6625D75}"/>
    <cellStyle name="Normal 5 3 3 2 2 4 2 2 3" xfId="24684" xr:uid="{B9B2D932-CFEC-4196-A20F-80670DBC47FF}"/>
    <cellStyle name="Normal 5 3 3 2 2 4 2 2 4" xfId="16236" xr:uid="{79C41778-2A8F-4424-B48E-5137946E2D65}"/>
    <cellStyle name="Normal 5 3 3 2 2 4 2 3" xfId="28907" xr:uid="{E78363E0-F139-4B0D-83CA-A679F657EC72}"/>
    <cellStyle name="Normal 5 3 3 2 2 4 2 4" xfId="20466" xr:uid="{2872D585-3F3D-4E07-8F28-FB106390C9DE}"/>
    <cellStyle name="Normal 5 3 3 2 2 4 2 5" xfId="12018" xr:uid="{62889A01-630C-44E5-AF9D-4079FB15F687}"/>
    <cellStyle name="Normal 5 3 3 2 2 4 3" xfId="5641" xr:uid="{00000000-0005-0000-0000-000093190000}"/>
    <cellStyle name="Normal 5 3 3 2 2 4 3 2" xfId="30980" xr:uid="{3269E73C-D169-400C-ACB6-341E7EE99D77}"/>
    <cellStyle name="Normal 5 3 3 2 2 4 3 3" xfId="22539" xr:uid="{6A0AE8B4-9A49-460A-9ACA-2643A7AA3ADA}"/>
    <cellStyle name="Normal 5 3 3 2 2 4 3 4" xfId="14091" xr:uid="{9F8E6D74-8901-4E99-A9D6-3D18013EE8D6}"/>
    <cellStyle name="Normal 5 3 3 2 2 4 4" xfId="26762" xr:uid="{11CC3F64-5CC3-40E9-A618-21DC26BD7BF8}"/>
    <cellStyle name="Normal 5 3 3 2 2 4 5" xfId="18321" xr:uid="{F513D13F-4FE8-4E28-9D72-B270F307211B}"/>
    <cellStyle name="Normal 5 3 3 2 2 4 6" xfId="9873" xr:uid="{F749B8EE-20BB-4091-B5CC-8D774F46513E}"/>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33538" xr:uid="{9DAC1E83-4433-48AF-8632-056B0314E9E1}"/>
    <cellStyle name="Normal 5 3 3 2 2 5 2 2 3" xfId="25097" xr:uid="{85F97DE4-FAA2-4FE6-9C5B-654E5CAAB130}"/>
    <cellStyle name="Normal 5 3 3 2 2 5 2 2 4" xfId="16649" xr:uid="{C1AE2630-609E-4437-AB8F-7AFA81FB3CCD}"/>
    <cellStyle name="Normal 5 3 3 2 2 5 2 3" xfId="29320" xr:uid="{6360090B-BEDE-4003-8E23-3380A8DFE756}"/>
    <cellStyle name="Normal 5 3 3 2 2 5 2 4" xfId="20879" xr:uid="{39D6D1BE-8DF6-4624-A7BA-3CDB57D2F158}"/>
    <cellStyle name="Normal 5 3 3 2 2 5 2 5" xfId="12431" xr:uid="{E27278DE-04F9-48C8-9B1C-54F54E27B2E9}"/>
    <cellStyle name="Normal 5 3 3 2 2 5 3" xfId="6054" xr:uid="{00000000-0005-0000-0000-000097190000}"/>
    <cellStyle name="Normal 5 3 3 2 2 5 3 2" xfId="31393" xr:uid="{54FBC771-D098-4D47-86E9-A7BD200D8F43}"/>
    <cellStyle name="Normal 5 3 3 2 2 5 3 3" xfId="22952" xr:uid="{29493A69-CAB7-4318-B503-47833CDF73D1}"/>
    <cellStyle name="Normal 5 3 3 2 2 5 3 4" xfId="14504" xr:uid="{A504C0CC-77EC-410B-9212-D5A80A4A6B66}"/>
    <cellStyle name="Normal 5 3 3 2 2 5 4" xfId="27175" xr:uid="{39D01607-E436-4E6D-9118-95B3187ADEC4}"/>
    <cellStyle name="Normal 5 3 3 2 2 5 5" xfId="18734" xr:uid="{FA524BF6-076B-48AF-A88A-D57F96029524}"/>
    <cellStyle name="Normal 5 3 3 2 2 5 6" xfId="10286" xr:uid="{E7AA84E0-F3CA-4622-BE21-F8A01C63A2AD}"/>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33951" xr:uid="{3CC65445-1F3D-4803-9642-839DFA8A950F}"/>
    <cellStyle name="Normal 5 3 3 2 2 6 2 2 3" xfId="25510" xr:uid="{42E3DF80-445C-4527-A263-91A13E2A1737}"/>
    <cellStyle name="Normal 5 3 3 2 2 6 2 2 4" xfId="17062" xr:uid="{B641D771-056D-4E87-AEDC-E9BABB3A630D}"/>
    <cellStyle name="Normal 5 3 3 2 2 6 2 3" xfId="29733" xr:uid="{05A7B52D-D7F3-4164-97ED-10EE30BAC43C}"/>
    <cellStyle name="Normal 5 3 3 2 2 6 2 4" xfId="21292" xr:uid="{B8DA6674-9EC1-438E-B9B7-8DF0642D28F8}"/>
    <cellStyle name="Normal 5 3 3 2 2 6 2 5" xfId="12844" xr:uid="{91B5C74B-A902-4DCE-A962-CB41DF8A5B89}"/>
    <cellStyle name="Normal 5 3 3 2 2 6 3" xfId="6467" xr:uid="{00000000-0005-0000-0000-00009B190000}"/>
    <cellStyle name="Normal 5 3 3 2 2 6 3 2" xfId="31806" xr:uid="{95D346E5-A3E5-4761-8E14-CB545B02DDDA}"/>
    <cellStyle name="Normal 5 3 3 2 2 6 3 3" xfId="23365" xr:uid="{B7DB7B05-1AF6-4FBF-A50A-0588B107ECE0}"/>
    <cellStyle name="Normal 5 3 3 2 2 6 3 4" xfId="14917" xr:uid="{13491681-5FCB-44E4-860F-7581A8A229E8}"/>
    <cellStyle name="Normal 5 3 3 2 2 6 4" xfId="27588" xr:uid="{76FBED24-7454-4B6A-A841-3A7878811591}"/>
    <cellStyle name="Normal 5 3 3 2 2 6 5" xfId="19147" xr:uid="{2432AA53-5C4A-471E-8122-56C4AFBA2872}"/>
    <cellStyle name="Normal 5 3 3 2 2 6 6" xfId="10699" xr:uid="{3621D59C-07E4-43BE-AD7E-343E269F5D3B}"/>
    <cellStyle name="Normal 5 3 3 2 2 7" xfId="2597" xr:uid="{00000000-0005-0000-0000-00009C190000}"/>
    <cellStyle name="Normal 5 3 3 2 2 7 2" xfId="6880" xr:uid="{00000000-0005-0000-0000-00009D190000}"/>
    <cellStyle name="Normal 5 3 3 2 2 7 2 2" xfId="32219" xr:uid="{3CE6DFA6-96BE-4BA8-A116-4D6155EFDB5B}"/>
    <cellStyle name="Normal 5 3 3 2 2 7 2 3" xfId="23778" xr:uid="{C72C9995-5C7E-4216-B364-4817A669FDE2}"/>
    <cellStyle name="Normal 5 3 3 2 2 7 2 4" xfId="15330" xr:uid="{F4FB9FF3-70DE-41B5-8D77-032295C60041}"/>
    <cellStyle name="Normal 5 3 3 2 2 7 3" xfId="28001" xr:uid="{983810EA-7568-4B63-8FD4-F721CF4254B7}"/>
    <cellStyle name="Normal 5 3 3 2 2 7 4" xfId="19560" xr:uid="{F4BF7391-EDA0-409D-B5EB-E3250EF8B1FF}"/>
    <cellStyle name="Normal 5 3 3 2 2 7 5" xfId="11112" xr:uid="{F7F66860-7500-4551-8E7A-D4257E4D6105}"/>
    <cellStyle name="Normal 5 3 3 2 2 8" xfId="4815" xr:uid="{00000000-0005-0000-0000-00009E190000}"/>
    <cellStyle name="Normal 5 3 3 2 2 8 2" xfId="30154" xr:uid="{7949A64C-8487-4FF4-9974-4B310E947DBD}"/>
    <cellStyle name="Normal 5 3 3 2 2 8 3" xfId="21713" xr:uid="{67F815D5-C9C6-42D1-99B5-449D0EC4F868}"/>
    <cellStyle name="Normal 5 3 3 2 2 8 4" xfId="13265" xr:uid="{19901E69-55CB-453B-B2C3-EADF00F8700B}"/>
    <cellStyle name="Normal 5 3 3 2 2 9" xfId="25936" xr:uid="{6ABDCF03-3590-435A-909F-FF109B748844}"/>
    <cellStyle name="Normal 5 3 3 2 3" xfId="445" xr:uid="{00000000-0005-0000-0000-00009F190000}"/>
    <cellStyle name="Normal 5 3 3 2 3 10" xfId="9049" xr:uid="{D4502895-96EB-423E-BAA4-25F9FA091916}"/>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32714" xr:uid="{AFF4869C-CC6D-483D-A974-B414E6E7F412}"/>
    <cellStyle name="Normal 5 3 3 2 3 2 2 2 3" xfId="24273" xr:uid="{DD0BCC35-3938-407F-8E0E-FD9739ADE09E}"/>
    <cellStyle name="Normal 5 3 3 2 3 2 2 2 4" xfId="15825" xr:uid="{3614ABA2-0FE1-4AD7-97F5-4D562125E5EE}"/>
    <cellStyle name="Normal 5 3 3 2 3 2 2 3" xfId="28496" xr:uid="{418C6EE1-5C12-4A5B-8706-7495FFE921FC}"/>
    <cellStyle name="Normal 5 3 3 2 3 2 2 4" xfId="20055" xr:uid="{37C88311-EBEF-4301-9413-BE66928936B2}"/>
    <cellStyle name="Normal 5 3 3 2 3 2 2 5" xfId="11607" xr:uid="{1DED6BEE-6321-4E7F-AA37-A8F25C7879A3}"/>
    <cellStyle name="Normal 5 3 3 2 3 2 3" xfId="5230" xr:uid="{00000000-0005-0000-0000-0000A3190000}"/>
    <cellStyle name="Normal 5 3 3 2 3 2 3 2" xfId="30569" xr:uid="{864BE88A-17AD-4950-B2E4-F5EA37B4CA21}"/>
    <cellStyle name="Normal 5 3 3 2 3 2 3 3" xfId="22128" xr:uid="{219B7775-773D-4CB1-A9ED-1F3D0DAD467F}"/>
    <cellStyle name="Normal 5 3 3 2 3 2 3 4" xfId="13680" xr:uid="{AAA6084F-786A-419D-A9A3-9916FE439E22}"/>
    <cellStyle name="Normal 5 3 3 2 3 2 4" xfId="26351" xr:uid="{076CC442-F2FF-490B-89E9-F9B66BCB5B64}"/>
    <cellStyle name="Normal 5 3 3 2 3 2 5" xfId="17910" xr:uid="{750A8AD7-999C-43BB-AA97-68E04DE3DF5C}"/>
    <cellStyle name="Normal 5 3 3 2 3 2 6" xfId="9462" xr:uid="{4DE8E055-A41E-4039-B34A-9CA3031FEBF2}"/>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33127" xr:uid="{2B199A93-95B0-477E-A3C8-1D933CC1699B}"/>
    <cellStyle name="Normal 5 3 3 2 3 3 2 2 3" xfId="24686" xr:uid="{F0F549D6-01E9-4B53-9852-2605DCBC2D7C}"/>
    <cellStyle name="Normal 5 3 3 2 3 3 2 2 4" xfId="16238" xr:uid="{CD2D9A1F-B604-454C-8F86-1057ACE3DE9D}"/>
    <cellStyle name="Normal 5 3 3 2 3 3 2 3" xfId="28909" xr:uid="{3A53FA00-442F-4861-9DA6-A6CE3D9F5007}"/>
    <cellStyle name="Normal 5 3 3 2 3 3 2 4" xfId="20468" xr:uid="{30FBC2F6-96DD-4009-B37C-DE45882ADE4B}"/>
    <cellStyle name="Normal 5 3 3 2 3 3 2 5" xfId="12020" xr:uid="{C0931CC5-F264-46FB-AE6A-22CF9FD95710}"/>
    <cellStyle name="Normal 5 3 3 2 3 3 3" xfId="5643" xr:uid="{00000000-0005-0000-0000-0000A7190000}"/>
    <cellStyle name="Normal 5 3 3 2 3 3 3 2" xfId="30982" xr:uid="{BD0D2F2B-E193-4A9E-B4A0-54AD26D602C6}"/>
    <cellStyle name="Normal 5 3 3 2 3 3 3 3" xfId="22541" xr:uid="{09827847-912E-472C-99F6-3BE6465E7215}"/>
    <cellStyle name="Normal 5 3 3 2 3 3 3 4" xfId="14093" xr:uid="{DB4DF63C-7C8E-4B77-AB23-AC5F66864296}"/>
    <cellStyle name="Normal 5 3 3 2 3 3 4" xfId="26764" xr:uid="{17FDB23A-2125-4428-B72F-85644ABA73D3}"/>
    <cellStyle name="Normal 5 3 3 2 3 3 5" xfId="18323" xr:uid="{A3282B7D-04FF-4A2F-9152-D9B18E5FAA6D}"/>
    <cellStyle name="Normal 5 3 3 2 3 3 6" xfId="9875" xr:uid="{19E47333-3842-4FB0-BE88-347F08A63BE3}"/>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33540" xr:uid="{6AB75C59-200B-4CBF-ACF1-132B891EC293}"/>
    <cellStyle name="Normal 5 3 3 2 3 4 2 2 3" xfId="25099" xr:uid="{2F657AA2-8E3C-419D-A78E-1E3608A0ECDB}"/>
    <cellStyle name="Normal 5 3 3 2 3 4 2 2 4" xfId="16651" xr:uid="{CA1B5D42-00AC-4A65-AC37-73079F8A5CDB}"/>
    <cellStyle name="Normal 5 3 3 2 3 4 2 3" xfId="29322" xr:uid="{7BC7BA78-A703-4F86-82AA-0CC383ABD066}"/>
    <cellStyle name="Normal 5 3 3 2 3 4 2 4" xfId="20881" xr:uid="{735E4742-7C54-4360-87E7-C681810B1C66}"/>
    <cellStyle name="Normal 5 3 3 2 3 4 2 5" xfId="12433" xr:uid="{95237AD2-C7C0-4D25-A3DD-E2547C462927}"/>
    <cellStyle name="Normal 5 3 3 2 3 4 3" xfId="6056" xr:uid="{00000000-0005-0000-0000-0000AB190000}"/>
    <cellStyle name="Normal 5 3 3 2 3 4 3 2" xfId="31395" xr:uid="{958E5CD4-DC42-41B5-A051-9199356F1734}"/>
    <cellStyle name="Normal 5 3 3 2 3 4 3 3" xfId="22954" xr:uid="{715C769E-D504-435E-B290-F38CEC0B5AF7}"/>
    <cellStyle name="Normal 5 3 3 2 3 4 3 4" xfId="14506" xr:uid="{8BFC58CD-C97D-4B4F-A575-467B3112C7AA}"/>
    <cellStyle name="Normal 5 3 3 2 3 4 4" xfId="27177" xr:uid="{39BE3521-BBBB-4E64-AC73-3314FEA90374}"/>
    <cellStyle name="Normal 5 3 3 2 3 4 5" xfId="18736" xr:uid="{2669FB5F-A2F7-428F-A6BE-05A0E2F28BED}"/>
    <cellStyle name="Normal 5 3 3 2 3 4 6" xfId="10288" xr:uid="{37AC39E9-9496-46B1-A4B2-9A2C0AF10201}"/>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33953" xr:uid="{5EE41B0A-94B6-4113-AC8C-9E1B7DA9A730}"/>
    <cellStyle name="Normal 5 3 3 2 3 5 2 2 3" xfId="25512" xr:uid="{842FB7A7-FA8E-4464-AEF5-AF540E08B5B3}"/>
    <cellStyle name="Normal 5 3 3 2 3 5 2 2 4" xfId="17064" xr:uid="{CAC556A1-8972-4340-8370-BB37A09E9086}"/>
    <cellStyle name="Normal 5 3 3 2 3 5 2 3" xfId="29735" xr:uid="{43BC97E2-347F-46BC-BF62-8BC3447A261E}"/>
    <cellStyle name="Normal 5 3 3 2 3 5 2 4" xfId="21294" xr:uid="{74E51B5E-BF22-4EA6-A116-3F98A0A7D03B}"/>
    <cellStyle name="Normal 5 3 3 2 3 5 2 5" xfId="12846" xr:uid="{7F5328C8-2CA7-43EB-9A19-D3A1212DF681}"/>
    <cellStyle name="Normal 5 3 3 2 3 5 3" xfId="6469" xr:uid="{00000000-0005-0000-0000-0000AF190000}"/>
    <cellStyle name="Normal 5 3 3 2 3 5 3 2" xfId="31808" xr:uid="{7A088359-2E8A-4182-B961-8A5DDAAC4540}"/>
    <cellStyle name="Normal 5 3 3 2 3 5 3 3" xfId="23367" xr:uid="{7478D6A5-CFC0-4407-B89C-003C880BA385}"/>
    <cellStyle name="Normal 5 3 3 2 3 5 3 4" xfId="14919" xr:uid="{EB6C0AD9-F2C7-4B2E-B41B-D789992A15C2}"/>
    <cellStyle name="Normal 5 3 3 2 3 5 4" xfId="27590" xr:uid="{2F1585E9-F8B1-4F75-8734-F45735218C8E}"/>
    <cellStyle name="Normal 5 3 3 2 3 5 5" xfId="19149" xr:uid="{BD47443D-774E-4452-B4BF-6BAFA665F5A6}"/>
    <cellStyle name="Normal 5 3 3 2 3 5 6" xfId="10701" xr:uid="{0DA71183-0C47-4DEC-9A29-03B4BB44FB64}"/>
    <cellStyle name="Normal 5 3 3 2 3 6" xfId="2599" xr:uid="{00000000-0005-0000-0000-0000B0190000}"/>
    <cellStyle name="Normal 5 3 3 2 3 6 2" xfId="6882" xr:uid="{00000000-0005-0000-0000-0000B1190000}"/>
    <cellStyle name="Normal 5 3 3 2 3 6 2 2" xfId="32221" xr:uid="{6C1CDE07-2369-429A-9258-B6D0BF5113B0}"/>
    <cellStyle name="Normal 5 3 3 2 3 6 2 3" xfId="23780" xr:uid="{B901CC1F-B972-4DA9-8277-94DB44AAC8C2}"/>
    <cellStyle name="Normal 5 3 3 2 3 6 2 4" xfId="15332" xr:uid="{EE3AB9EF-840A-4CCD-9FC7-020CC0B544B8}"/>
    <cellStyle name="Normal 5 3 3 2 3 6 3" xfId="28003" xr:uid="{0408EFC4-1770-4DEF-8EF7-6FC960FDF6B2}"/>
    <cellStyle name="Normal 5 3 3 2 3 6 4" xfId="19562" xr:uid="{367AF254-9C0A-43CC-84D0-AE5581AE9E45}"/>
    <cellStyle name="Normal 5 3 3 2 3 6 5" xfId="11114" xr:uid="{11C68698-4B20-4751-BA0E-436E427D9A1F}"/>
    <cellStyle name="Normal 5 3 3 2 3 7" xfId="4817" xr:uid="{00000000-0005-0000-0000-0000B2190000}"/>
    <cellStyle name="Normal 5 3 3 2 3 7 2" xfId="30156" xr:uid="{8F6C35A7-7C7C-4FBC-9A80-6CE9D774775A}"/>
    <cellStyle name="Normal 5 3 3 2 3 7 3" xfId="21715" xr:uid="{655FBC38-4DC5-49EB-9A78-D81620B53E88}"/>
    <cellStyle name="Normal 5 3 3 2 3 7 4" xfId="13267" xr:uid="{0981F384-476D-48FB-8DE9-A7713B68BB5D}"/>
    <cellStyle name="Normal 5 3 3 2 3 8" xfId="25938" xr:uid="{848BF16D-FEE4-41C9-892F-2ADA062771AE}"/>
    <cellStyle name="Normal 5 3 3 2 3 9" xfId="17497" xr:uid="{0D52624E-396B-4F5D-B41D-B924DA00BD35}"/>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32711" xr:uid="{86698B99-815A-4699-9156-102B0C938566}"/>
    <cellStyle name="Normal 5 3 3 2 4 2 2 3" xfId="24270" xr:uid="{46F6E7D8-1FDA-4006-8E74-2AE569B9008C}"/>
    <cellStyle name="Normal 5 3 3 2 4 2 2 4" xfId="15822" xr:uid="{5D68A860-941D-45BB-9F8B-4A87813EFB16}"/>
    <cellStyle name="Normal 5 3 3 2 4 2 3" xfId="28493" xr:uid="{5FBFA346-B1FB-4576-B79D-EFCDF292B0E7}"/>
    <cellStyle name="Normal 5 3 3 2 4 2 4" xfId="20052" xr:uid="{F6D3ED28-4277-408D-B767-0E4E778DF05F}"/>
    <cellStyle name="Normal 5 3 3 2 4 2 5" xfId="11604" xr:uid="{BC6A3E57-45F0-435D-A100-DEF65DC879D4}"/>
    <cellStyle name="Normal 5 3 3 2 4 3" xfId="5227" xr:uid="{00000000-0005-0000-0000-0000B6190000}"/>
    <cellStyle name="Normal 5 3 3 2 4 3 2" xfId="30566" xr:uid="{E56218D9-7D12-43C4-AFF6-4D2103C9FC1B}"/>
    <cellStyle name="Normal 5 3 3 2 4 3 3" xfId="22125" xr:uid="{E86FCAE7-6D39-475C-872B-5AB4FC973962}"/>
    <cellStyle name="Normal 5 3 3 2 4 3 4" xfId="13677" xr:uid="{DD340C7C-7A3D-45B1-98CD-23FD32CBC752}"/>
    <cellStyle name="Normal 5 3 3 2 4 4" xfId="26348" xr:uid="{AC439121-7BBC-4919-A4E6-FC11D93CE379}"/>
    <cellStyle name="Normal 5 3 3 2 4 5" xfId="17907" xr:uid="{BE279F6D-5DBE-44C9-BF61-20A5251EBBD7}"/>
    <cellStyle name="Normal 5 3 3 2 4 6" xfId="9459" xr:uid="{783D6C28-5F72-482A-9DAF-E2B121620848}"/>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33124" xr:uid="{C0C8B6EE-3FB9-488C-A2E7-9302D4123B80}"/>
    <cellStyle name="Normal 5 3 3 2 5 2 2 3" xfId="24683" xr:uid="{2942BA4F-718B-43D6-814C-EF101687927A}"/>
    <cellStyle name="Normal 5 3 3 2 5 2 2 4" xfId="16235" xr:uid="{C57E8533-CADF-4871-882E-C5EB0260746E}"/>
    <cellStyle name="Normal 5 3 3 2 5 2 3" xfId="28906" xr:uid="{6C762805-C740-4D40-8C7E-7E5548562F47}"/>
    <cellStyle name="Normal 5 3 3 2 5 2 4" xfId="20465" xr:uid="{9C1CD294-DED2-44EB-99F5-0FAEB4B4DFEE}"/>
    <cellStyle name="Normal 5 3 3 2 5 2 5" xfId="12017" xr:uid="{F833F4FA-94D5-4DD7-B383-FABDEC3366CC}"/>
    <cellStyle name="Normal 5 3 3 2 5 3" xfId="5640" xr:uid="{00000000-0005-0000-0000-0000BA190000}"/>
    <cellStyle name="Normal 5 3 3 2 5 3 2" xfId="30979" xr:uid="{A1EE4766-5B91-4398-8988-7A6BF8847D9C}"/>
    <cellStyle name="Normal 5 3 3 2 5 3 3" xfId="22538" xr:uid="{10469E4A-A610-4B51-BE0D-B087A2BF36B6}"/>
    <cellStyle name="Normal 5 3 3 2 5 3 4" xfId="14090" xr:uid="{75C07095-825B-46E9-9923-9DCCB527D1B9}"/>
    <cellStyle name="Normal 5 3 3 2 5 4" xfId="26761" xr:uid="{6A9612A6-0B47-4D30-A18E-6B3260401045}"/>
    <cellStyle name="Normal 5 3 3 2 5 5" xfId="18320" xr:uid="{A4A50B9E-A29E-4853-9533-0B6A535A8A47}"/>
    <cellStyle name="Normal 5 3 3 2 5 6" xfId="9872" xr:uid="{71AEB131-D909-4279-9B96-28CB6C7EBF70}"/>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33537" xr:uid="{BC889114-628C-4838-90F7-6042300CB13F}"/>
    <cellStyle name="Normal 5 3 3 2 6 2 2 3" xfId="25096" xr:uid="{7BB80B57-A84D-4F5F-ADC3-48E3CE99D786}"/>
    <cellStyle name="Normal 5 3 3 2 6 2 2 4" xfId="16648" xr:uid="{D9338D6A-3BFA-41F5-B6B1-1B03E4B535D9}"/>
    <cellStyle name="Normal 5 3 3 2 6 2 3" xfId="29319" xr:uid="{E25A47A0-9841-4E5D-AC4F-68A1F13661FB}"/>
    <cellStyle name="Normal 5 3 3 2 6 2 4" xfId="20878" xr:uid="{A248B1B3-C502-4832-BD28-22FFF2563105}"/>
    <cellStyle name="Normal 5 3 3 2 6 2 5" xfId="12430" xr:uid="{2091F868-4E16-49C7-9F12-57D711F5BFA8}"/>
    <cellStyle name="Normal 5 3 3 2 6 3" xfId="6053" xr:uid="{00000000-0005-0000-0000-0000BE190000}"/>
    <cellStyle name="Normal 5 3 3 2 6 3 2" xfId="31392" xr:uid="{0360E559-9B4C-41C3-A98B-9972E49299A2}"/>
    <cellStyle name="Normal 5 3 3 2 6 3 3" xfId="22951" xr:uid="{727DE824-EA9F-4BE8-9D43-83542C0C92AC}"/>
    <cellStyle name="Normal 5 3 3 2 6 3 4" xfId="14503" xr:uid="{C0CAA433-1184-46AD-A743-8F61077D07B3}"/>
    <cellStyle name="Normal 5 3 3 2 6 4" xfId="27174" xr:uid="{A7299C83-66B8-4887-A5E8-969AE8BAE83D}"/>
    <cellStyle name="Normal 5 3 3 2 6 5" xfId="18733" xr:uid="{4BEE3A49-5E7E-4FB6-BFD6-E3481369070A}"/>
    <cellStyle name="Normal 5 3 3 2 6 6" xfId="10285" xr:uid="{BB34CEB2-33A0-446F-BEED-CE8A527CCB7C}"/>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33950" xr:uid="{DD7F1355-2990-411E-9AFB-ED738DD31DB2}"/>
    <cellStyle name="Normal 5 3 3 2 7 2 2 3" xfId="25509" xr:uid="{7F2BC4F1-E96E-4094-841A-0086ED2140F8}"/>
    <cellStyle name="Normal 5 3 3 2 7 2 2 4" xfId="17061" xr:uid="{6E2E30F4-B722-4B67-A812-160B225B2D03}"/>
    <cellStyle name="Normal 5 3 3 2 7 2 3" xfId="29732" xr:uid="{440F95D9-22FD-457C-AA2F-A53F28710DBD}"/>
    <cellStyle name="Normal 5 3 3 2 7 2 4" xfId="21291" xr:uid="{BBD31AE0-5B82-4638-9029-7974B81AE2F4}"/>
    <cellStyle name="Normal 5 3 3 2 7 2 5" xfId="12843" xr:uid="{EB6EDD7D-A256-42E2-BE2B-847A191B9B81}"/>
    <cellStyle name="Normal 5 3 3 2 7 3" xfId="6466" xr:uid="{00000000-0005-0000-0000-0000C2190000}"/>
    <cellStyle name="Normal 5 3 3 2 7 3 2" xfId="31805" xr:uid="{31BB8A9D-C017-4BC2-91E6-B07184A72830}"/>
    <cellStyle name="Normal 5 3 3 2 7 3 3" xfId="23364" xr:uid="{E562EC15-4FA8-44A0-857C-6667C48FC130}"/>
    <cellStyle name="Normal 5 3 3 2 7 3 4" xfId="14916" xr:uid="{7B0149D4-FBC6-4F01-B09C-13853A236BE7}"/>
    <cellStyle name="Normal 5 3 3 2 7 4" xfId="27587" xr:uid="{5666E9AC-D7C8-4526-A040-1F86EE139E72}"/>
    <cellStyle name="Normal 5 3 3 2 7 5" xfId="19146" xr:uid="{713ADC0F-153E-454F-84C4-5FBC80080D5D}"/>
    <cellStyle name="Normal 5 3 3 2 7 6" xfId="10698" xr:uid="{226FD113-CDA8-4CA3-BAFA-43F55BDF8703}"/>
    <cellStyle name="Normal 5 3 3 2 8" xfId="2596" xr:uid="{00000000-0005-0000-0000-0000C3190000}"/>
    <cellStyle name="Normal 5 3 3 2 8 2" xfId="6879" xr:uid="{00000000-0005-0000-0000-0000C4190000}"/>
    <cellStyle name="Normal 5 3 3 2 8 2 2" xfId="32218" xr:uid="{DF64CE90-5A0E-4691-9969-6CB4EBDF5C6A}"/>
    <cellStyle name="Normal 5 3 3 2 8 2 3" xfId="23777" xr:uid="{3784C9EF-1FB9-41D6-905E-743718C76463}"/>
    <cellStyle name="Normal 5 3 3 2 8 2 4" xfId="15329" xr:uid="{318292C7-52A5-44F7-B381-4B37F5723003}"/>
    <cellStyle name="Normal 5 3 3 2 8 3" xfId="28000" xr:uid="{3B6705C4-DCF0-4AFD-9FC7-8D5B16275C96}"/>
    <cellStyle name="Normal 5 3 3 2 8 4" xfId="19559" xr:uid="{F416F69F-0696-4054-A04C-EE8ECA0BE1FC}"/>
    <cellStyle name="Normal 5 3 3 2 8 5" xfId="11111" xr:uid="{E527CDCB-1AAA-4903-AD57-0495BD8AEAA4}"/>
    <cellStyle name="Normal 5 3 3 2 9" xfId="4814" xr:uid="{00000000-0005-0000-0000-0000C5190000}"/>
    <cellStyle name="Normal 5 3 3 2 9 2" xfId="30153" xr:uid="{613359FC-9D83-4171-8612-B4C96EA9EF4F}"/>
    <cellStyle name="Normal 5 3 3 2 9 3" xfId="21712" xr:uid="{9F81F379-25C0-4B01-825E-65290ED958BC}"/>
    <cellStyle name="Normal 5 3 3 2 9 4" xfId="13264" xr:uid="{5837937B-C7EB-4390-821C-81116E130784}"/>
    <cellStyle name="Normal 5 3 3 3" xfId="446" xr:uid="{00000000-0005-0000-0000-0000C6190000}"/>
    <cellStyle name="Normal 5 3 3 3 10" xfId="17498" xr:uid="{D7889FDB-2A7B-4550-9376-188A21D98E4D}"/>
    <cellStyle name="Normal 5 3 3 3 11" xfId="9050" xr:uid="{76BBE95E-F404-4BB8-9F4E-1FECD1853365}"/>
    <cellStyle name="Normal 5 3 3 3 2" xfId="447" xr:uid="{00000000-0005-0000-0000-0000C7190000}"/>
    <cellStyle name="Normal 5 3 3 3 2 10" xfId="9051" xr:uid="{34A25662-1067-4676-836B-A566B1712B4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32716" xr:uid="{2DD9A71F-5A5E-4767-A9A6-ED891FE5724E}"/>
    <cellStyle name="Normal 5 3 3 3 2 2 2 2 3" xfId="24275" xr:uid="{0386676E-CF27-41F4-AE92-F007A2A2601B}"/>
    <cellStyle name="Normal 5 3 3 3 2 2 2 2 4" xfId="15827" xr:uid="{4811DCF5-263C-431B-B1C0-F62B90246297}"/>
    <cellStyle name="Normal 5 3 3 3 2 2 2 3" xfId="28498" xr:uid="{1639D14E-673E-4C72-994A-5879B558553B}"/>
    <cellStyle name="Normal 5 3 3 3 2 2 2 4" xfId="20057" xr:uid="{6E763D14-C536-4092-9947-9E3EFC920EC5}"/>
    <cellStyle name="Normal 5 3 3 3 2 2 2 5" xfId="11609" xr:uid="{F079BE8F-F342-469B-9408-CC4609B1432B}"/>
    <cellStyle name="Normal 5 3 3 3 2 2 3" xfId="5232" xr:uid="{00000000-0005-0000-0000-0000CB190000}"/>
    <cellStyle name="Normal 5 3 3 3 2 2 3 2" xfId="30571" xr:uid="{6E13357C-8732-4CF9-BD5F-795E272AD317}"/>
    <cellStyle name="Normal 5 3 3 3 2 2 3 3" xfId="22130" xr:uid="{01B3E1CE-3753-40E4-AC61-0BA20E43DE2A}"/>
    <cellStyle name="Normal 5 3 3 3 2 2 3 4" xfId="13682" xr:uid="{50B2A637-E247-4A27-8A20-1CD5E20F5FE0}"/>
    <cellStyle name="Normal 5 3 3 3 2 2 4" xfId="26353" xr:uid="{E046806B-6638-4B76-9471-D56431C2907B}"/>
    <cellStyle name="Normal 5 3 3 3 2 2 5" xfId="17912" xr:uid="{6AA67382-7F2D-4A48-A071-0D8AC7124EB5}"/>
    <cellStyle name="Normal 5 3 3 3 2 2 6" xfId="9464" xr:uid="{076AE876-3112-44E9-881C-49DF6DC71DBF}"/>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33129" xr:uid="{F0BC54E4-0753-4167-B22E-9D4B625B0DFF}"/>
    <cellStyle name="Normal 5 3 3 3 2 3 2 2 3" xfId="24688" xr:uid="{ADF4E7A3-3C1E-4FC1-98D2-494A7AB86F25}"/>
    <cellStyle name="Normal 5 3 3 3 2 3 2 2 4" xfId="16240" xr:uid="{7EDD3E9C-BA30-4287-A368-D415A82A2D9C}"/>
    <cellStyle name="Normal 5 3 3 3 2 3 2 3" xfId="28911" xr:uid="{0150F8BB-29D5-460D-B97E-906F11234F11}"/>
    <cellStyle name="Normal 5 3 3 3 2 3 2 4" xfId="20470" xr:uid="{C5EAF593-35BF-49BC-A675-D2D5FDCE53F8}"/>
    <cellStyle name="Normal 5 3 3 3 2 3 2 5" xfId="12022" xr:uid="{08B732B1-6C25-4A32-8A4B-3A7CDE151D10}"/>
    <cellStyle name="Normal 5 3 3 3 2 3 3" xfId="5645" xr:uid="{00000000-0005-0000-0000-0000CF190000}"/>
    <cellStyle name="Normal 5 3 3 3 2 3 3 2" xfId="30984" xr:uid="{5F660B10-3575-4824-B938-1049CEF7B27B}"/>
    <cellStyle name="Normal 5 3 3 3 2 3 3 3" xfId="22543" xr:uid="{FC8C3F8F-C654-402A-A463-057E53CBBD85}"/>
    <cellStyle name="Normal 5 3 3 3 2 3 3 4" xfId="14095" xr:uid="{44DEB9F1-D7B3-49F3-9102-1951467C4DDC}"/>
    <cellStyle name="Normal 5 3 3 3 2 3 4" xfId="26766" xr:uid="{3543DCB3-FFC0-4FBE-99D5-1FF80C13BD65}"/>
    <cellStyle name="Normal 5 3 3 3 2 3 5" xfId="18325" xr:uid="{E8A13FDC-1866-4D80-9098-A7BD1EC3ECB5}"/>
    <cellStyle name="Normal 5 3 3 3 2 3 6" xfId="9877" xr:uid="{9712A69E-001B-403D-82B5-7F0EF05B9CA3}"/>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33542" xr:uid="{51B56E36-E9E3-45E5-BC7B-EA50FCF458AB}"/>
    <cellStyle name="Normal 5 3 3 3 2 4 2 2 3" xfId="25101" xr:uid="{4146C3E5-A01B-4695-95E0-2766848930EB}"/>
    <cellStyle name="Normal 5 3 3 3 2 4 2 2 4" xfId="16653" xr:uid="{411C5C94-7436-4690-93F5-E146D54A00B2}"/>
    <cellStyle name="Normal 5 3 3 3 2 4 2 3" xfId="29324" xr:uid="{8E728619-1D72-4E2B-8BBF-A79476C06706}"/>
    <cellStyle name="Normal 5 3 3 3 2 4 2 4" xfId="20883" xr:uid="{143C6E89-2A57-45D4-9BCF-CF1D2DDA6B5E}"/>
    <cellStyle name="Normal 5 3 3 3 2 4 2 5" xfId="12435" xr:uid="{3B00A192-0EBF-4D6C-AE84-705817D69272}"/>
    <cellStyle name="Normal 5 3 3 3 2 4 3" xfId="6058" xr:uid="{00000000-0005-0000-0000-0000D3190000}"/>
    <cellStyle name="Normal 5 3 3 3 2 4 3 2" xfId="31397" xr:uid="{64CC179A-3366-41BE-814C-819431784A03}"/>
    <cellStyle name="Normal 5 3 3 3 2 4 3 3" xfId="22956" xr:uid="{3043FDF4-1A5D-4C47-971A-EA06B4296E5C}"/>
    <cellStyle name="Normal 5 3 3 3 2 4 3 4" xfId="14508" xr:uid="{A7DA0F58-0874-401A-9F10-9E38401DB9C5}"/>
    <cellStyle name="Normal 5 3 3 3 2 4 4" xfId="27179" xr:uid="{F4359BF8-0E23-4E9C-B013-CE1727DB59F1}"/>
    <cellStyle name="Normal 5 3 3 3 2 4 5" xfId="18738" xr:uid="{57E61646-588B-4915-85CF-D4DB61AEA6EF}"/>
    <cellStyle name="Normal 5 3 3 3 2 4 6" xfId="10290" xr:uid="{1BFA6F16-E554-4063-A736-FBC9DB9EDC58}"/>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33955" xr:uid="{756B7BF0-A953-46C2-91C7-7AC82C3BA9C6}"/>
    <cellStyle name="Normal 5 3 3 3 2 5 2 2 3" xfId="25514" xr:uid="{B6CEEF82-66E2-41E8-8DE2-624CB6CEBE4F}"/>
    <cellStyle name="Normal 5 3 3 3 2 5 2 2 4" xfId="17066" xr:uid="{FE535F7F-4F19-40A5-9881-0C61DD610656}"/>
    <cellStyle name="Normal 5 3 3 3 2 5 2 3" xfId="29737" xr:uid="{F10713CC-6894-455C-95D1-6BEA6CA50FEA}"/>
    <cellStyle name="Normal 5 3 3 3 2 5 2 4" xfId="21296" xr:uid="{3D0F9D48-FE0F-45C4-A59E-49278E489CD4}"/>
    <cellStyle name="Normal 5 3 3 3 2 5 2 5" xfId="12848" xr:uid="{723D6793-F97C-4514-ABB3-7AA994F96C33}"/>
    <cellStyle name="Normal 5 3 3 3 2 5 3" xfId="6471" xr:uid="{00000000-0005-0000-0000-0000D7190000}"/>
    <cellStyle name="Normal 5 3 3 3 2 5 3 2" xfId="31810" xr:uid="{76C6761B-4131-4FCD-A311-CD62CCF30AAA}"/>
    <cellStyle name="Normal 5 3 3 3 2 5 3 3" xfId="23369" xr:uid="{F5DED7D8-9FE2-4408-AD43-EFC797EE1F5F}"/>
    <cellStyle name="Normal 5 3 3 3 2 5 3 4" xfId="14921" xr:uid="{CEEDD151-54D5-4E65-87C0-DB415D3ED3E0}"/>
    <cellStyle name="Normal 5 3 3 3 2 5 4" xfId="27592" xr:uid="{E27A6932-4E56-4574-914C-C86F4C0CB632}"/>
    <cellStyle name="Normal 5 3 3 3 2 5 5" xfId="19151" xr:uid="{456512E3-2DB3-4130-8B38-2379B1943270}"/>
    <cellStyle name="Normal 5 3 3 3 2 5 6" xfId="10703" xr:uid="{E57BB6A9-A143-467A-A972-A32633BD63AC}"/>
    <cellStyle name="Normal 5 3 3 3 2 6" xfId="2601" xr:uid="{00000000-0005-0000-0000-0000D8190000}"/>
    <cellStyle name="Normal 5 3 3 3 2 6 2" xfId="6884" xr:uid="{00000000-0005-0000-0000-0000D9190000}"/>
    <cellStyle name="Normal 5 3 3 3 2 6 2 2" xfId="32223" xr:uid="{53FA9FAF-12C2-4D79-BF65-753E4B916D6C}"/>
    <cellStyle name="Normal 5 3 3 3 2 6 2 3" xfId="23782" xr:uid="{8D5F0445-3C16-4761-AD73-A08334369F7A}"/>
    <cellStyle name="Normal 5 3 3 3 2 6 2 4" xfId="15334" xr:uid="{C097834A-ED66-46B2-B8F8-8E7DC2E0312A}"/>
    <cellStyle name="Normal 5 3 3 3 2 6 3" xfId="28005" xr:uid="{989A16CD-AEC7-4FE6-9F3D-B4B0177711D0}"/>
    <cellStyle name="Normal 5 3 3 3 2 6 4" xfId="19564" xr:uid="{B2FFADBB-39B7-45A4-A7F6-36FEDCE17CA9}"/>
    <cellStyle name="Normal 5 3 3 3 2 6 5" xfId="11116" xr:uid="{69D07504-D2D5-48C4-9A0F-DE9959E4CC23}"/>
    <cellStyle name="Normal 5 3 3 3 2 7" xfId="4819" xr:uid="{00000000-0005-0000-0000-0000DA190000}"/>
    <cellStyle name="Normal 5 3 3 3 2 7 2" xfId="30158" xr:uid="{38BD37B5-CBD0-4A5E-832D-5FADA4F86914}"/>
    <cellStyle name="Normal 5 3 3 3 2 7 3" xfId="21717" xr:uid="{83E3B958-9F10-42CF-9DC4-E82D60CF739C}"/>
    <cellStyle name="Normal 5 3 3 3 2 7 4" xfId="13269" xr:uid="{C3B63DDF-0E00-4BCD-9A74-7967AE9790F3}"/>
    <cellStyle name="Normal 5 3 3 3 2 8" xfId="25940" xr:uid="{03B1D0B5-5609-457D-A607-46173292E71B}"/>
    <cellStyle name="Normal 5 3 3 3 2 9" xfId="17499" xr:uid="{B2CD8915-5D76-450F-AF8F-D303968E0732}"/>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32715" xr:uid="{9A0A79CA-FA36-4165-8552-869370152505}"/>
    <cellStyle name="Normal 5 3 3 3 3 2 2 3" xfId="24274" xr:uid="{4C7D6446-1964-4A64-98B3-1AC9C5B0814A}"/>
    <cellStyle name="Normal 5 3 3 3 3 2 2 4" xfId="15826" xr:uid="{990E0CE9-5901-4848-85BD-EBEFD47468B2}"/>
    <cellStyle name="Normal 5 3 3 3 3 2 3" xfId="28497" xr:uid="{157C542D-0FBD-441E-AF10-05856CA905F1}"/>
    <cellStyle name="Normal 5 3 3 3 3 2 4" xfId="20056" xr:uid="{AAFB3750-820E-4ABD-B9B8-3CC5EA755E7E}"/>
    <cellStyle name="Normal 5 3 3 3 3 2 5" xfId="11608" xr:uid="{D5D75183-3EFD-49A3-B1F0-E6358C5E07CB}"/>
    <cellStyle name="Normal 5 3 3 3 3 3" xfId="5231" xr:uid="{00000000-0005-0000-0000-0000DE190000}"/>
    <cellStyle name="Normal 5 3 3 3 3 3 2" xfId="30570" xr:uid="{A975726D-6431-4169-A3D6-6106AB05551E}"/>
    <cellStyle name="Normal 5 3 3 3 3 3 3" xfId="22129" xr:uid="{37537B45-6C75-41FF-98EF-985452437B28}"/>
    <cellStyle name="Normal 5 3 3 3 3 3 4" xfId="13681" xr:uid="{4859228B-020B-4B02-8E0A-D46BBD2EED15}"/>
    <cellStyle name="Normal 5 3 3 3 3 4" xfId="26352" xr:uid="{0790A13F-F843-4462-8390-8047726FB921}"/>
    <cellStyle name="Normal 5 3 3 3 3 5" xfId="17911" xr:uid="{1F17DDD7-DBCE-4187-9F45-209E0C244BA5}"/>
    <cellStyle name="Normal 5 3 3 3 3 6" xfId="9463" xr:uid="{4C1C4836-5EDB-4209-90F3-06249CC71069}"/>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33128" xr:uid="{A346301C-ACA1-46ED-B3E1-45191B2F7E0C}"/>
    <cellStyle name="Normal 5 3 3 3 4 2 2 3" xfId="24687" xr:uid="{8052E935-494B-4D13-B454-B60638FF7E15}"/>
    <cellStyle name="Normal 5 3 3 3 4 2 2 4" xfId="16239" xr:uid="{FEEDB3E8-1C07-4EE8-85CD-7F2A0F1C8BF8}"/>
    <cellStyle name="Normal 5 3 3 3 4 2 3" xfId="28910" xr:uid="{4D5850EF-30D4-4F2B-BE02-B4F74806F3A1}"/>
    <cellStyle name="Normal 5 3 3 3 4 2 4" xfId="20469" xr:uid="{545586F3-E740-4FE6-8CC6-D2BE0C13B01B}"/>
    <cellStyle name="Normal 5 3 3 3 4 2 5" xfId="12021" xr:uid="{FD7BBACC-EE02-4321-826A-62E205C9B755}"/>
    <cellStyle name="Normal 5 3 3 3 4 3" xfId="5644" xr:uid="{00000000-0005-0000-0000-0000E2190000}"/>
    <cellStyle name="Normal 5 3 3 3 4 3 2" xfId="30983" xr:uid="{2A5E98AE-4D29-45D0-898B-D705EBEEE2D2}"/>
    <cellStyle name="Normal 5 3 3 3 4 3 3" xfId="22542" xr:uid="{3B6826A3-F99B-4039-8979-00B46DAD918A}"/>
    <cellStyle name="Normal 5 3 3 3 4 3 4" xfId="14094" xr:uid="{9D5D91A3-37EE-42FB-9BAD-1D158148334F}"/>
    <cellStyle name="Normal 5 3 3 3 4 4" xfId="26765" xr:uid="{F6462394-3399-49E5-A3EA-9863909BF541}"/>
    <cellStyle name="Normal 5 3 3 3 4 5" xfId="18324" xr:uid="{F0EA7EEE-72B4-41D5-9487-B3A848B86B9E}"/>
    <cellStyle name="Normal 5 3 3 3 4 6" xfId="9876" xr:uid="{020A4C4D-66A9-47A1-AEFB-7384FE1F2995}"/>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33541" xr:uid="{9BBB358D-1493-4672-921B-489EE52CEBE7}"/>
    <cellStyle name="Normal 5 3 3 3 5 2 2 3" xfId="25100" xr:uid="{8F27A7DD-D943-4EB4-A18A-703514117A5D}"/>
    <cellStyle name="Normal 5 3 3 3 5 2 2 4" xfId="16652" xr:uid="{47577273-E57D-47A4-9B90-1B92E69676B1}"/>
    <cellStyle name="Normal 5 3 3 3 5 2 3" xfId="29323" xr:uid="{3608F21A-17A5-4EF2-9558-98AEF486A842}"/>
    <cellStyle name="Normal 5 3 3 3 5 2 4" xfId="20882" xr:uid="{0AF8E8E4-567C-489D-894E-B3A1FBCDD712}"/>
    <cellStyle name="Normal 5 3 3 3 5 2 5" xfId="12434" xr:uid="{1EC5213E-F202-4744-BF65-B676E8E6AA9F}"/>
    <cellStyle name="Normal 5 3 3 3 5 3" xfId="6057" xr:uid="{00000000-0005-0000-0000-0000E6190000}"/>
    <cellStyle name="Normal 5 3 3 3 5 3 2" xfId="31396" xr:uid="{C4776008-4803-4527-A936-5F7906DB8370}"/>
    <cellStyle name="Normal 5 3 3 3 5 3 3" xfId="22955" xr:uid="{C9001B90-0B0C-4172-A0BA-7929D18C9D70}"/>
    <cellStyle name="Normal 5 3 3 3 5 3 4" xfId="14507" xr:uid="{9E31A46B-FBD8-4B2B-9E00-BD4A64C2A74E}"/>
    <cellStyle name="Normal 5 3 3 3 5 4" xfId="27178" xr:uid="{FB7458D1-0D2B-478C-9FC3-47D0AB748FB4}"/>
    <cellStyle name="Normal 5 3 3 3 5 5" xfId="18737" xr:uid="{01BB3E62-91D2-4F02-A772-797D808E71F7}"/>
    <cellStyle name="Normal 5 3 3 3 5 6" xfId="10289" xr:uid="{1362CDE4-80D3-4E52-BC97-C3BD973C5DEC}"/>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33954" xr:uid="{36A49AB3-75DD-45F5-A25B-4C07C8693710}"/>
    <cellStyle name="Normal 5 3 3 3 6 2 2 3" xfId="25513" xr:uid="{D15B0528-7471-4878-89C9-8DE6DBC79436}"/>
    <cellStyle name="Normal 5 3 3 3 6 2 2 4" xfId="17065" xr:uid="{656109C6-8FCA-49C2-9B7D-E060F7C58A49}"/>
    <cellStyle name="Normal 5 3 3 3 6 2 3" xfId="29736" xr:uid="{2545AEA2-DAF2-46FA-A1A8-954FD622E729}"/>
    <cellStyle name="Normal 5 3 3 3 6 2 4" xfId="21295" xr:uid="{B35ADD01-0012-4ED5-8D7B-677DCCF1A2F9}"/>
    <cellStyle name="Normal 5 3 3 3 6 2 5" xfId="12847" xr:uid="{858E1B21-DCC3-419C-A858-9E08F0FC6057}"/>
    <cellStyle name="Normal 5 3 3 3 6 3" xfId="6470" xr:uid="{00000000-0005-0000-0000-0000EA190000}"/>
    <cellStyle name="Normal 5 3 3 3 6 3 2" xfId="31809" xr:uid="{6BBB3DA8-D6C2-41AB-98D2-CB9B05CD8E67}"/>
    <cellStyle name="Normal 5 3 3 3 6 3 3" xfId="23368" xr:uid="{8498A273-979B-43A1-A272-F9AFBFE03DC7}"/>
    <cellStyle name="Normal 5 3 3 3 6 3 4" xfId="14920" xr:uid="{FFC8D599-DF40-4FFF-97E0-94B15D0C378D}"/>
    <cellStyle name="Normal 5 3 3 3 6 4" xfId="27591" xr:uid="{B6B8E8B5-19CD-4267-9B4D-23274E6DC682}"/>
    <cellStyle name="Normal 5 3 3 3 6 5" xfId="19150" xr:uid="{E9587591-3E47-4364-BB66-340FBAFAADFA}"/>
    <cellStyle name="Normal 5 3 3 3 6 6" xfId="10702" xr:uid="{BAA5D8C1-3E7F-4828-9BFE-83CB7C451D6D}"/>
    <cellStyle name="Normal 5 3 3 3 7" xfId="2600" xr:uid="{00000000-0005-0000-0000-0000EB190000}"/>
    <cellStyle name="Normal 5 3 3 3 7 2" xfId="6883" xr:uid="{00000000-0005-0000-0000-0000EC190000}"/>
    <cellStyle name="Normal 5 3 3 3 7 2 2" xfId="32222" xr:uid="{EEFF72A4-3A0B-4375-A1C6-E10429911339}"/>
    <cellStyle name="Normal 5 3 3 3 7 2 3" xfId="23781" xr:uid="{BF0D71F8-6A3F-411E-84BC-1593106BF978}"/>
    <cellStyle name="Normal 5 3 3 3 7 2 4" xfId="15333" xr:uid="{A1C04FD2-47CA-4B19-8B22-106148954826}"/>
    <cellStyle name="Normal 5 3 3 3 7 3" xfId="28004" xr:uid="{4B5293F0-DF31-43B3-9888-E624423BDBC2}"/>
    <cellStyle name="Normal 5 3 3 3 7 4" xfId="19563" xr:uid="{A684F8F1-F400-4D7A-A6D1-CAC952D29B01}"/>
    <cellStyle name="Normal 5 3 3 3 7 5" xfId="11115" xr:uid="{1C32C072-C38E-44F9-940C-BBD1C8C63F31}"/>
    <cellStyle name="Normal 5 3 3 3 8" xfId="4818" xr:uid="{00000000-0005-0000-0000-0000ED190000}"/>
    <cellStyle name="Normal 5 3 3 3 8 2" xfId="30157" xr:uid="{3D0BDE15-6887-48D4-8C11-3698B880FCF8}"/>
    <cellStyle name="Normal 5 3 3 3 8 3" xfId="21716" xr:uid="{17426B26-6045-41DD-AB85-ED7DD105CE03}"/>
    <cellStyle name="Normal 5 3 3 3 8 4" xfId="13268" xr:uid="{70F2B186-4ED7-4738-A2E4-27A87A1EB090}"/>
    <cellStyle name="Normal 5 3 3 3 9" xfId="25939" xr:uid="{4EAA0E25-76E5-4778-B44D-B575DAC2F81A}"/>
    <cellStyle name="Normal 5 3 3 4" xfId="448" xr:uid="{00000000-0005-0000-0000-0000EE190000}"/>
    <cellStyle name="Normal 5 3 3 4 10" xfId="9052" xr:uid="{7564548A-C4F7-469B-BDA2-2344B0A083A9}"/>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32717" xr:uid="{5A705D6E-37B3-4B45-BE30-E20131B1CE76}"/>
    <cellStyle name="Normal 5 3 3 4 2 2 2 3" xfId="24276" xr:uid="{FBEFD4F1-F63A-4969-8731-002F22795179}"/>
    <cellStyle name="Normal 5 3 3 4 2 2 2 4" xfId="15828" xr:uid="{5161E769-C4FF-4694-8529-97FD526740B3}"/>
    <cellStyle name="Normal 5 3 3 4 2 2 3" xfId="28499" xr:uid="{C645BE51-F0DC-438E-A30D-2F673AF882D0}"/>
    <cellStyle name="Normal 5 3 3 4 2 2 4" xfId="20058" xr:uid="{B82B80B0-2878-496B-BCFC-737B565924E4}"/>
    <cellStyle name="Normal 5 3 3 4 2 2 5" xfId="11610" xr:uid="{0781372B-3C3C-4E38-8EA8-07610B917B99}"/>
    <cellStyle name="Normal 5 3 3 4 2 3" xfId="5233" xr:uid="{00000000-0005-0000-0000-0000F2190000}"/>
    <cellStyle name="Normal 5 3 3 4 2 3 2" xfId="30572" xr:uid="{F6A0C3C9-A935-42B7-AE4B-1BA2B8587462}"/>
    <cellStyle name="Normal 5 3 3 4 2 3 3" xfId="22131" xr:uid="{D60BCC47-56A5-4EB1-8B41-BF279B291F1E}"/>
    <cellStyle name="Normal 5 3 3 4 2 3 4" xfId="13683" xr:uid="{0BE8EB14-756F-4A8C-8230-E110922B6469}"/>
    <cellStyle name="Normal 5 3 3 4 2 4" xfId="26354" xr:uid="{69246085-E1FD-4AE1-9D7F-F2BE5573A5C8}"/>
    <cellStyle name="Normal 5 3 3 4 2 5" xfId="17913" xr:uid="{7B63713A-8F3B-4BB7-86A5-035762A396FF}"/>
    <cellStyle name="Normal 5 3 3 4 2 6" xfId="9465" xr:uid="{AE3B2F5B-500D-4D24-AD70-246DA0A2C969}"/>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33130" xr:uid="{6DEFDD7B-10E5-4C61-B2B1-0FF94DE3019D}"/>
    <cellStyle name="Normal 5 3 3 4 3 2 2 3" xfId="24689" xr:uid="{4B97762D-5C3D-4975-8F0B-10861EEFE84E}"/>
    <cellStyle name="Normal 5 3 3 4 3 2 2 4" xfId="16241" xr:uid="{8F258A52-8F58-42C3-BEF7-45B613A6666D}"/>
    <cellStyle name="Normal 5 3 3 4 3 2 3" xfId="28912" xr:uid="{F998A060-7873-4595-9DAF-AF913191B787}"/>
    <cellStyle name="Normal 5 3 3 4 3 2 4" xfId="20471" xr:uid="{4EEAD846-CE81-4617-81CA-7607D10D3531}"/>
    <cellStyle name="Normal 5 3 3 4 3 2 5" xfId="12023" xr:uid="{9A1A6C6E-7F72-48B0-A6EC-23760DBBB2B5}"/>
    <cellStyle name="Normal 5 3 3 4 3 3" xfId="5646" xr:uid="{00000000-0005-0000-0000-0000F6190000}"/>
    <cellStyle name="Normal 5 3 3 4 3 3 2" xfId="30985" xr:uid="{20DF7AB9-3532-4762-AA6D-2A866A09F01A}"/>
    <cellStyle name="Normal 5 3 3 4 3 3 3" xfId="22544" xr:uid="{9D1383D8-82C0-40ED-8A94-4F32B7D162AB}"/>
    <cellStyle name="Normal 5 3 3 4 3 3 4" xfId="14096" xr:uid="{377E017F-4AEB-480E-B3FB-D66CD4B54A4F}"/>
    <cellStyle name="Normal 5 3 3 4 3 4" xfId="26767" xr:uid="{53FE8F31-8C82-4DF6-A869-F18FEA39C634}"/>
    <cellStyle name="Normal 5 3 3 4 3 5" xfId="18326" xr:uid="{3C6A3AC4-EA5D-4CEB-8E7E-293FB9C17176}"/>
    <cellStyle name="Normal 5 3 3 4 3 6" xfId="9878" xr:uid="{1AC9F188-0C5A-4545-AA52-B67964FAF5BC}"/>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33543" xr:uid="{6503CCD8-9AF6-47F0-A7D1-EED3B1028230}"/>
    <cellStyle name="Normal 5 3 3 4 4 2 2 3" xfId="25102" xr:uid="{87C3C112-5983-4FAB-8817-8E57E3D6959B}"/>
    <cellStyle name="Normal 5 3 3 4 4 2 2 4" xfId="16654" xr:uid="{4E7E1381-0CD7-4D47-9A3C-D08FA83310D5}"/>
    <cellStyle name="Normal 5 3 3 4 4 2 3" xfId="29325" xr:uid="{BFC1CFB0-17CF-4CB8-8BF3-53D51900FF28}"/>
    <cellStyle name="Normal 5 3 3 4 4 2 4" xfId="20884" xr:uid="{CBD57663-A0A1-4A8D-8B5B-6F93D2713523}"/>
    <cellStyle name="Normal 5 3 3 4 4 2 5" xfId="12436" xr:uid="{892C6711-BEF3-40EF-8B13-760761C87138}"/>
    <cellStyle name="Normal 5 3 3 4 4 3" xfId="6059" xr:uid="{00000000-0005-0000-0000-0000FA190000}"/>
    <cellStyle name="Normal 5 3 3 4 4 3 2" xfId="31398" xr:uid="{E921C635-2997-459B-8DD7-35BCB7D7E9B7}"/>
    <cellStyle name="Normal 5 3 3 4 4 3 3" xfId="22957" xr:uid="{46263059-B5B5-47E4-9956-DB001C56DE12}"/>
    <cellStyle name="Normal 5 3 3 4 4 3 4" xfId="14509" xr:uid="{85779B4C-0DF6-4BE2-8542-ADE43940E201}"/>
    <cellStyle name="Normal 5 3 3 4 4 4" xfId="27180" xr:uid="{DF6AE73D-64CD-422A-A2C1-9AE795223323}"/>
    <cellStyle name="Normal 5 3 3 4 4 5" xfId="18739" xr:uid="{3A2F46EB-5B3B-4CAE-9BFA-47F1303D3D54}"/>
    <cellStyle name="Normal 5 3 3 4 4 6" xfId="10291" xr:uid="{3E576CEB-5EEF-4356-AEFA-E982B0A2B16E}"/>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33956" xr:uid="{5D0617F2-FAC9-4806-B7FD-AB667FAC2479}"/>
    <cellStyle name="Normal 5 3 3 4 5 2 2 3" xfId="25515" xr:uid="{2127F393-071B-4EB3-A00C-501580C10A48}"/>
    <cellStyle name="Normal 5 3 3 4 5 2 2 4" xfId="17067" xr:uid="{871484C0-C044-45B4-9489-FE31042A4354}"/>
    <cellStyle name="Normal 5 3 3 4 5 2 3" xfId="29738" xr:uid="{785AE901-6661-4A72-AF5E-E233F367849B}"/>
    <cellStyle name="Normal 5 3 3 4 5 2 4" xfId="21297" xr:uid="{A1956F7C-C5E2-4A7A-831E-0AA2776BA3C4}"/>
    <cellStyle name="Normal 5 3 3 4 5 2 5" xfId="12849" xr:uid="{9E7B4EF1-8C70-4375-A228-A2C371DB65EE}"/>
    <cellStyle name="Normal 5 3 3 4 5 3" xfId="6472" xr:uid="{00000000-0005-0000-0000-0000FE190000}"/>
    <cellStyle name="Normal 5 3 3 4 5 3 2" xfId="31811" xr:uid="{EC25ED33-4896-4C82-84B2-FA2948452D7E}"/>
    <cellStyle name="Normal 5 3 3 4 5 3 3" xfId="23370" xr:uid="{82B39482-4DB0-4559-A7F7-9523316E9DCA}"/>
    <cellStyle name="Normal 5 3 3 4 5 3 4" xfId="14922" xr:uid="{688B5722-F974-4F68-B119-8A3D7AB51927}"/>
    <cellStyle name="Normal 5 3 3 4 5 4" xfId="27593" xr:uid="{04DD1D6B-1654-4626-A9A7-6000F73AF507}"/>
    <cellStyle name="Normal 5 3 3 4 5 5" xfId="19152" xr:uid="{D5F3E87E-4E57-44FF-A50F-B590623B2E3F}"/>
    <cellStyle name="Normal 5 3 3 4 5 6" xfId="10704" xr:uid="{74886EFE-8A74-4395-B534-09D2B1BDE2D7}"/>
    <cellStyle name="Normal 5 3 3 4 6" xfId="2602" xr:uid="{00000000-0005-0000-0000-0000FF190000}"/>
    <cellStyle name="Normal 5 3 3 4 6 2" xfId="6885" xr:uid="{00000000-0005-0000-0000-0000001A0000}"/>
    <cellStyle name="Normal 5 3 3 4 6 2 2" xfId="32224" xr:uid="{71B4CEAB-A8C0-4558-BAE8-199B54302526}"/>
    <cellStyle name="Normal 5 3 3 4 6 2 3" xfId="23783" xr:uid="{DD1ECB79-355E-411B-B13F-2ED439E10129}"/>
    <cellStyle name="Normal 5 3 3 4 6 2 4" xfId="15335" xr:uid="{2AF8A717-856C-4505-9C97-D29AAC37CED6}"/>
    <cellStyle name="Normal 5 3 3 4 6 3" xfId="28006" xr:uid="{69B7DA31-896D-4ACC-8CEB-AFCA336C6ED3}"/>
    <cellStyle name="Normal 5 3 3 4 6 4" xfId="19565" xr:uid="{B0E2DF15-0015-492F-A362-E4BA240E122E}"/>
    <cellStyle name="Normal 5 3 3 4 6 5" xfId="11117" xr:uid="{1C8F4D26-425B-43FB-998A-A758C9ADA4A4}"/>
    <cellStyle name="Normal 5 3 3 4 7" xfId="4820" xr:uid="{00000000-0005-0000-0000-0000011A0000}"/>
    <cellStyle name="Normal 5 3 3 4 7 2" xfId="30159" xr:uid="{9C5C0EB2-644D-43C1-8374-B8B67902A187}"/>
    <cellStyle name="Normal 5 3 3 4 7 3" xfId="21718" xr:uid="{2EFE108A-41E8-4DEA-8B75-15918AEE6CC6}"/>
    <cellStyle name="Normal 5 3 3 4 7 4" xfId="13270" xr:uid="{5C993A2D-6E16-4B51-8A8A-2C2A42AB8560}"/>
    <cellStyle name="Normal 5 3 3 4 8" xfId="25941" xr:uid="{2B11B5B4-EC21-4601-BB66-031E6C1158C1}"/>
    <cellStyle name="Normal 5 3 3 4 9" xfId="17500" xr:uid="{2EBF364A-E2E9-4D0D-AB35-6F17DB236E5E}"/>
    <cellStyle name="Normal 5 3 3 5" xfId="915" xr:uid="{00000000-0005-0000-0000-0000021A0000}"/>
    <cellStyle name="Normal 5 3 3 5 2" xfId="3149" xr:uid="{00000000-0005-0000-0000-0000031A0000}"/>
    <cellStyle name="Normal 5 3 3 5 2 2" xfId="7371" xr:uid="{00000000-0005-0000-0000-0000041A0000}"/>
    <cellStyle name="Normal 5 3 3 5 2 2 2" xfId="32710" xr:uid="{5685FADF-FC3E-4088-85BC-8CF70880036C}"/>
    <cellStyle name="Normal 5 3 3 5 2 2 3" xfId="24269" xr:uid="{F88E0BE5-B814-4764-93EE-82524921DC2B}"/>
    <cellStyle name="Normal 5 3 3 5 2 2 4" xfId="15821" xr:uid="{04703E17-C0B5-4772-8FF8-A5D88F2EBBDF}"/>
    <cellStyle name="Normal 5 3 3 5 2 3" xfId="28492" xr:uid="{3A6746F9-1141-4F68-9406-7A9874E441E3}"/>
    <cellStyle name="Normal 5 3 3 5 2 4" xfId="20051" xr:uid="{EB897088-B0F4-46D2-83A8-70C564AF9E92}"/>
    <cellStyle name="Normal 5 3 3 5 2 5" xfId="11603" xr:uid="{234FAE19-0878-4C8C-847E-2851FB3C1E78}"/>
    <cellStyle name="Normal 5 3 3 5 3" xfId="5226" xr:uid="{00000000-0005-0000-0000-0000051A0000}"/>
    <cellStyle name="Normal 5 3 3 5 3 2" xfId="30565" xr:uid="{E99DCEDF-B3EB-477D-A876-3FC0F5CCB6A3}"/>
    <cellStyle name="Normal 5 3 3 5 3 3" xfId="22124" xr:uid="{3AF6B15D-7BFF-4AF4-A3A9-DC400BE4189D}"/>
    <cellStyle name="Normal 5 3 3 5 3 4" xfId="13676" xr:uid="{C7BC15E3-812B-4AA1-B51F-FADCA2E894E4}"/>
    <cellStyle name="Normal 5 3 3 5 4" xfId="26347" xr:uid="{5B798750-19B9-460F-AA14-B6EBFA362752}"/>
    <cellStyle name="Normal 5 3 3 5 5" xfId="17906" xr:uid="{6BE03530-92D6-4C13-A970-6056C006D079}"/>
    <cellStyle name="Normal 5 3 3 5 6" xfId="9458" xr:uid="{8A861918-2AB4-4C9A-BCC6-CA095981E151}"/>
    <cellStyle name="Normal 5 3 3 6" xfId="1332" xr:uid="{00000000-0005-0000-0000-0000061A0000}"/>
    <cellStyle name="Normal 5 3 3 6 2" xfId="3562" xr:uid="{00000000-0005-0000-0000-0000071A0000}"/>
    <cellStyle name="Normal 5 3 3 6 2 2" xfId="7784" xr:uid="{00000000-0005-0000-0000-0000081A0000}"/>
    <cellStyle name="Normal 5 3 3 6 2 2 2" xfId="33123" xr:uid="{D5D5C7FB-6E1E-4EB2-9CCF-AA24F4FBDBA5}"/>
    <cellStyle name="Normal 5 3 3 6 2 2 3" xfId="24682" xr:uid="{A97A618B-7F4C-4733-BBC1-FE5E69D5EECE}"/>
    <cellStyle name="Normal 5 3 3 6 2 2 4" xfId="16234" xr:uid="{A978A5CA-4510-4D08-852E-4791EE1BDD71}"/>
    <cellStyle name="Normal 5 3 3 6 2 3" xfId="28905" xr:uid="{2184C41C-49FF-44F3-ADBF-62EEED8D4B38}"/>
    <cellStyle name="Normal 5 3 3 6 2 4" xfId="20464" xr:uid="{0C5EB202-E269-4717-8B34-9BBCCBB74ED5}"/>
    <cellStyle name="Normal 5 3 3 6 2 5" xfId="12016" xr:uid="{2F2191B2-4EEE-4505-A0DB-8E3E8212FD5B}"/>
    <cellStyle name="Normal 5 3 3 6 3" xfId="5639" xr:uid="{00000000-0005-0000-0000-0000091A0000}"/>
    <cellStyle name="Normal 5 3 3 6 3 2" xfId="30978" xr:uid="{2343BFF5-5540-4103-BB0D-3A3D5078A401}"/>
    <cellStyle name="Normal 5 3 3 6 3 3" xfId="22537" xr:uid="{FB787AEA-7079-4909-95E7-1F54F6A76ACD}"/>
    <cellStyle name="Normal 5 3 3 6 3 4" xfId="14089" xr:uid="{A1473B64-666A-4AA7-8044-15030A2676E0}"/>
    <cellStyle name="Normal 5 3 3 6 4" xfId="26760" xr:uid="{1A80A4C1-1CE6-44A2-BC68-BC45774AAA4B}"/>
    <cellStyle name="Normal 5 3 3 6 5" xfId="18319" xr:uid="{77D16B4C-6E7C-4FA1-9192-F3B527CF2ECE}"/>
    <cellStyle name="Normal 5 3 3 6 6" xfId="9871" xr:uid="{B81DFF1E-4F28-4663-9BDC-1C9B0ACFD682}"/>
    <cellStyle name="Normal 5 3 3 7" xfId="1745" xr:uid="{00000000-0005-0000-0000-00000A1A0000}"/>
    <cellStyle name="Normal 5 3 3 7 2" xfId="3975" xr:uid="{00000000-0005-0000-0000-00000B1A0000}"/>
    <cellStyle name="Normal 5 3 3 7 2 2" xfId="8197" xr:uid="{00000000-0005-0000-0000-00000C1A0000}"/>
    <cellStyle name="Normal 5 3 3 7 2 2 2" xfId="33536" xr:uid="{735913BF-0C3B-4BA5-AE9A-2EAF0F1F7CE3}"/>
    <cellStyle name="Normal 5 3 3 7 2 2 3" xfId="25095" xr:uid="{4B492541-CA35-4C4F-9349-E7CC50F14486}"/>
    <cellStyle name="Normal 5 3 3 7 2 2 4" xfId="16647" xr:uid="{1C2F89EB-BA7D-4849-AB47-766FBA166A95}"/>
    <cellStyle name="Normal 5 3 3 7 2 3" xfId="29318" xr:uid="{44CA721D-34AB-4FE2-858A-25271BE5CADE}"/>
    <cellStyle name="Normal 5 3 3 7 2 4" xfId="20877" xr:uid="{5B8EBA6C-F122-41B6-895C-FFFF9DDA22D2}"/>
    <cellStyle name="Normal 5 3 3 7 2 5" xfId="12429" xr:uid="{071C2065-101E-4EEF-A0A7-731B4190ACC9}"/>
    <cellStyle name="Normal 5 3 3 7 3" xfId="6052" xr:uid="{00000000-0005-0000-0000-00000D1A0000}"/>
    <cellStyle name="Normal 5 3 3 7 3 2" xfId="31391" xr:uid="{74F560DE-D6F0-4558-9FAD-B8A36454EA3F}"/>
    <cellStyle name="Normal 5 3 3 7 3 3" xfId="22950" xr:uid="{989BC2CB-1428-4A96-B255-31EA6B7E4CFD}"/>
    <cellStyle name="Normal 5 3 3 7 3 4" xfId="14502" xr:uid="{2ABD4025-2710-4B9A-BBEE-B8FC47C833A8}"/>
    <cellStyle name="Normal 5 3 3 7 4" xfId="27173" xr:uid="{99DAC0C8-5E2A-48FF-A3AF-717765F49021}"/>
    <cellStyle name="Normal 5 3 3 7 5" xfId="18732" xr:uid="{7CB95D90-5217-4218-933C-B467C032C281}"/>
    <cellStyle name="Normal 5 3 3 7 6" xfId="10284" xr:uid="{2C01782A-7296-4426-838F-9CD52632CA9C}"/>
    <cellStyle name="Normal 5 3 3 8" xfId="2159" xr:uid="{00000000-0005-0000-0000-00000E1A0000}"/>
    <cellStyle name="Normal 5 3 3 8 2" xfId="4388" xr:uid="{00000000-0005-0000-0000-00000F1A0000}"/>
    <cellStyle name="Normal 5 3 3 8 2 2" xfId="8610" xr:uid="{00000000-0005-0000-0000-0000101A0000}"/>
    <cellStyle name="Normal 5 3 3 8 2 2 2" xfId="33949" xr:uid="{9D304E50-8458-4AA8-A13D-7BEF76F7EC7A}"/>
    <cellStyle name="Normal 5 3 3 8 2 2 3" xfId="25508" xr:uid="{38206D2A-A911-4A27-AEB9-848200CC3D66}"/>
    <cellStyle name="Normal 5 3 3 8 2 2 4" xfId="17060" xr:uid="{EDB1EF8B-6971-47DB-A1E3-D93621527A02}"/>
    <cellStyle name="Normal 5 3 3 8 2 3" xfId="29731" xr:uid="{E31F6D24-F1CF-4BB5-94FB-562D700C0974}"/>
    <cellStyle name="Normal 5 3 3 8 2 4" xfId="21290" xr:uid="{02732C15-D040-4131-B47F-43CA9B90EE68}"/>
    <cellStyle name="Normal 5 3 3 8 2 5" xfId="12842" xr:uid="{FB2D4CFE-4261-4B70-80F7-64D94F878097}"/>
    <cellStyle name="Normal 5 3 3 8 3" xfId="6465" xr:uid="{00000000-0005-0000-0000-0000111A0000}"/>
    <cellStyle name="Normal 5 3 3 8 3 2" xfId="31804" xr:uid="{3B649244-AB16-4AEC-B42E-EAB38E70DDCB}"/>
    <cellStyle name="Normal 5 3 3 8 3 3" xfId="23363" xr:uid="{B40726FB-23D0-43E8-B7B7-B353584F7021}"/>
    <cellStyle name="Normal 5 3 3 8 3 4" xfId="14915" xr:uid="{CE00C682-6D8E-4A29-9980-262E0B3A2D27}"/>
    <cellStyle name="Normal 5 3 3 8 4" xfId="27586" xr:uid="{5E3986FF-BB25-4FC5-BC15-199B921CC2AA}"/>
    <cellStyle name="Normal 5 3 3 8 5" xfId="19145" xr:uid="{FEBCA8B8-72DD-48C2-8551-CEC3EAC65C53}"/>
    <cellStyle name="Normal 5 3 3 8 6" xfId="10697" xr:uid="{11376210-5573-49CD-8D3C-3686BF4B9226}"/>
    <cellStyle name="Normal 5 3 3 9" xfId="2595" xr:uid="{00000000-0005-0000-0000-0000121A0000}"/>
    <cellStyle name="Normal 5 3 3 9 2" xfId="6878" xr:uid="{00000000-0005-0000-0000-0000131A0000}"/>
    <cellStyle name="Normal 5 3 3 9 2 2" xfId="32217" xr:uid="{F80683A4-73AC-427A-87A8-135511E895E5}"/>
    <cellStyle name="Normal 5 3 3 9 2 3" xfId="23776" xr:uid="{ECC4693F-B82F-4155-9E5F-7BEFA59674B8}"/>
    <cellStyle name="Normal 5 3 3 9 2 4" xfId="15328" xr:uid="{4F5CE0E0-D8EE-40B7-A240-6150B956BCC7}"/>
    <cellStyle name="Normal 5 3 3 9 3" xfId="27999" xr:uid="{11CA86FA-770F-4545-9CDB-60965B582A3D}"/>
    <cellStyle name="Normal 5 3 3 9 4" xfId="19558" xr:uid="{C5F1E9AD-879D-438B-BA63-641717D53BEC}"/>
    <cellStyle name="Normal 5 3 3 9 5" xfId="11110" xr:uid="{2F59734A-574A-457F-B934-151FAE08FFB6}"/>
    <cellStyle name="Normal 5 3 4" xfId="449" xr:uid="{00000000-0005-0000-0000-0000141A0000}"/>
    <cellStyle name="Normal 5 3 4 10" xfId="25942" xr:uid="{647DC2C6-AE79-48ED-91C6-C1350F5E32B6}"/>
    <cellStyle name="Normal 5 3 4 11" xfId="17501" xr:uid="{A1D50AA3-A871-4BA6-86CD-FCBCBF66BE86}"/>
    <cellStyle name="Normal 5 3 4 12" xfId="9053" xr:uid="{10041148-AF63-4938-80DD-C1F922A061B0}"/>
    <cellStyle name="Normal 5 3 4 2" xfId="450" xr:uid="{00000000-0005-0000-0000-0000151A0000}"/>
    <cellStyle name="Normal 5 3 4 2 10" xfId="17502" xr:uid="{D5B523F1-5691-4EB8-9B98-5E19672A759A}"/>
    <cellStyle name="Normal 5 3 4 2 11" xfId="9054" xr:uid="{63CFD60A-A5EC-4D45-8D06-F57DE009318C}"/>
    <cellStyle name="Normal 5 3 4 2 2" xfId="451" xr:uid="{00000000-0005-0000-0000-0000161A0000}"/>
    <cellStyle name="Normal 5 3 4 2 2 10" xfId="9055" xr:uid="{0D3D1648-8EE6-4156-8412-CED37F317148}"/>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32720" xr:uid="{CE2A77F6-4620-4A72-9779-F36A7FB391D1}"/>
    <cellStyle name="Normal 5 3 4 2 2 2 2 2 3" xfId="24279" xr:uid="{23B64301-92EC-4506-B21F-293C8D104E6F}"/>
    <cellStyle name="Normal 5 3 4 2 2 2 2 2 4" xfId="15831" xr:uid="{FFC8CFAD-40A1-4A93-8CC0-49A452413DC9}"/>
    <cellStyle name="Normal 5 3 4 2 2 2 2 3" xfId="28502" xr:uid="{67719506-3B14-4668-9CA1-C0AF5F3F597E}"/>
    <cellStyle name="Normal 5 3 4 2 2 2 2 4" xfId="20061" xr:uid="{BC9F2181-66E4-4D3B-A019-B0B32FC769BA}"/>
    <cellStyle name="Normal 5 3 4 2 2 2 2 5" xfId="11613" xr:uid="{700D0579-7EA3-4D12-A0A4-C7A01DD1F831}"/>
    <cellStyle name="Normal 5 3 4 2 2 2 3" xfId="5236" xr:uid="{00000000-0005-0000-0000-00001A1A0000}"/>
    <cellStyle name="Normal 5 3 4 2 2 2 3 2" xfId="30575" xr:uid="{43D7BFB9-03E2-4733-BE91-D6462EFC99FA}"/>
    <cellStyle name="Normal 5 3 4 2 2 2 3 3" xfId="22134" xr:uid="{0027F531-F273-4A63-83B6-FA848AA8F62E}"/>
    <cellStyle name="Normal 5 3 4 2 2 2 3 4" xfId="13686" xr:uid="{79854C27-42B0-4B38-A6FF-780670F8D3CA}"/>
    <cellStyle name="Normal 5 3 4 2 2 2 4" xfId="26357" xr:uid="{CCBC07A0-16F9-4E51-9D82-E1F8369A7402}"/>
    <cellStyle name="Normal 5 3 4 2 2 2 5" xfId="17916" xr:uid="{947F5643-520A-4709-B34F-D1B9FAA8EAD4}"/>
    <cellStyle name="Normal 5 3 4 2 2 2 6" xfId="9468" xr:uid="{AFCA77C4-1266-4EC2-A750-234991A8D218}"/>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33133" xr:uid="{17692437-9CF8-4B2D-98C3-2F07E0988D06}"/>
    <cellStyle name="Normal 5 3 4 2 2 3 2 2 3" xfId="24692" xr:uid="{3CA52756-4FFF-4367-B271-E8CCFD3E0DAE}"/>
    <cellStyle name="Normal 5 3 4 2 2 3 2 2 4" xfId="16244" xr:uid="{B0D08910-65ED-4672-9C3F-772B16F2A409}"/>
    <cellStyle name="Normal 5 3 4 2 2 3 2 3" xfId="28915" xr:uid="{3B5AEF6F-800D-426D-9C2C-FA7D203CED3E}"/>
    <cellStyle name="Normal 5 3 4 2 2 3 2 4" xfId="20474" xr:uid="{818C29CC-956D-46BA-9E49-BCC7107E930E}"/>
    <cellStyle name="Normal 5 3 4 2 2 3 2 5" xfId="12026" xr:uid="{9A1636F0-E2E1-4F71-877D-5B6A903868E0}"/>
    <cellStyle name="Normal 5 3 4 2 2 3 3" xfId="5649" xr:uid="{00000000-0005-0000-0000-00001E1A0000}"/>
    <cellStyle name="Normal 5 3 4 2 2 3 3 2" xfId="30988" xr:uid="{7467DBF6-FF88-440B-85FB-E82E5340E5D1}"/>
    <cellStyle name="Normal 5 3 4 2 2 3 3 3" xfId="22547" xr:uid="{CCF1BF94-A509-47D9-B54A-776634345CAE}"/>
    <cellStyle name="Normal 5 3 4 2 2 3 3 4" xfId="14099" xr:uid="{CF0EE0FF-03DB-417B-85FF-21FE7DE56709}"/>
    <cellStyle name="Normal 5 3 4 2 2 3 4" xfId="26770" xr:uid="{49CAA4C0-BE86-48DE-92A1-885CE679B1DF}"/>
    <cellStyle name="Normal 5 3 4 2 2 3 5" xfId="18329" xr:uid="{70877CB8-614B-4314-A941-5E3E3C4F00A3}"/>
    <cellStyle name="Normal 5 3 4 2 2 3 6" xfId="9881" xr:uid="{03FDAAF6-25CE-49E2-9CD3-C5EB7D2CDF8C}"/>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33546" xr:uid="{9FDF23D4-600B-4C5F-8CAF-08095BFE4B10}"/>
    <cellStyle name="Normal 5 3 4 2 2 4 2 2 3" xfId="25105" xr:uid="{7509DDD9-D442-4F86-9063-8D7481180CF9}"/>
    <cellStyle name="Normal 5 3 4 2 2 4 2 2 4" xfId="16657" xr:uid="{DE774236-8BC0-4766-973F-0D5D75D3CEBE}"/>
    <cellStyle name="Normal 5 3 4 2 2 4 2 3" xfId="29328" xr:uid="{EFE73DBA-8C74-4516-A78B-35EDF6DC37CF}"/>
    <cellStyle name="Normal 5 3 4 2 2 4 2 4" xfId="20887" xr:uid="{58D6ECE9-490A-4AEC-B05F-3464DC65B7B3}"/>
    <cellStyle name="Normal 5 3 4 2 2 4 2 5" xfId="12439" xr:uid="{DD906B9A-5D90-4F85-A765-7708DF9BD1DE}"/>
    <cellStyle name="Normal 5 3 4 2 2 4 3" xfId="6062" xr:uid="{00000000-0005-0000-0000-0000221A0000}"/>
    <cellStyle name="Normal 5 3 4 2 2 4 3 2" xfId="31401" xr:uid="{BB7638ED-C52E-4374-817D-3F220E4B12B1}"/>
    <cellStyle name="Normal 5 3 4 2 2 4 3 3" xfId="22960" xr:uid="{5E5DF103-2393-4DDE-B842-4D68D0AD8C13}"/>
    <cellStyle name="Normal 5 3 4 2 2 4 3 4" xfId="14512" xr:uid="{F479D113-7650-4F4C-A166-FB3F55E6C481}"/>
    <cellStyle name="Normal 5 3 4 2 2 4 4" xfId="27183" xr:uid="{4ACD4DAC-A8A2-42E1-A594-F3B163840947}"/>
    <cellStyle name="Normal 5 3 4 2 2 4 5" xfId="18742" xr:uid="{FFDD7956-4895-4ECA-BAFE-BE30CA4A38BD}"/>
    <cellStyle name="Normal 5 3 4 2 2 4 6" xfId="10294" xr:uid="{26F16670-CEDB-40E4-A789-DCDB49ACB0C2}"/>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33959" xr:uid="{57FBD0E1-0398-4782-AEEE-724170EF8D09}"/>
    <cellStyle name="Normal 5 3 4 2 2 5 2 2 3" xfId="25518" xr:uid="{D299E667-3830-4534-8821-8B0D9D0C5842}"/>
    <cellStyle name="Normal 5 3 4 2 2 5 2 2 4" xfId="17070" xr:uid="{EB96E06E-85DA-4CD7-9B9A-F9EF262E6E25}"/>
    <cellStyle name="Normal 5 3 4 2 2 5 2 3" xfId="29741" xr:uid="{44AB17FD-4845-4930-9483-CBB6421E6E35}"/>
    <cellStyle name="Normal 5 3 4 2 2 5 2 4" xfId="21300" xr:uid="{3CA8867D-7AD1-450A-B8B4-0F0DCE15C7E4}"/>
    <cellStyle name="Normal 5 3 4 2 2 5 2 5" xfId="12852" xr:uid="{8A4A34BF-97C3-4703-B465-24B1E8B81DC9}"/>
    <cellStyle name="Normal 5 3 4 2 2 5 3" xfId="6475" xr:uid="{00000000-0005-0000-0000-0000261A0000}"/>
    <cellStyle name="Normal 5 3 4 2 2 5 3 2" xfId="31814" xr:uid="{2B5604AF-277E-42D6-9BC1-22D4F43D61A2}"/>
    <cellStyle name="Normal 5 3 4 2 2 5 3 3" xfId="23373" xr:uid="{D17372FE-CDAE-4084-B2BA-3BA2671AB259}"/>
    <cellStyle name="Normal 5 3 4 2 2 5 3 4" xfId="14925" xr:uid="{954645C9-B80A-4FFB-9E80-23ADB25686A8}"/>
    <cellStyle name="Normal 5 3 4 2 2 5 4" xfId="27596" xr:uid="{534D6B22-4875-49C6-AB5D-5717FE4138F3}"/>
    <cellStyle name="Normal 5 3 4 2 2 5 5" xfId="19155" xr:uid="{756BC5F0-5ABF-4380-98F8-26565B67F013}"/>
    <cellStyle name="Normal 5 3 4 2 2 5 6" xfId="10707" xr:uid="{3DC994A8-6529-4724-9CE4-E1BC32A21C07}"/>
    <cellStyle name="Normal 5 3 4 2 2 6" xfId="2605" xr:uid="{00000000-0005-0000-0000-0000271A0000}"/>
    <cellStyle name="Normal 5 3 4 2 2 6 2" xfId="6888" xr:uid="{00000000-0005-0000-0000-0000281A0000}"/>
    <cellStyle name="Normal 5 3 4 2 2 6 2 2" xfId="32227" xr:uid="{41149787-5704-4C59-A3B0-2F716B312A71}"/>
    <cellStyle name="Normal 5 3 4 2 2 6 2 3" xfId="23786" xr:uid="{6B8DC024-BA3A-431B-BF8E-42F22ADBE332}"/>
    <cellStyle name="Normal 5 3 4 2 2 6 2 4" xfId="15338" xr:uid="{FB272233-6C5A-480F-8B94-F4DAF7208DCC}"/>
    <cellStyle name="Normal 5 3 4 2 2 6 3" xfId="28009" xr:uid="{6DE848D9-22B5-4A11-B45D-31E19C756098}"/>
    <cellStyle name="Normal 5 3 4 2 2 6 4" xfId="19568" xr:uid="{31E34AD9-317F-4576-BA6A-3400AB3F8569}"/>
    <cellStyle name="Normal 5 3 4 2 2 6 5" xfId="11120" xr:uid="{B6D9B210-D456-445F-AB2D-806759D8543F}"/>
    <cellStyle name="Normal 5 3 4 2 2 7" xfId="4823" xr:uid="{00000000-0005-0000-0000-0000291A0000}"/>
    <cellStyle name="Normal 5 3 4 2 2 7 2" xfId="30162" xr:uid="{1B13DFC4-7493-48D9-9FC8-64B18CDD798C}"/>
    <cellStyle name="Normal 5 3 4 2 2 7 3" xfId="21721" xr:uid="{ACC796A8-881B-4FEC-9A74-1CF0FEB235D0}"/>
    <cellStyle name="Normal 5 3 4 2 2 7 4" xfId="13273" xr:uid="{DCD8D811-E3F6-4987-93D2-481951E8CE17}"/>
    <cellStyle name="Normal 5 3 4 2 2 8" xfId="25944" xr:uid="{7DC8D34B-4DAD-422D-A322-4BD63F79C95F}"/>
    <cellStyle name="Normal 5 3 4 2 2 9" xfId="17503" xr:uid="{DD8CCAA6-E19D-4FAD-B6BB-97710EE6D61A}"/>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32719" xr:uid="{3DC9227F-A2FF-42ED-BB70-FA5B7A9D3884}"/>
    <cellStyle name="Normal 5 3 4 2 3 2 2 3" xfId="24278" xr:uid="{046E0B78-1A95-4478-B16F-6B38722D1819}"/>
    <cellStyle name="Normal 5 3 4 2 3 2 2 4" xfId="15830" xr:uid="{E29750E8-2FC2-493A-B57B-11CACFBB98AB}"/>
    <cellStyle name="Normal 5 3 4 2 3 2 3" xfId="28501" xr:uid="{46D82549-61C2-47F7-AF28-C7775864D9B4}"/>
    <cellStyle name="Normal 5 3 4 2 3 2 4" xfId="20060" xr:uid="{C880463A-C143-4957-83B0-041D9568CDCB}"/>
    <cellStyle name="Normal 5 3 4 2 3 2 5" xfId="11612" xr:uid="{BF57376E-CE7A-44A8-B0CF-04D7488A0CF2}"/>
    <cellStyle name="Normal 5 3 4 2 3 3" xfId="5235" xr:uid="{00000000-0005-0000-0000-00002D1A0000}"/>
    <cellStyle name="Normal 5 3 4 2 3 3 2" xfId="30574" xr:uid="{1D924DEB-99C5-408F-961D-A56ABD070BCC}"/>
    <cellStyle name="Normal 5 3 4 2 3 3 3" xfId="22133" xr:uid="{1BB9D1AF-11B7-4595-A27C-ABC9EE1F9CCD}"/>
    <cellStyle name="Normal 5 3 4 2 3 3 4" xfId="13685" xr:uid="{C596A670-C7E9-4302-A4D8-A44554127F31}"/>
    <cellStyle name="Normal 5 3 4 2 3 4" xfId="26356" xr:uid="{245E5294-7116-4AD7-ABC2-4417B002B250}"/>
    <cellStyle name="Normal 5 3 4 2 3 5" xfId="17915" xr:uid="{16A3CD1E-3F48-4277-A36A-2EDCF6A45460}"/>
    <cellStyle name="Normal 5 3 4 2 3 6" xfId="9467" xr:uid="{4E0F4759-9AAB-4154-B1A5-CC4C70692E54}"/>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33132" xr:uid="{39C3FE31-A4C7-4E48-A1F9-76C1D3C7D0D5}"/>
    <cellStyle name="Normal 5 3 4 2 4 2 2 3" xfId="24691" xr:uid="{60857CB5-9EC4-4D26-A331-C3AE7A291395}"/>
    <cellStyle name="Normal 5 3 4 2 4 2 2 4" xfId="16243" xr:uid="{69E92532-BD1C-4088-AF09-2F843A1FE11B}"/>
    <cellStyle name="Normal 5 3 4 2 4 2 3" xfId="28914" xr:uid="{C7549CB4-5F9E-43D9-8B01-98DD7341FBC0}"/>
    <cellStyle name="Normal 5 3 4 2 4 2 4" xfId="20473" xr:uid="{34E0AB59-3EAC-454F-9296-A5AB7214841A}"/>
    <cellStyle name="Normal 5 3 4 2 4 2 5" xfId="12025" xr:uid="{72064E35-C981-4A93-B64C-27287C541459}"/>
    <cellStyle name="Normal 5 3 4 2 4 3" xfId="5648" xr:uid="{00000000-0005-0000-0000-0000311A0000}"/>
    <cellStyle name="Normal 5 3 4 2 4 3 2" xfId="30987" xr:uid="{F69278A5-ED5C-4A66-9476-309BB07306FB}"/>
    <cellStyle name="Normal 5 3 4 2 4 3 3" xfId="22546" xr:uid="{2CD1044C-57BB-44B7-880F-5F5F016F49A8}"/>
    <cellStyle name="Normal 5 3 4 2 4 3 4" xfId="14098" xr:uid="{8BC1C39A-D413-43CF-B2A1-1B6294FE62EC}"/>
    <cellStyle name="Normal 5 3 4 2 4 4" xfId="26769" xr:uid="{7DE0A4B6-33C9-43AD-820E-09A3C4F84D35}"/>
    <cellStyle name="Normal 5 3 4 2 4 5" xfId="18328" xr:uid="{7B1FD39D-D8E2-4E18-9333-D4705BB73661}"/>
    <cellStyle name="Normal 5 3 4 2 4 6" xfId="9880" xr:uid="{7E103E27-2CDF-498A-97EF-D83908A1A1E4}"/>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33545" xr:uid="{64A3A656-C015-4C8D-9C2C-246703961102}"/>
    <cellStyle name="Normal 5 3 4 2 5 2 2 3" xfId="25104" xr:uid="{386188A0-8415-43B1-970F-7EFB373C0E7D}"/>
    <cellStyle name="Normal 5 3 4 2 5 2 2 4" xfId="16656" xr:uid="{983FC1DE-D416-42F1-BF1A-6D08C3B0D6A9}"/>
    <cellStyle name="Normal 5 3 4 2 5 2 3" xfId="29327" xr:uid="{E3CF64E9-AA6C-4A9C-A812-97FE3746A42B}"/>
    <cellStyle name="Normal 5 3 4 2 5 2 4" xfId="20886" xr:uid="{B69D77CB-B1D4-45F4-98D8-ABC04904CB5A}"/>
    <cellStyle name="Normal 5 3 4 2 5 2 5" xfId="12438" xr:uid="{C8E5E56D-15FE-4131-A001-5C8F4328E879}"/>
    <cellStyle name="Normal 5 3 4 2 5 3" xfId="6061" xr:uid="{00000000-0005-0000-0000-0000351A0000}"/>
    <cellStyle name="Normal 5 3 4 2 5 3 2" xfId="31400" xr:uid="{65516DEE-AA7E-4E52-894A-2993D14E0F11}"/>
    <cellStyle name="Normal 5 3 4 2 5 3 3" xfId="22959" xr:uid="{6677124F-9BDB-4D53-BEA7-437CAF014530}"/>
    <cellStyle name="Normal 5 3 4 2 5 3 4" xfId="14511" xr:uid="{48F2C674-7260-4ED9-9C68-AF6C2D77111D}"/>
    <cellStyle name="Normal 5 3 4 2 5 4" xfId="27182" xr:uid="{8E01E37A-94FD-4708-84DE-008B66DC89C8}"/>
    <cellStyle name="Normal 5 3 4 2 5 5" xfId="18741" xr:uid="{80E53533-73D9-498E-A57B-64B22D31E641}"/>
    <cellStyle name="Normal 5 3 4 2 5 6" xfId="10293" xr:uid="{4A3D3FB3-5FCC-4D98-B01C-378B7106A9C4}"/>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33958" xr:uid="{933F47D6-186B-4069-8952-20ED28A5551B}"/>
    <cellStyle name="Normal 5 3 4 2 6 2 2 3" xfId="25517" xr:uid="{DDF6DC17-1A27-43CA-8029-641F62AB7E3E}"/>
    <cellStyle name="Normal 5 3 4 2 6 2 2 4" xfId="17069" xr:uid="{B25CDC04-248F-4C0B-BD40-F776597FC429}"/>
    <cellStyle name="Normal 5 3 4 2 6 2 3" xfId="29740" xr:uid="{F62437EA-197C-4A45-B504-A5F5B19F7323}"/>
    <cellStyle name="Normal 5 3 4 2 6 2 4" xfId="21299" xr:uid="{11499376-9D58-4A64-BC87-1A7FDAD44CCA}"/>
    <cellStyle name="Normal 5 3 4 2 6 2 5" xfId="12851" xr:uid="{594309CE-E057-4C64-B6DC-29378B3C9F22}"/>
    <cellStyle name="Normal 5 3 4 2 6 3" xfId="6474" xr:uid="{00000000-0005-0000-0000-0000391A0000}"/>
    <cellStyle name="Normal 5 3 4 2 6 3 2" xfId="31813" xr:uid="{59E7CB5E-9A01-4522-BCE3-A7306017A932}"/>
    <cellStyle name="Normal 5 3 4 2 6 3 3" xfId="23372" xr:uid="{7F2607E6-416E-4F22-B0E4-A05785ECD4E3}"/>
    <cellStyle name="Normal 5 3 4 2 6 3 4" xfId="14924" xr:uid="{6B362460-6C50-40D5-BDAB-9D3704031D14}"/>
    <cellStyle name="Normal 5 3 4 2 6 4" xfId="27595" xr:uid="{6CA22337-38BD-45AA-BCF2-FEA0DD6D9C06}"/>
    <cellStyle name="Normal 5 3 4 2 6 5" xfId="19154" xr:uid="{2D5A66DE-0E06-44D4-9F1A-BDDB111E415E}"/>
    <cellStyle name="Normal 5 3 4 2 6 6" xfId="10706" xr:uid="{28B77CEE-46DF-4A3A-8174-59399EF22354}"/>
    <cellStyle name="Normal 5 3 4 2 7" xfId="2604" xr:uid="{00000000-0005-0000-0000-00003A1A0000}"/>
    <cellStyle name="Normal 5 3 4 2 7 2" xfId="6887" xr:uid="{00000000-0005-0000-0000-00003B1A0000}"/>
    <cellStyle name="Normal 5 3 4 2 7 2 2" xfId="32226" xr:uid="{DDBC42D3-E95E-4B4E-B785-7B2A45F77153}"/>
    <cellStyle name="Normal 5 3 4 2 7 2 3" xfId="23785" xr:uid="{A08ADFE4-9EDB-40F5-B04C-F523A5BD49D2}"/>
    <cellStyle name="Normal 5 3 4 2 7 2 4" xfId="15337" xr:uid="{390AB7FB-4CEC-4E1C-A593-0469DE46AD36}"/>
    <cellStyle name="Normal 5 3 4 2 7 3" xfId="28008" xr:uid="{AF6AB199-E73D-4A30-8D0F-D18F88F79645}"/>
    <cellStyle name="Normal 5 3 4 2 7 4" xfId="19567" xr:uid="{A6460886-B8B6-494B-8D4D-B0352B26E03A}"/>
    <cellStyle name="Normal 5 3 4 2 7 5" xfId="11119" xr:uid="{1CA13FE0-F932-4E22-8A08-EB35FF8A7A8F}"/>
    <cellStyle name="Normal 5 3 4 2 8" xfId="4822" xr:uid="{00000000-0005-0000-0000-00003C1A0000}"/>
    <cellStyle name="Normal 5 3 4 2 8 2" xfId="30161" xr:uid="{79C2EED8-1E30-4231-AF06-2BA16989A3F5}"/>
    <cellStyle name="Normal 5 3 4 2 8 3" xfId="21720" xr:uid="{F4CB512F-CC26-4999-B2D0-BD53DDEA93B4}"/>
    <cellStyle name="Normal 5 3 4 2 8 4" xfId="13272" xr:uid="{007BD129-D3D2-4B3D-90C9-F3380C341697}"/>
    <cellStyle name="Normal 5 3 4 2 9" xfId="25943" xr:uid="{FE269E0A-7EF0-4313-8DBF-703C71310BF4}"/>
    <cellStyle name="Normal 5 3 4 3" xfId="452" xr:uid="{00000000-0005-0000-0000-00003D1A0000}"/>
    <cellStyle name="Normal 5 3 4 3 10" xfId="9056" xr:uid="{CB96B6B6-C01D-46E7-914A-9BBFCB86DA63}"/>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32721" xr:uid="{88D05216-3ACC-4B2C-8958-41E66686D717}"/>
    <cellStyle name="Normal 5 3 4 3 2 2 2 3" xfId="24280" xr:uid="{C22027BD-F29B-4ABE-8BDE-E61377A0BE2C}"/>
    <cellStyle name="Normal 5 3 4 3 2 2 2 4" xfId="15832" xr:uid="{CBE51E85-5EE7-41F2-8D8D-8E9D8F696637}"/>
    <cellStyle name="Normal 5 3 4 3 2 2 3" xfId="28503" xr:uid="{97B21B48-A0C6-4608-8002-58CB69D0464F}"/>
    <cellStyle name="Normal 5 3 4 3 2 2 4" xfId="20062" xr:uid="{00F143CE-5120-452A-BD84-73CB717BF472}"/>
    <cellStyle name="Normal 5 3 4 3 2 2 5" xfId="11614" xr:uid="{4230F295-3DBC-47DA-9E16-F07EDFF29DEF}"/>
    <cellStyle name="Normal 5 3 4 3 2 3" xfId="5237" xr:uid="{00000000-0005-0000-0000-0000411A0000}"/>
    <cellStyle name="Normal 5 3 4 3 2 3 2" xfId="30576" xr:uid="{635B06E2-6902-42F6-9B48-61047D39145F}"/>
    <cellStyle name="Normal 5 3 4 3 2 3 3" xfId="22135" xr:uid="{BB4C5C4A-8C38-42B1-AE02-C48740991E3C}"/>
    <cellStyle name="Normal 5 3 4 3 2 3 4" xfId="13687" xr:uid="{72FC7358-CDA3-4905-9489-6B36D9A26F44}"/>
    <cellStyle name="Normal 5 3 4 3 2 4" xfId="26358" xr:uid="{9C4028F6-FE93-437B-BD1C-EC178145FB66}"/>
    <cellStyle name="Normal 5 3 4 3 2 5" xfId="17917" xr:uid="{1C674BC2-7327-4B98-B7BD-53CFCEB76B1F}"/>
    <cellStyle name="Normal 5 3 4 3 2 6" xfId="9469" xr:uid="{647FB23F-D443-43D8-B180-12A81F38F505}"/>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33134" xr:uid="{09871134-C098-4CBF-8DBD-34DB2B1776CC}"/>
    <cellStyle name="Normal 5 3 4 3 3 2 2 3" xfId="24693" xr:uid="{2B49AD19-EBC0-4F5D-8C21-8AFBAB2DFA35}"/>
    <cellStyle name="Normal 5 3 4 3 3 2 2 4" xfId="16245" xr:uid="{B6628511-0A42-42CA-9171-77082A9C6654}"/>
    <cellStyle name="Normal 5 3 4 3 3 2 3" xfId="28916" xr:uid="{C6B2C50B-AB0A-45A9-9E98-389B7D2D783D}"/>
    <cellStyle name="Normal 5 3 4 3 3 2 4" xfId="20475" xr:uid="{19B47370-F030-4415-A3C8-8C04877CFCEA}"/>
    <cellStyle name="Normal 5 3 4 3 3 2 5" xfId="12027" xr:uid="{D077C616-81F4-4AB0-B3EA-B59A970A9522}"/>
    <cellStyle name="Normal 5 3 4 3 3 3" xfId="5650" xr:uid="{00000000-0005-0000-0000-0000451A0000}"/>
    <cellStyle name="Normal 5 3 4 3 3 3 2" xfId="30989" xr:uid="{F108E0C8-2B71-4D98-B0F3-E1D22B0B88D5}"/>
    <cellStyle name="Normal 5 3 4 3 3 3 3" xfId="22548" xr:uid="{A59CD77F-9E08-4A71-9953-DDAC56173D73}"/>
    <cellStyle name="Normal 5 3 4 3 3 3 4" xfId="14100" xr:uid="{E9D5A251-8F10-41DC-9359-92C1375E983C}"/>
    <cellStyle name="Normal 5 3 4 3 3 4" xfId="26771" xr:uid="{01D7783F-0FD3-43EC-94BE-300C68DD1A18}"/>
    <cellStyle name="Normal 5 3 4 3 3 5" xfId="18330" xr:uid="{2AA0966C-0D29-4163-8F0C-C4FCE199047E}"/>
    <cellStyle name="Normal 5 3 4 3 3 6" xfId="9882" xr:uid="{FE71139D-0B43-48BF-9850-872E9AF71CD6}"/>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33547" xr:uid="{2A56AFDC-5281-4802-8608-7DEE2B287D3F}"/>
    <cellStyle name="Normal 5 3 4 3 4 2 2 3" xfId="25106" xr:uid="{7E341EA5-2CFA-4CFE-AFAD-5AB799442DA4}"/>
    <cellStyle name="Normal 5 3 4 3 4 2 2 4" xfId="16658" xr:uid="{18966D2E-4AE0-4E80-ADBA-C6F40D4AA327}"/>
    <cellStyle name="Normal 5 3 4 3 4 2 3" xfId="29329" xr:uid="{3E36AA87-3A33-4BE6-A3D5-3606D0113DEF}"/>
    <cellStyle name="Normal 5 3 4 3 4 2 4" xfId="20888" xr:uid="{38F5F146-3B0A-4B8D-9823-130CF22AB5F9}"/>
    <cellStyle name="Normal 5 3 4 3 4 2 5" xfId="12440" xr:uid="{07FFD8E1-DB9E-4AFA-852A-0D67B9D88FCB}"/>
    <cellStyle name="Normal 5 3 4 3 4 3" xfId="6063" xr:uid="{00000000-0005-0000-0000-0000491A0000}"/>
    <cellStyle name="Normal 5 3 4 3 4 3 2" xfId="31402" xr:uid="{B2BF7386-830A-4FBC-97B2-B733942CD0AE}"/>
    <cellStyle name="Normal 5 3 4 3 4 3 3" xfId="22961" xr:uid="{2CD79987-E597-4191-857C-7CA1DB14919A}"/>
    <cellStyle name="Normal 5 3 4 3 4 3 4" xfId="14513" xr:uid="{954DF347-E334-47A4-AF97-07FDD8FC57E8}"/>
    <cellStyle name="Normal 5 3 4 3 4 4" xfId="27184" xr:uid="{93F43107-71D6-4743-A757-66C93B4AE8DD}"/>
    <cellStyle name="Normal 5 3 4 3 4 5" xfId="18743" xr:uid="{1CC44E28-2AC2-4230-96ED-263321501971}"/>
    <cellStyle name="Normal 5 3 4 3 4 6" xfId="10295" xr:uid="{24D9EAF4-81AE-430B-B74B-CB43E3625B64}"/>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33960" xr:uid="{0DBCD67A-305C-41D6-918D-4C69381932B8}"/>
    <cellStyle name="Normal 5 3 4 3 5 2 2 3" xfId="25519" xr:uid="{79BD7683-1C1A-4FE8-969D-8C81E87E5AB9}"/>
    <cellStyle name="Normal 5 3 4 3 5 2 2 4" xfId="17071" xr:uid="{32AC3D70-792A-421A-A87A-F54F0DC68489}"/>
    <cellStyle name="Normal 5 3 4 3 5 2 3" xfId="29742" xr:uid="{B690F12C-F475-48FD-9D64-DBF370C9B156}"/>
    <cellStyle name="Normal 5 3 4 3 5 2 4" xfId="21301" xr:uid="{341053C5-A927-4F10-9B77-703E33B8CEFB}"/>
    <cellStyle name="Normal 5 3 4 3 5 2 5" xfId="12853" xr:uid="{BFD3845E-1C02-4E46-AE54-982B15F3EB31}"/>
    <cellStyle name="Normal 5 3 4 3 5 3" xfId="6476" xr:uid="{00000000-0005-0000-0000-00004D1A0000}"/>
    <cellStyle name="Normal 5 3 4 3 5 3 2" xfId="31815" xr:uid="{DC691A10-7F34-423E-B243-EC63BD39D035}"/>
    <cellStyle name="Normal 5 3 4 3 5 3 3" xfId="23374" xr:uid="{2398013D-17E9-4CB2-A19D-8018C9F95CA0}"/>
    <cellStyle name="Normal 5 3 4 3 5 3 4" xfId="14926" xr:uid="{CEF306E2-5CB1-420C-ADE1-9C28446E30F3}"/>
    <cellStyle name="Normal 5 3 4 3 5 4" xfId="27597" xr:uid="{F3EB6982-67F8-4BDC-846A-0458CAA0FDF6}"/>
    <cellStyle name="Normal 5 3 4 3 5 5" xfId="19156" xr:uid="{231E2613-0965-46FF-9FEA-2D759EA570C2}"/>
    <cellStyle name="Normal 5 3 4 3 5 6" xfId="10708" xr:uid="{1C005472-6099-4006-81AE-8FEE704428DB}"/>
    <cellStyle name="Normal 5 3 4 3 6" xfId="2606" xr:uid="{00000000-0005-0000-0000-00004E1A0000}"/>
    <cellStyle name="Normal 5 3 4 3 6 2" xfId="6889" xr:uid="{00000000-0005-0000-0000-00004F1A0000}"/>
    <cellStyle name="Normal 5 3 4 3 6 2 2" xfId="32228" xr:uid="{0D981A1A-CBC8-4C49-B09F-A8FA44E25545}"/>
    <cellStyle name="Normal 5 3 4 3 6 2 3" xfId="23787" xr:uid="{E7975CE2-6972-4830-9717-CA33C09C2544}"/>
    <cellStyle name="Normal 5 3 4 3 6 2 4" xfId="15339" xr:uid="{5F232BD5-075C-4AAE-B995-A76AE2046DA0}"/>
    <cellStyle name="Normal 5 3 4 3 6 3" xfId="28010" xr:uid="{248382DA-943B-49C1-A018-6A8395E6A0FD}"/>
    <cellStyle name="Normal 5 3 4 3 6 4" xfId="19569" xr:uid="{BDB59DE6-7F46-4AE8-A2F7-773826405BB3}"/>
    <cellStyle name="Normal 5 3 4 3 6 5" xfId="11121" xr:uid="{A5D47E9C-09DC-4AAB-A49F-1DEBDD123F2D}"/>
    <cellStyle name="Normal 5 3 4 3 7" xfId="4824" xr:uid="{00000000-0005-0000-0000-0000501A0000}"/>
    <cellStyle name="Normal 5 3 4 3 7 2" xfId="30163" xr:uid="{C808E3DB-D084-47AD-B475-D1E162869A6A}"/>
    <cellStyle name="Normal 5 3 4 3 7 3" xfId="21722" xr:uid="{767F4E84-924D-4E1A-8D17-C75CF7DAC6CB}"/>
    <cellStyle name="Normal 5 3 4 3 7 4" xfId="13274" xr:uid="{D9A6AC6F-FD58-44C5-91E2-E6ADDFED1C0B}"/>
    <cellStyle name="Normal 5 3 4 3 8" xfId="25945" xr:uid="{294FAAD1-9187-45D1-A446-F86671B33309}"/>
    <cellStyle name="Normal 5 3 4 3 9" xfId="17504" xr:uid="{927E7F39-41B8-4081-B594-9C244A762F23}"/>
    <cellStyle name="Normal 5 3 4 4" xfId="923" xr:uid="{00000000-0005-0000-0000-0000511A0000}"/>
    <cellStyle name="Normal 5 3 4 4 2" xfId="3157" xr:uid="{00000000-0005-0000-0000-0000521A0000}"/>
    <cellStyle name="Normal 5 3 4 4 2 2" xfId="7379" xr:uid="{00000000-0005-0000-0000-0000531A0000}"/>
    <cellStyle name="Normal 5 3 4 4 2 2 2" xfId="32718" xr:uid="{24755A70-96A6-425E-9E22-E5BC21F7F047}"/>
    <cellStyle name="Normal 5 3 4 4 2 2 3" xfId="24277" xr:uid="{99A7FAD3-60F7-44DE-873E-44AD20E7D8D4}"/>
    <cellStyle name="Normal 5 3 4 4 2 2 4" xfId="15829" xr:uid="{537027AD-0CD1-483A-8580-CB9C8B616441}"/>
    <cellStyle name="Normal 5 3 4 4 2 3" xfId="28500" xr:uid="{2A74933E-262D-4049-8536-AC2A9221F555}"/>
    <cellStyle name="Normal 5 3 4 4 2 4" xfId="20059" xr:uid="{BAFE624B-29B4-4040-8672-855E5EE129A0}"/>
    <cellStyle name="Normal 5 3 4 4 2 5" xfId="11611" xr:uid="{8A0145E5-911B-45DF-9F8A-EF58B332407F}"/>
    <cellStyle name="Normal 5 3 4 4 3" xfId="5234" xr:uid="{00000000-0005-0000-0000-0000541A0000}"/>
    <cellStyle name="Normal 5 3 4 4 3 2" xfId="30573" xr:uid="{EEE10B2A-5882-462D-ADA6-C12E0FFCD53D}"/>
    <cellStyle name="Normal 5 3 4 4 3 3" xfId="22132" xr:uid="{2D2EB1F6-1BFC-4C2A-A6DE-26FF7C003AAC}"/>
    <cellStyle name="Normal 5 3 4 4 3 4" xfId="13684" xr:uid="{92B1DCA4-B54E-4AAF-B67A-BA4F7D40B066}"/>
    <cellStyle name="Normal 5 3 4 4 4" xfId="26355" xr:uid="{644C3D9D-7E44-4B1D-A729-D2ADE4C735A3}"/>
    <cellStyle name="Normal 5 3 4 4 5" xfId="17914" xr:uid="{4016142A-E474-42D7-A44B-12EC6CFEAE3B}"/>
    <cellStyle name="Normal 5 3 4 4 6" xfId="9466" xr:uid="{1B35D85B-FEA4-4578-ACAB-B46E28D8B957}"/>
    <cellStyle name="Normal 5 3 4 5" xfId="1340" xr:uid="{00000000-0005-0000-0000-0000551A0000}"/>
    <cellStyle name="Normal 5 3 4 5 2" xfId="3570" xr:uid="{00000000-0005-0000-0000-0000561A0000}"/>
    <cellStyle name="Normal 5 3 4 5 2 2" xfId="7792" xr:uid="{00000000-0005-0000-0000-0000571A0000}"/>
    <cellStyle name="Normal 5 3 4 5 2 2 2" xfId="33131" xr:uid="{D9DFA9FA-B7B8-4D97-A2F8-BBC91014838E}"/>
    <cellStyle name="Normal 5 3 4 5 2 2 3" xfId="24690" xr:uid="{1A10AAED-A738-47F0-8984-34B616576765}"/>
    <cellStyle name="Normal 5 3 4 5 2 2 4" xfId="16242" xr:uid="{669BF123-0842-47B2-9107-AD3010948B45}"/>
    <cellStyle name="Normal 5 3 4 5 2 3" xfId="28913" xr:uid="{2D6BB322-F0E6-497A-86D8-3876FCB9807F}"/>
    <cellStyle name="Normal 5 3 4 5 2 4" xfId="20472" xr:uid="{F32A1D37-C256-45A3-80E1-0C2108D0805C}"/>
    <cellStyle name="Normal 5 3 4 5 2 5" xfId="12024" xr:uid="{E28BFF4C-B2E9-43A8-B05E-4F9F971019B8}"/>
    <cellStyle name="Normal 5 3 4 5 3" xfId="5647" xr:uid="{00000000-0005-0000-0000-0000581A0000}"/>
    <cellStyle name="Normal 5 3 4 5 3 2" xfId="30986" xr:uid="{7A7501B8-65A7-4842-B623-16B1CB181977}"/>
    <cellStyle name="Normal 5 3 4 5 3 3" xfId="22545" xr:uid="{652F60E6-8D06-4178-956A-C2988B8D8346}"/>
    <cellStyle name="Normal 5 3 4 5 3 4" xfId="14097" xr:uid="{4F1CD6D4-745F-40B3-840B-97F8140204D5}"/>
    <cellStyle name="Normal 5 3 4 5 4" xfId="26768" xr:uid="{EF2CFA06-9ACF-468A-8F8F-5E53BF1F51F6}"/>
    <cellStyle name="Normal 5 3 4 5 5" xfId="18327" xr:uid="{62CF42D7-64CD-40FF-B2B5-1B83C36A7BD4}"/>
    <cellStyle name="Normal 5 3 4 5 6" xfId="9879" xr:uid="{C800D085-BE77-4A83-AECA-00A117537BC8}"/>
    <cellStyle name="Normal 5 3 4 6" xfId="1753" xr:uid="{00000000-0005-0000-0000-0000591A0000}"/>
    <cellStyle name="Normal 5 3 4 6 2" xfId="3983" xr:uid="{00000000-0005-0000-0000-00005A1A0000}"/>
    <cellStyle name="Normal 5 3 4 6 2 2" xfId="8205" xr:uid="{00000000-0005-0000-0000-00005B1A0000}"/>
    <cellStyle name="Normal 5 3 4 6 2 2 2" xfId="33544" xr:uid="{DC391F4D-20FF-4324-BE62-283253F3F72A}"/>
    <cellStyle name="Normal 5 3 4 6 2 2 3" xfId="25103" xr:uid="{2783D45F-BC22-4951-818C-B636A022FD8E}"/>
    <cellStyle name="Normal 5 3 4 6 2 2 4" xfId="16655" xr:uid="{97CD8336-53CF-4681-BD57-02C023216D0F}"/>
    <cellStyle name="Normal 5 3 4 6 2 3" xfId="29326" xr:uid="{5300D6E4-2A08-4694-8E04-34B45F71E194}"/>
    <cellStyle name="Normal 5 3 4 6 2 4" xfId="20885" xr:uid="{8F6548F7-B29E-47F3-8457-CA1CF2DD2BFD}"/>
    <cellStyle name="Normal 5 3 4 6 2 5" xfId="12437" xr:uid="{FBA91536-504E-4864-A79B-48A040A87E2F}"/>
    <cellStyle name="Normal 5 3 4 6 3" xfId="6060" xr:uid="{00000000-0005-0000-0000-00005C1A0000}"/>
    <cellStyle name="Normal 5 3 4 6 3 2" xfId="31399" xr:uid="{52B5E8C2-465D-4DC2-9A29-3F52ABD1AF75}"/>
    <cellStyle name="Normal 5 3 4 6 3 3" xfId="22958" xr:uid="{13F5F0B1-FAE8-486C-815F-24655418FB35}"/>
    <cellStyle name="Normal 5 3 4 6 3 4" xfId="14510" xr:uid="{2E91F488-4593-430D-9AC0-C3E72FB48AE1}"/>
    <cellStyle name="Normal 5 3 4 6 4" xfId="27181" xr:uid="{10D80C26-C58E-42EF-9BCC-FD9EA930B57D}"/>
    <cellStyle name="Normal 5 3 4 6 5" xfId="18740" xr:uid="{55E51DD0-6A49-4F44-824D-26F2AE1213F4}"/>
    <cellStyle name="Normal 5 3 4 6 6" xfId="10292" xr:uid="{9D054095-10C8-43E2-9A7A-55ABFA0BC4EC}"/>
    <cellStyle name="Normal 5 3 4 7" xfId="2167" xr:uid="{00000000-0005-0000-0000-00005D1A0000}"/>
    <cellStyle name="Normal 5 3 4 7 2" xfId="4396" xr:uid="{00000000-0005-0000-0000-00005E1A0000}"/>
    <cellStyle name="Normal 5 3 4 7 2 2" xfId="8618" xr:uid="{00000000-0005-0000-0000-00005F1A0000}"/>
    <cellStyle name="Normal 5 3 4 7 2 2 2" xfId="33957" xr:uid="{BD8252B7-4C13-4ED2-BA0A-12CBF78F725A}"/>
    <cellStyle name="Normal 5 3 4 7 2 2 3" xfId="25516" xr:uid="{D62ADFC8-0CA2-4816-A742-05A1E476E0BE}"/>
    <cellStyle name="Normal 5 3 4 7 2 2 4" xfId="17068" xr:uid="{06FDE63C-36FB-48D6-B79A-BA43EC3140F5}"/>
    <cellStyle name="Normal 5 3 4 7 2 3" xfId="29739" xr:uid="{AAD06C99-653C-4385-8F91-14451B632AAA}"/>
    <cellStyle name="Normal 5 3 4 7 2 4" xfId="21298" xr:uid="{439A086E-A6A6-443E-974E-FFACB50112E1}"/>
    <cellStyle name="Normal 5 3 4 7 2 5" xfId="12850" xr:uid="{36FDC3F2-6EF4-44F8-9AC4-198A89459775}"/>
    <cellStyle name="Normal 5 3 4 7 3" xfId="6473" xr:uid="{00000000-0005-0000-0000-0000601A0000}"/>
    <cellStyle name="Normal 5 3 4 7 3 2" xfId="31812" xr:uid="{486194B7-7CB4-4795-95C7-5705EE266D7F}"/>
    <cellStyle name="Normal 5 3 4 7 3 3" xfId="23371" xr:uid="{63877A74-AC1C-4B90-99EB-E2A70E7CC148}"/>
    <cellStyle name="Normal 5 3 4 7 3 4" xfId="14923" xr:uid="{2269AED4-2DB3-4802-8969-E1AE97422B8B}"/>
    <cellStyle name="Normal 5 3 4 7 4" xfId="27594" xr:uid="{AE06C57F-3769-40D2-A984-6CC1122543BA}"/>
    <cellStyle name="Normal 5 3 4 7 5" xfId="19153" xr:uid="{4A9C4866-B09D-41BB-BECA-9FE9B4F67F3D}"/>
    <cellStyle name="Normal 5 3 4 7 6" xfId="10705" xr:uid="{C11D67C9-7695-433D-B024-833E0A15A0FD}"/>
    <cellStyle name="Normal 5 3 4 8" xfId="2603" xr:uid="{00000000-0005-0000-0000-0000611A0000}"/>
    <cellStyle name="Normal 5 3 4 8 2" xfId="6886" xr:uid="{00000000-0005-0000-0000-0000621A0000}"/>
    <cellStyle name="Normal 5 3 4 8 2 2" xfId="32225" xr:uid="{CD0FB325-676A-415E-A093-EEF3C3E15216}"/>
    <cellStyle name="Normal 5 3 4 8 2 3" xfId="23784" xr:uid="{E5010941-5D8D-4117-A6E9-A926874F2E0B}"/>
    <cellStyle name="Normal 5 3 4 8 2 4" xfId="15336" xr:uid="{69A6302A-A2B2-4F4C-9155-0782B77E149F}"/>
    <cellStyle name="Normal 5 3 4 8 3" xfId="28007" xr:uid="{6617CBDA-0BBB-48A4-8E32-EC755E728CF0}"/>
    <cellStyle name="Normal 5 3 4 8 4" xfId="19566" xr:uid="{F647C6D4-12A6-4404-B8D4-8A7907B1FD40}"/>
    <cellStyle name="Normal 5 3 4 8 5" xfId="11118" xr:uid="{F4F1B150-C62E-4347-B83B-D930C6C53A4F}"/>
    <cellStyle name="Normal 5 3 4 9" xfId="4821" xr:uid="{00000000-0005-0000-0000-0000631A0000}"/>
    <cellStyle name="Normal 5 3 4 9 2" xfId="30160" xr:uid="{5BD7EC47-6B2B-4313-8CCB-61FFF16025ED}"/>
    <cellStyle name="Normal 5 3 4 9 3" xfId="21719" xr:uid="{81A4D6A1-AD8E-467A-9976-1366903808D2}"/>
    <cellStyle name="Normal 5 3 4 9 4" xfId="13271" xr:uid="{C25C70E2-7B92-4079-8FFE-D403DEE418DF}"/>
    <cellStyle name="Normal 5 3 5" xfId="453" xr:uid="{00000000-0005-0000-0000-0000641A0000}"/>
    <cellStyle name="Normal 5 3 5 10" xfId="17505" xr:uid="{F0DA8E53-9CF2-4251-A1AB-0B7DB4142858}"/>
    <cellStyle name="Normal 5 3 5 11" xfId="9057" xr:uid="{3AF86E21-1507-4E86-BBEE-B5F46F473115}"/>
    <cellStyle name="Normal 5 3 5 2" xfId="454" xr:uid="{00000000-0005-0000-0000-0000651A0000}"/>
    <cellStyle name="Normal 5 3 5 2 10" xfId="9058" xr:uid="{04F037FE-4A38-4D5B-9DE5-88DB717A87CD}"/>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32723" xr:uid="{3FD34A4B-CAF0-45A3-9766-6EB98181E7E9}"/>
    <cellStyle name="Normal 5 3 5 2 2 2 2 3" xfId="24282" xr:uid="{1AC23CC0-C965-4492-B18A-FFDC2A8EB87E}"/>
    <cellStyle name="Normal 5 3 5 2 2 2 2 4" xfId="15834" xr:uid="{D03C6BFC-DBA1-4F98-B950-027E879777DB}"/>
    <cellStyle name="Normal 5 3 5 2 2 2 3" xfId="28505" xr:uid="{8C96282C-4E75-4A91-AA84-22F580ACF8DD}"/>
    <cellStyle name="Normal 5 3 5 2 2 2 4" xfId="20064" xr:uid="{16A23D43-C772-4E32-BB43-757B3A5A0515}"/>
    <cellStyle name="Normal 5 3 5 2 2 2 5" xfId="11616" xr:uid="{5D3B6848-0B54-43EE-89E7-749EA28BBD23}"/>
    <cellStyle name="Normal 5 3 5 2 2 3" xfId="5239" xr:uid="{00000000-0005-0000-0000-0000691A0000}"/>
    <cellStyle name="Normal 5 3 5 2 2 3 2" xfId="30578" xr:uid="{033314FE-F5B5-4813-9E5D-064D69CD1054}"/>
    <cellStyle name="Normal 5 3 5 2 2 3 3" xfId="22137" xr:uid="{013881B7-23B3-4A1A-AA53-C2267C0F65B8}"/>
    <cellStyle name="Normal 5 3 5 2 2 3 4" xfId="13689" xr:uid="{67FC10CC-A2F9-4AB8-9C55-DB144F22898D}"/>
    <cellStyle name="Normal 5 3 5 2 2 4" xfId="26360" xr:uid="{B0B60FA1-48E1-43D2-95D9-2ECBBA4C052F}"/>
    <cellStyle name="Normal 5 3 5 2 2 5" xfId="17919" xr:uid="{9F2BF36F-1CE4-4DB8-AF1F-F83C1754ECB5}"/>
    <cellStyle name="Normal 5 3 5 2 2 6" xfId="9471" xr:uid="{2B0E0CBC-BA11-477B-BA96-627A0D0C78AF}"/>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33136" xr:uid="{7D2E77E6-DB47-4530-AC8C-AB6D28E4CD87}"/>
    <cellStyle name="Normal 5 3 5 2 3 2 2 3" xfId="24695" xr:uid="{ED2F40F8-DAC1-49E3-BA27-33674942E5C1}"/>
    <cellStyle name="Normal 5 3 5 2 3 2 2 4" xfId="16247" xr:uid="{7A1512B6-7DBC-4EBA-BC12-8CB0ECFAE5D1}"/>
    <cellStyle name="Normal 5 3 5 2 3 2 3" xfId="28918" xr:uid="{B8D1510B-1BCD-43DE-A0C4-0A401DBF2827}"/>
    <cellStyle name="Normal 5 3 5 2 3 2 4" xfId="20477" xr:uid="{928DF28A-7EAA-4A9E-969C-381A86B3B715}"/>
    <cellStyle name="Normal 5 3 5 2 3 2 5" xfId="12029" xr:uid="{104BA40F-0CDF-42F6-A7A3-DF28358319F8}"/>
    <cellStyle name="Normal 5 3 5 2 3 3" xfId="5652" xr:uid="{00000000-0005-0000-0000-00006D1A0000}"/>
    <cellStyle name="Normal 5 3 5 2 3 3 2" xfId="30991" xr:uid="{66D66E1A-3484-4111-8B4E-94D3B119CBCD}"/>
    <cellStyle name="Normal 5 3 5 2 3 3 3" xfId="22550" xr:uid="{3119A429-AB0A-49E9-BE64-9E6A36AF3951}"/>
    <cellStyle name="Normal 5 3 5 2 3 3 4" xfId="14102" xr:uid="{C40B58FD-7678-4F0D-85AF-3A1141CDE40B}"/>
    <cellStyle name="Normal 5 3 5 2 3 4" xfId="26773" xr:uid="{4FD50F32-CBEC-472C-B10B-FF4FAEA1E05C}"/>
    <cellStyle name="Normal 5 3 5 2 3 5" xfId="18332" xr:uid="{323A6447-69DC-44FF-8433-4960ED281819}"/>
    <cellStyle name="Normal 5 3 5 2 3 6" xfId="9884" xr:uid="{BD586E3E-0E75-47EC-9181-EEB8E14735A5}"/>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33549" xr:uid="{06978F5B-2ECD-4C4F-82AD-A3D3008A4392}"/>
    <cellStyle name="Normal 5 3 5 2 4 2 2 3" xfId="25108" xr:uid="{EAA826AD-B7D0-4B63-B4B1-2A773F2F1D2F}"/>
    <cellStyle name="Normal 5 3 5 2 4 2 2 4" xfId="16660" xr:uid="{C61F05BC-155A-4FC7-B750-FB5A1DE7B5A1}"/>
    <cellStyle name="Normal 5 3 5 2 4 2 3" xfId="29331" xr:uid="{5D6756D4-92A3-4D2A-A668-098FDBEA77E3}"/>
    <cellStyle name="Normal 5 3 5 2 4 2 4" xfId="20890" xr:uid="{997441AA-8166-4334-BF37-E413B732B061}"/>
    <cellStyle name="Normal 5 3 5 2 4 2 5" xfId="12442" xr:uid="{B81111B7-FC17-4A56-B36D-C4EC56134494}"/>
    <cellStyle name="Normal 5 3 5 2 4 3" xfId="6065" xr:uid="{00000000-0005-0000-0000-0000711A0000}"/>
    <cellStyle name="Normal 5 3 5 2 4 3 2" xfId="31404" xr:uid="{62F80870-CC42-4EB0-8C6F-D13BB522C273}"/>
    <cellStyle name="Normal 5 3 5 2 4 3 3" xfId="22963" xr:uid="{22E79DBE-2642-480F-AF7E-57EA4C1669E9}"/>
    <cellStyle name="Normal 5 3 5 2 4 3 4" xfId="14515" xr:uid="{8B3F585B-2C0B-4A3E-8B13-EB2EC8A78256}"/>
    <cellStyle name="Normal 5 3 5 2 4 4" xfId="27186" xr:uid="{ADE6E904-06A7-4151-872F-70E03142C5A3}"/>
    <cellStyle name="Normal 5 3 5 2 4 5" xfId="18745" xr:uid="{E31CCAC9-D0BE-4F97-829A-DC06DF4F9072}"/>
    <cellStyle name="Normal 5 3 5 2 4 6" xfId="10297" xr:uid="{5C038622-7CED-44FE-A8B1-B2481A14CB60}"/>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33962" xr:uid="{747DA4D2-D969-4ACF-BA46-143DFFF85D7F}"/>
    <cellStyle name="Normal 5 3 5 2 5 2 2 3" xfId="25521" xr:uid="{3FDE0557-0FC8-40A9-9C03-D26970BDD4EF}"/>
    <cellStyle name="Normal 5 3 5 2 5 2 2 4" xfId="17073" xr:uid="{6BD2911F-48E6-4B5C-9FD3-8D21DFD868B2}"/>
    <cellStyle name="Normal 5 3 5 2 5 2 3" xfId="29744" xr:uid="{3E2AE682-3E0B-440C-B552-1226659968C8}"/>
    <cellStyle name="Normal 5 3 5 2 5 2 4" xfId="21303" xr:uid="{6A8EDC8A-E515-455E-9B19-D3A98BEAD913}"/>
    <cellStyle name="Normal 5 3 5 2 5 2 5" xfId="12855" xr:uid="{180E2D7E-4198-44D7-A6BE-7F5242B1088E}"/>
    <cellStyle name="Normal 5 3 5 2 5 3" xfId="6478" xr:uid="{00000000-0005-0000-0000-0000751A0000}"/>
    <cellStyle name="Normal 5 3 5 2 5 3 2" xfId="31817" xr:uid="{AB5D046E-C946-450E-9C97-17A6DA855CAD}"/>
    <cellStyle name="Normal 5 3 5 2 5 3 3" xfId="23376" xr:uid="{1EDC31DF-82AB-4B9B-BC9A-B6D0DB0ED8F0}"/>
    <cellStyle name="Normal 5 3 5 2 5 3 4" xfId="14928" xr:uid="{762350C0-4B7C-4ED4-BA51-0EA89F55C53B}"/>
    <cellStyle name="Normal 5 3 5 2 5 4" xfId="27599" xr:uid="{1D256B0C-6B56-4A73-ADA8-4EB6185AD7F6}"/>
    <cellStyle name="Normal 5 3 5 2 5 5" xfId="19158" xr:uid="{92F7FED2-FAAF-456A-B1E3-7F6C72ADC92E}"/>
    <cellStyle name="Normal 5 3 5 2 5 6" xfId="10710" xr:uid="{EB672524-8D3D-4D8D-B4DC-4E72C6BD04F6}"/>
    <cellStyle name="Normal 5 3 5 2 6" xfId="2608" xr:uid="{00000000-0005-0000-0000-0000761A0000}"/>
    <cellStyle name="Normal 5 3 5 2 6 2" xfId="6891" xr:uid="{00000000-0005-0000-0000-0000771A0000}"/>
    <cellStyle name="Normal 5 3 5 2 6 2 2" xfId="32230" xr:uid="{D2EC76A3-C5B3-4B88-98C8-B2F4E6F5C22C}"/>
    <cellStyle name="Normal 5 3 5 2 6 2 3" xfId="23789" xr:uid="{D90E8E52-DB5C-4FF0-A650-3E525F94A54B}"/>
    <cellStyle name="Normal 5 3 5 2 6 2 4" xfId="15341" xr:uid="{6D696743-24F9-4B42-9CC1-AACE2F91570F}"/>
    <cellStyle name="Normal 5 3 5 2 6 3" xfId="28012" xr:uid="{E091BD52-3EDE-485D-8D67-4F580812ADFE}"/>
    <cellStyle name="Normal 5 3 5 2 6 4" xfId="19571" xr:uid="{55BF009C-4E71-421C-A7A5-792E1C487DCC}"/>
    <cellStyle name="Normal 5 3 5 2 6 5" xfId="11123" xr:uid="{D3965E2B-0186-47E6-9D37-9BB3D10FF0C7}"/>
    <cellStyle name="Normal 5 3 5 2 7" xfId="4826" xr:uid="{00000000-0005-0000-0000-0000781A0000}"/>
    <cellStyle name="Normal 5 3 5 2 7 2" xfId="30165" xr:uid="{1DD3B919-46A6-4CF6-9D08-359AF4F03870}"/>
    <cellStyle name="Normal 5 3 5 2 7 3" xfId="21724" xr:uid="{27C25409-BA07-4D75-9B6D-2C46239DB5F7}"/>
    <cellStyle name="Normal 5 3 5 2 7 4" xfId="13276" xr:uid="{65ABB0FD-AC8F-402E-BF57-4B3683289718}"/>
    <cellStyle name="Normal 5 3 5 2 8" xfId="25947" xr:uid="{7FFE37D3-8C13-4893-8814-C1D283BAFE01}"/>
    <cellStyle name="Normal 5 3 5 2 9" xfId="17506" xr:uid="{8733EAA7-3548-46C6-BA30-E2ADC6DED2B3}"/>
    <cellStyle name="Normal 5 3 5 3" xfId="927" xr:uid="{00000000-0005-0000-0000-0000791A0000}"/>
    <cellStyle name="Normal 5 3 5 3 2" xfId="3161" xr:uid="{00000000-0005-0000-0000-00007A1A0000}"/>
    <cellStyle name="Normal 5 3 5 3 2 2" xfId="7383" xr:uid="{00000000-0005-0000-0000-00007B1A0000}"/>
    <cellStyle name="Normal 5 3 5 3 2 2 2" xfId="32722" xr:uid="{252F5F7D-A67D-41BB-A948-EEA61894D7FF}"/>
    <cellStyle name="Normal 5 3 5 3 2 2 3" xfId="24281" xr:uid="{A8EF2FB9-8076-4E4E-B110-E44A98076C4D}"/>
    <cellStyle name="Normal 5 3 5 3 2 2 4" xfId="15833" xr:uid="{6F1A38B5-7E1D-4691-975C-DB553A43BACF}"/>
    <cellStyle name="Normal 5 3 5 3 2 3" xfId="28504" xr:uid="{1E05E534-426D-4960-8803-DB6FE0C3C861}"/>
    <cellStyle name="Normal 5 3 5 3 2 4" xfId="20063" xr:uid="{31AE9608-D265-4143-B39D-107E30F5F5EE}"/>
    <cellStyle name="Normal 5 3 5 3 2 5" xfId="11615" xr:uid="{B491E67F-126A-47A2-9929-82497F8F162F}"/>
    <cellStyle name="Normal 5 3 5 3 3" xfId="5238" xr:uid="{00000000-0005-0000-0000-00007C1A0000}"/>
    <cellStyle name="Normal 5 3 5 3 3 2" xfId="30577" xr:uid="{87EBBED6-014D-4333-9907-B42FF0A2BE0D}"/>
    <cellStyle name="Normal 5 3 5 3 3 3" xfId="22136" xr:uid="{921E83BB-A9FC-4EAF-9EE4-58678BEE7965}"/>
    <cellStyle name="Normal 5 3 5 3 3 4" xfId="13688" xr:uid="{E214EF69-558B-40B4-950B-492128295922}"/>
    <cellStyle name="Normal 5 3 5 3 4" xfId="26359" xr:uid="{E5F3BCF9-C772-4474-94E1-218DB0A8F67D}"/>
    <cellStyle name="Normal 5 3 5 3 5" xfId="17918" xr:uid="{58219094-8960-409F-A4B3-CD56CC3183CA}"/>
    <cellStyle name="Normal 5 3 5 3 6" xfId="9470" xr:uid="{96285F04-E7D8-4AB2-BF86-C4021761648F}"/>
    <cellStyle name="Normal 5 3 5 4" xfId="1344" xr:uid="{00000000-0005-0000-0000-00007D1A0000}"/>
    <cellStyle name="Normal 5 3 5 4 2" xfId="3574" xr:uid="{00000000-0005-0000-0000-00007E1A0000}"/>
    <cellStyle name="Normal 5 3 5 4 2 2" xfId="7796" xr:uid="{00000000-0005-0000-0000-00007F1A0000}"/>
    <cellStyle name="Normal 5 3 5 4 2 2 2" xfId="33135" xr:uid="{2FB35CF3-A719-4124-B67D-F83D5C4A1617}"/>
    <cellStyle name="Normal 5 3 5 4 2 2 3" xfId="24694" xr:uid="{38721054-18C3-4B23-B221-B17DB1A7E59E}"/>
    <cellStyle name="Normal 5 3 5 4 2 2 4" xfId="16246" xr:uid="{BFD18E7E-DFBB-46B0-AB07-DED0A4F42F27}"/>
    <cellStyle name="Normal 5 3 5 4 2 3" xfId="28917" xr:uid="{78947D04-8DA9-4EEC-BE42-152E5935A9D6}"/>
    <cellStyle name="Normal 5 3 5 4 2 4" xfId="20476" xr:uid="{033FE79E-AF45-4029-88F6-CFAFC726FEBF}"/>
    <cellStyle name="Normal 5 3 5 4 2 5" xfId="12028" xr:uid="{C602093F-9DAA-463D-91B6-2BF0E12432CC}"/>
    <cellStyle name="Normal 5 3 5 4 3" xfId="5651" xr:uid="{00000000-0005-0000-0000-0000801A0000}"/>
    <cellStyle name="Normal 5 3 5 4 3 2" xfId="30990" xr:uid="{B975AB5D-B2ED-4653-8701-28E69C245AD1}"/>
    <cellStyle name="Normal 5 3 5 4 3 3" xfId="22549" xr:uid="{E57D4842-FE28-4C66-8E8F-B4643B553B48}"/>
    <cellStyle name="Normal 5 3 5 4 3 4" xfId="14101" xr:uid="{AA8CBA26-0869-484F-9CC7-BA94092F540B}"/>
    <cellStyle name="Normal 5 3 5 4 4" xfId="26772" xr:uid="{D1475ED8-F428-4908-BE56-D0F2578FBEF2}"/>
    <cellStyle name="Normal 5 3 5 4 5" xfId="18331" xr:uid="{9D43AA93-2DC9-424F-A199-D772E6BC3D62}"/>
    <cellStyle name="Normal 5 3 5 4 6" xfId="9883" xr:uid="{EA50B898-1DBE-4E14-AF2B-283E9B5585EC}"/>
    <cellStyle name="Normal 5 3 5 5" xfId="1757" xr:uid="{00000000-0005-0000-0000-0000811A0000}"/>
    <cellStyle name="Normal 5 3 5 5 2" xfId="3987" xr:uid="{00000000-0005-0000-0000-0000821A0000}"/>
    <cellStyle name="Normal 5 3 5 5 2 2" xfId="8209" xr:uid="{00000000-0005-0000-0000-0000831A0000}"/>
    <cellStyle name="Normal 5 3 5 5 2 2 2" xfId="33548" xr:uid="{3EC38565-9A8C-4FB8-8019-0D6D07CAB772}"/>
    <cellStyle name="Normal 5 3 5 5 2 2 3" xfId="25107" xr:uid="{6B3597F0-BD58-428B-A070-F8878561B88F}"/>
    <cellStyle name="Normal 5 3 5 5 2 2 4" xfId="16659" xr:uid="{DBFEF4EB-DE97-41D3-ADB2-F6B002B42946}"/>
    <cellStyle name="Normal 5 3 5 5 2 3" xfId="29330" xr:uid="{887168D6-2A92-4721-96A2-05FB5FC898BF}"/>
    <cellStyle name="Normal 5 3 5 5 2 4" xfId="20889" xr:uid="{95DCBBB0-3F64-40CF-9793-574E1C85AD3D}"/>
    <cellStyle name="Normal 5 3 5 5 2 5" xfId="12441" xr:uid="{8B20D4F4-516E-404E-BD75-0F2299B7F03F}"/>
    <cellStyle name="Normal 5 3 5 5 3" xfId="6064" xr:uid="{00000000-0005-0000-0000-0000841A0000}"/>
    <cellStyle name="Normal 5 3 5 5 3 2" xfId="31403" xr:uid="{BA3C09A9-475D-49F9-814C-EB6F13E3F811}"/>
    <cellStyle name="Normal 5 3 5 5 3 3" xfId="22962" xr:uid="{2D620519-7651-4B84-961F-E2236FD41405}"/>
    <cellStyle name="Normal 5 3 5 5 3 4" xfId="14514" xr:uid="{1A7E88F0-040C-46D9-B940-483805A15FAD}"/>
    <cellStyle name="Normal 5 3 5 5 4" xfId="27185" xr:uid="{EDAB1B2E-9DED-4844-BAD0-F063B8E3BF51}"/>
    <cellStyle name="Normal 5 3 5 5 5" xfId="18744" xr:uid="{496AD70D-35FD-4E15-B08F-7E34BA04E711}"/>
    <cellStyle name="Normal 5 3 5 5 6" xfId="10296" xr:uid="{5B3A46CA-82B2-4349-8F0D-ED9298232DBE}"/>
    <cellStyle name="Normal 5 3 5 6" xfId="2171" xr:uid="{00000000-0005-0000-0000-0000851A0000}"/>
    <cellStyle name="Normal 5 3 5 6 2" xfId="4400" xr:uid="{00000000-0005-0000-0000-0000861A0000}"/>
    <cellStyle name="Normal 5 3 5 6 2 2" xfId="8622" xr:uid="{00000000-0005-0000-0000-0000871A0000}"/>
    <cellStyle name="Normal 5 3 5 6 2 2 2" xfId="33961" xr:uid="{2EC6A934-C2D2-4011-8B9E-5B014B60F5C3}"/>
    <cellStyle name="Normal 5 3 5 6 2 2 3" xfId="25520" xr:uid="{AB151460-656D-452A-BE22-3A72C98BD0B9}"/>
    <cellStyle name="Normal 5 3 5 6 2 2 4" xfId="17072" xr:uid="{5D4E5BA5-C5BD-45AA-95C8-43A49573F80C}"/>
    <cellStyle name="Normal 5 3 5 6 2 3" xfId="29743" xr:uid="{5ADD44AA-C982-4842-9486-89D0484A4579}"/>
    <cellStyle name="Normal 5 3 5 6 2 4" xfId="21302" xr:uid="{288C0E70-1B73-4641-AFAC-CEE2DB47D325}"/>
    <cellStyle name="Normal 5 3 5 6 2 5" xfId="12854" xr:uid="{D124EDAC-1AE6-483D-A369-17A963C0AE6F}"/>
    <cellStyle name="Normal 5 3 5 6 3" xfId="6477" xr:uid="{00000000-0005-0000-0000-0000881A0000}"/>
    <cellStyle name="Normal 5 3 5 6 3 2" xfId="31816" xr:uid="{425B969C-80BC-4439-A436-09BDFB561820}"/>
    <cellStyle name="Normal 5 3 5 6 3 3" xfId="23375" xr:uid="{8A4C5A73-53DB-44CF-86DA-995F2801CFAE}"/>
    <cellStyle name="Normal 5 3 5 6 3 4" xfId="14927" xr:uid="{4E62527F-6892-4534-9AB3-04A170D82A4B}"/>
    <cellStyle name="Normal 5 3 5 6 4" xfId="27598" xr:uid="{55141814-A147-4395-8776-7823ED5646A2}"/>
    <cellStyle name="Normal 5 3 5 6 5" xfId="19157" xr:uid="{F0B16887-EB87-4352-9E15-4F144BED4CFE}"/>
    <cellStyle name="Normal 5 3 5 6 6" xfId="10709" xr:uid="{5DC5E791-D1DF-409D-8CE8-5A193DB489B3}"/>
    <cellStyle name="Normal 5 3 5 7" xfId="2607" xr:uid="{00000000-0005-0000-0000-0000891A0000}"/>
    <cellStyle name="Normal 5 3 5 7 2" xfId="6890" xr:uid="{00000000-0005-0000-0000-00008A1A0000}"/>
    <cellStyle name="Normal 5 3 5 7 2 2" xfId="32229" xr:uid="{26CDE675-9475-4309-94F8-659C2B2D9F1C}"/>
    <cellStyle name="Normal 5 3 5 7 2 3" xfId="23788" xr:uid="{9024707D-C194-4F5B-991D-7C8B3B82E759}"/>
    <cellStyle name="Normal 5 3 5 7 2 4" xfId="15340" xr:uid="{1420CA4D-7555-4F6D-8DFD-296555D8513F}"/>
    <cellStyle name="Normal 5 3 5 7 3" xfId="28011" xr:uid="{0D480935-926C-4FFB-80DC-FD23C381C3AB}"/>
    <cellStyle name="Normal 5 3 5 7 4" xfId="19570" xr:uid="{9C0259B7-46F8-4E70-9BD7-50FC3F85FFAC}"/>
    <cellStyle name="Normal 5 3 5 7 5" xfId="11122" xr:uid="{0CA9A19A-46DB-49C3-806C-EEF127E27DD4}"/>
    <cellStyle name="Normal 5 3 5 8" xfId="4825" xr:uid="{00000000-0005-0000-0000-00008B1A0000}"/>
    <cellStyle name="Normal 5 3 5 8 2" xfId="30164" xr:uid="{9B4AFF45-B126-4C33-9689-AF4A46F9B51A}"/>
    <cellStyle name="Normal 5 3 5 8 3" xfId="21723" xr:uid="{3334ED0F-2A9F-409A-BB67-F72254CD1AA7}"/>
    <cellStyle name="Normal 5 3 5 8 4" xfId="13275" xr:uid="{0B9B2046-D027-48F0-81CD-81D561DC003E}"/>
    <cellStyle name="Normal 5 3 5 9" xfId="25946" xr:uid="{8A83CA18-A121-4E36-9542-8F7E66780B34}"/>
    <cellStyle name="Normal 5 3 6" xfId="455" xr:uid="{00000000-0005-0000-0000-00008C1A0000}"/>
    <cellStyle name="Normal 5 3 6 10" xfId="9059" xr:uid="{AAAA6824-C3F8-455E-A43E-A169C46A318A}"/>
    <cellStyle name="Normal 5 3 6 2" xfId="929" xr:uid="{00000000-0005-0000-0000-00008D1A0000}"/>
    <cellStyle name="Normal 5 3 6 2 2" xfId="3163" xr:uid="{00000000-0005-0000-0000-00008E1A0000}"/>
    <cellStyle name="Normal 5 3 6 2 2 2" xfId="7385" xr:uid="{00000000-0005-0000-0000-00008F1A0000}"/>
    <cellStyle name="Normal 5 3 6 2 2 2 2" xfId="32724" xr:uid="{6D112A88-A64E-4681-A787-BC2F520948D3}"/>
    <cellStyle name="Normal 5 3 6 2 2 2 3" xfId="24283" xr:uid="{5366C51C-16DE-4734-BE47-4D726FFDFFCF}"/>
    <cellStyle name="Normal 5 3 6 2 2 2 4" xfId="15835" xr:uid="{6C370F64-E700-44E4-A49F-86D0513C80A7}"/>
    <cellStyle name="Normal 5 3 6 2 2 3" xfId="28506" xr:uid="{3D59F170-3B05-4120-BBD1-E8DD5F1BD54B}"/>
    <cellStyle name="Normal 5 3 6 2 2 4" xfId="20065" xr:uid="{C518F1BF-FCB3-4BC1-AF75-3E66B5FF31AA}"/>
    <cellStyle name="Normal 5 3 6 2 2 5" xfId="11617" xr:uid="{4E162DA2-828F-4A51-AE6F-40324DBC5A62}"/>
    <cellStyle name="Normal 5 3 6 2 3" xfId="5240" xr:uid="{00000000-0005-0000-0000-0000901A0000}"/>
    <cellStyle name="Normal 5 3 6 2 3 2" xfId="30579" xr:uid="{FBD68C99-7DD0-484F-930E-1D0DA172A04A}"/>
    <cellStyle name="Normal 5 3 6 2 3 3" xfId="22138" xr:uid="{D3B89F8F-4003-4A80-9887-65B286303B52}"/>
    <cellStyle name="Normal 5 3 6 2 3 4" xfId="13690" xr:uid="{A80A0116-CC4A-45CD-8B79-6FA01E718D58}"/>
    <cellStyle name="Normal 5 3 6 2 4" xfId="26361" xr:uid="{BA5DC8A7-6806-4B5A-9466-5312641A6BB8}"/>
    <cellStyle name="Normal 5 3 6 2 5" xfId="17920" xr:uid="{1438D81B-B917-4C0D-AFA0-C97B729271A6}"/>
    <cellStyle name="Normal 5 3 6 2 6" xfId="9472" xr:uid="{B97245EB-D52E-4603-9EA6-5DAA5B31E241}"/>
    <cellStyle name="Normal 5 3 6 3" xfId="1346" xr:uid="{00000000-0005-0000-0000-0000911A0000}"/>
    <cellStyle name="Normal 5 3 6 3 2" xfId="3576" xr:uid="{00000000-0005-0000-0000-0000921A0000}"/>
    <cellStyle name="Normal 5 3 6 3 2 2" xfId="7798" xr:uid="{00000000-0005-0000-0000-0000931A0000}"/>
    <cellStyle name="Normal 5 3 6 3 2 2 2" xfId="33137" xr:uid="{6EF24BE3-FF52-45D3-9F9C-38A2DDBB8860}"/>
    <cellStyle name="Normal 5 3 6 3 2 2 3" xfId="24696" xr:uid="{48AEA431-175C-411B-B5D2-6C5402C56BDB}"/>
    <cellStyle name="Normal 5 3 6 3 2 2 4" xfId="16248" xr:uid="{CA01E015-9439-421D-88E6-19B59890AD13}"/>
    <cellStyle name="Normal 5 3 6 3 2 3" xfId="28919" xr:uid="{9E65B109-4994-4550-8361-1167F0F8A519}"/>
    <cellStyle name="Normal 5 3 6 3 2 4" xfId="20478" xr:uid="{D4FF6810-56F2-402A-9C39-48F2A4958824}"/>
    <cellStyle name="Normal 5 3 6 3 2 5" xfId="12030" xr:uid="{354BFBB2-33E1-47AB-90E9-2B64CAB63431}"/>
    <cellStyle name="Normal 5 3 6 3 3" xfId="5653" xr:uid="{00000000-0005-0000-0000-0000941A0000}"/>
    <cellStyle name="Normal 5 3 6 3 3 2" xfId="30992" xr:uid="{551F4E39-FE01-4516-BF71-B98643576898}"/>
    <cellStyle name="Normal 5 3 6 3 3 3" xfId="22551" xr:uid="{4830F8B2-A708-4A08-A51E-02D8A2F6B08F}"/>
    <cellStyle name="Normal 5 3 6 3 3 4" xfId="14103" xr:uid="{5FE78C80-F5FA-42F8-8A2A-62A13A44F381}"/>
    <cellStyle name="Normal 5 3 6 3 4" xfId="26774" xr:uid="{A3108819-2A06-4740-9F94-94D07AD69674}"/>
    <cellStyle name="Normal 5 3 6 3 5" xfId="18333" xr:uid="{7714EAAA-A678-41F1-8B9C-74CE05463EF2}"/>
    <cellStyle name="Normal 5 3 6 3 6" xfId="9885" xr:uid="{7856EB3F-52F6-470A-BBEB-1A18F96AF0B7}"/>
    <cellStyle name="Normal 5 3 6 4" xfId="1759" xr:uid="{00000000-0005-0000-0000-0000951A0000}"/>
    <cellStyle name="Normal 5 3 6 4 2" xfId="3989" xr:uid="{00000000-0005-0000-0000-0000961A0000}"/>
    <cellStyle name="Normal 5 3 6 4 2 2" xfId="8211" xr:uid="{00000000-0005-0000-0000-0000971A0000}"/>
    <cellStyle name="Normal 5 3 6 4 2 2 2" xfId="33550" xr:uid="{6D360ED5-39FD-453B-BFF8-8A391A3C3AB8}"/>
    <cellStyle name="Normal 5 3 6 4 2 2 3" xfId="25109" xr:uid="{74F8CBE8-CD9E-4E3D-AE7A-995DE497149C}"/>
    <cellStyle name="Normal 5 3 6 4 2 2 4" xfId="16661" xr:uid="{E9E5A1F8-FF61-4C2E-9BE6-6D4DB7346B7F}"/>
    <cellStyle name="Normal 5 3 6 4 2 3" xfId="29332" xr:uid="{2BB5CB4C-1B81-4577-8D1D-724E040BD5C9}"/>
    <cellStyle name="Normal 5 3 6 4 2 4" xfId="20891" xr:uid="{83E5600C-F887-45EB-855E-C5875B426FA5}"/>
    <cellStyle name="Normal 5 3 6 4 2 5" xfId="12443" xr:uid="{45AC6957-CD31-4B72-B0F7-985C49D2B674}"/>
    <cellStyle name="Normal 5 3 6 4 3" xfId="6066" xr:uid="{00000000-0005-0000-0000-0000981A0000}"/>
    <cellStyle name="Normal 5 3 6 4 3 2" xfId="31405" xr:uid="{D6136EB9-039A-484C-A057-619591D779DE}"/>
    <cellStyle name="Normal 5 3 6 4 3 3" xfId="22964" xr:uid="{1916153E-5C72-4F70-99BC-9AC2AE7F5C3A}"/>
    <cellStyle name="Normal 5 3 6 4 3 4" xfId="14516" xr:uid="{ECD02555-C975-47BD-A6F3-CBA1E4EDC9EF}"/>
    <cellStyle name="Normal 5 3 6 4 4" xfId="27187" xr:uid="{0E3F829C-0B17-41C8-97D1-46827199F210}"/>
    <cellStyle name="Normal 5 3 6 4 5" xfId="18746" xr:uid="{09EF5BD1-7E49-4593-B97C-6A3DE43ABED7}"/>
    <cellStyle name="Normal 5 3 6 4 6" xfId="10298" xr:uid="{77B6ADB5-30D5-4069-964C-A0BC8650A319}"/>
    <cellStyle name="Normal 5 3 6 5" xfId="2173" xr:uid="{00000000-0005-0000-0000-0000991A0000}"/>
    <cellStyle name="Normal 5 3 6 5 2" xfId="4402" xr:uid="{00000000-0005-0000-0000-00009A1A0000}"/>
    <cellStyle name="Normal 5 3 6 5 2 2" xfId="8624" xr:uid="{00000000-0005-0000-0000-00009B1A0000}"/>
    <cellStyle name="Normal 5 3 6 5 2 2 2" xfId="33963" xr:uid="{BB5FD695-9592-4EA7-BE14-DD784F67D21D}"/>
    <cellStyle name="Normal 5 3 6 5 2 2 3" xfId="25522" xr:uid="{3E26EC0E-D3CE-4BB2-82C9-507CF192142D}"/>
    <cellStyle name="Normal 5 3 6 5 2 2 4" xfId="17074" xr:uid="{D42DB90F-C6DD-46A2-84F0-E7B56A58951E}"/>
    <cellStyle name="Normal 5 3 6 5 2 3" xfId="29745" xr:uid="{FE6E499B-BBF2-4374-9E6C-4AC4BA11EEF7}"/>
    <cellStyle name="Normal 5 3 6 5 2 4" xfId="21304" xr:uid="{B03AC737-1292-4C48-A304-FA2A27CE351F}"/>
    <cellStyle name="Normal 5 3 6 5 2 5" xfId="12856" xr:uid="{5A95B9A5-C296-471A-B5DC-6D06B022417D}"/>
    <cellStyle name="Normal 5 3 6 5 3" xfId="6479" xr:uid="{00000000-0005-0000-0000-00009C1A0000}"/>
    <cellStyle name="Normal 5 3 6 5 3 2" xfId="31818" xr:uid="{E2D559CB-C5B1-4582-B628-0B01DB32D00F}"/>
    <cellStyle name="Normal 5 3 6 5 3 3" xfId="23377" xr:uid="{5DB5D680-486C-4EE1-AECB-363DA162FA22}"/>
    <cellStyle name="Normal 5 3 6 5 3 4" xfId="14929" xr:uid="{23A0FD21-B9DC-4FDF-9637-247C4B76B79C}"/>
    <cellStyle name="Normal 5 3 6 5 4" xfId="27600" xr:uid="{7FB6129C-2608-423B-9AF8-78990067EE55}"/>
    <cellStyle name="Normal 5 3 6 5 5" xfId="19159" xr:uid="{1CE26DAA-1B49-4230-930D-327D160F7870}"/>
    <cellStyle name="Normal 5 3 6 5 6" xfId="10711" xr:uid="{3FB44E2C-2CD6-44B1-9965-4545D09F3367}"/>
    <cellStyle name="Normal 5 3 6 6" xfId="2609" xr:uid="{00000000-0005-0000-0000-00009D1A0000}"/>
    <cellStyle name="Normal 5 3 6 6 2" xfId="6892" xr:uid="{00000000-0005-0000-0000-00009E1A0000}"/>
    <cellStyle name="Normal 5 3 6 6 2 2" xfId="32231" xr:uid="{C7B9FCFA-C404-412C-A9E7-A8EF2E6CA1F3}"/>
    <cellStyle name="Normal 5 3 6 6 2 3" xfId="23790" xr:uid="{9DC009CE-DB8A-459C-99C6-99CC6F093758}"/>
    <cellStyle name="Normal 5 3 6 6 2 4" xfId="15342" xr:uid="{3F300E5F-647B-407B-A865-244FD84B8379}"/>
    <cellStyle name="Normal 5 3 6 6 3" xfId="28013" xr:uid="{513FE6ED-6351-4124-A957-73AF07A024C1}"/>
    <cellStyle name="Normal 5 3 6 6 4" xfId="19572" xr:uid="{4951402B-24C4-4211-93B4-3FAD4B363798}"/>
    <cellStyle name="Normal 5 3 6 6 5" xfId="11124" xr:uid="{279051A4-A426-484A-871F-AC6288421928}"/>
    <cellStyle name="Normal 5 3 6 7" xfId="4827" xr:uid="{00000000-0005-0000-0000-00009F1A0000}"/>
    <cellStyle name="Normal 5 3 6 7 2" xfId="30166" xr:uid="{B9FEA104-0C45-4669-8408-DFD4060950FC}"/>
    <cellStyle name="Normal 5 3 6 7 3" xfId="21725" xr:uid="{D35223AE-D911-45BC-AB5B-0F41E2FABFF9}"/>
    <cellStyle name="Normal 5 3 6 7 4" xfId="13277" xr:uid="{B6BEBC7E-EF03-4CE8-8DE4-4D5887D73599}"/>
    <cellStyle name="Normal 5 3 6 8" xfId="25948" xr:uid="{61BA1843-DDD9-4914-BF2D-6C33A0F95016}"/>
    <cellStyle name="Normal 5 3 6 9" xfId="17507" xr:uid="{B302564D-4479-456C-84D0-74FAD7A79667}"/>
    <cellStyle name="Normal 5 3 7" xfId="913" xr:uid="{00000000-0005-0000-0000-0000A01A0000}"/>
    <cellStyle name="Normal 5 3 7 2" xfId="3148" xr:uid="{00000000-0005-0000-0000-0000A11A0000}"/>
    <cellStyle name="Normal 5 3 7 2 2" xfId="7370" xr:uid="{00000000-0005-0000-0000-0000A21A0000}"/>
    <cellStyle name="Normal 5 3 7 2 2 2" xfId="32709" xr:uid="{3873D9AA-7385-4DCA-BEB8-44AAB38F735A}"/>
    <cellStyle name="Normal 5 3 7 2 2 3" xfId="24268" xr:uid="{C457E29E-AC1B-4A93-946D-EDAC77177EC2}"/>
    <cellStyle name="Normal 5 3 7 2 2 4" xfId="15820" xr:uid="{3A07605A-C93D-49A6-97F6-A910231A7684}"/>
    <cellStyle name="Normal 5 3 7 2 3" xfId="28491" xr:uid="{F81134D8-8070-4AD0-A77C-A4DC30627458}"/>
    <cellStyle name="Normal 5 3 7 2 4" xfId="20050" xr:uid="{F6367168-AB29-4B7D-9FDE-D5874DB178FF}"/>
    <cellStyle name="Normal 5 3 7 2 5" xfId="11602" xr:uid="{8B98D236-2F90-4C63-B35E-1BFEF88EBEBE}"/>
    <cellStyle name="Normal 5 3 7 3" xfId="5225" xr:uid="{00000000-0005-0000-0000-0000A31A0000}"/>
    <cellStyle name="Normal 5 3 7 3 2" xfId="30564" xr:uid="{5E017471-790D-4CBA-A78D-0B4B1B2E4036}"/>
    <cellStyle name="Normal 5 3 7 3 3" xfId="22123" xr:uid="{285CF24B-2516-4CF1-A661-F0F4FADAB331}"/>
    <cellStyle name="Normal 5 3 7 3 4" xfId="13675" xr:uid="{6E5293BB-462F-4AE0-8888-AD1B93E6F175}"/>
    <cellStyle name="Normal 5 3 7 4" xfId="26346" xr:uid="{16566E30-0484-4B70-B63C-DD59EA7B499B}"/>
    <cellStyle name="Normal 5 3 7 5" xfId="17905" xr:uid="{43B6705D-15E8-48DB-A89E-4413081F7234}"/>
    <cellStyle name="Normal 5 3 7 6" xfId="9457" xr:uid="{97ED3E0F-FD95-475A-B22D-C06F6FD27BFE}"/>
    <cellStyle name="Normal 5 3 8" xfId="1331" xr:uid="{00000000-0005-0000-0000-0000A41A0000}"/>
    <cellStyle name="Normal 5 3 8 2" xfId="3561" xr:uid="{00000000-0005-0000-0000-0000A51A0000}"/>
    <cellStyle name="Normal 5 3 8 2 2" xfId="7783" xr:uid="{00000000-0005-0000-0000-0000A61A0000}"/>
    <cellStyle name="Normal 5 3 8 2 2 2" xfId="33122" xr:uid="{B9F94485-EEB2-4951-80C1-86DF173F98DF}"/>
    <cellStyle name="Normal 5 3 8 2 2 3" xfId="24681" xr:uid="{F44F3999-986E-400B-8445-3ED2BDCD651D}"/>
    <cellStyle name="Normal 5 3 8 2 2 4" xfId="16233" xr:uid="{52DBDAC0-550A-4D44-B7CA-19854BB57B41}"/>
    <cellStyle name="Normal 5 3 8 2 3" xfId="28904" xr:uid="{E65185AD-3B9A-4E55-B0E7-6059F0FF5136}"/>
    <cellStyle name="Normal 5 3 8 2 4" xfId="20463" xr:uid="{ED67CE33-72B6-4217-B81D-FFB257AF93C1}"/>
    <cellStyle name="Normal 5 3 8 2 5" xfId="12015" xr:uid="{08F84546-C163-4756-9FC8-6F38BB2DF951}"/>
    <cellStyle name="Normal 5 3 8 3" xfId="5638" xr:uid="{00000000-0005-0000-0000-0000A71A0000}"/>
    <cellStyle name="Normal 5 3 8 3 2" xfId="30977" xr:uid="{2D13FC67-16B8-4226-ACB7-2B6B1D9B78DC}"/>
    <cellStyle name="Normal 5 3 8 3 3" xfId="22536" xr:uid="{FEAC510D-7AF1-4DE5-8277-D7798071EA92}"/>
    <cellStyle name="Normal 5 3 8 3 4" xfId="14088" xr:uid="{CCDC81CE-462A-4787-9A0E-A21F17BBE7EF}"/>
    <cellStyle name="Normal 5 3 8 4" xfId="26759" xr:uid="{6BBFA0DC-4208-461D-A368-F427FAEB0693}"/>
    <cellStyle name="Normal 5 3 8 5" xfId="18318" xr:uid="{149BDFE4-DDC4-4BCA-94DD-F32874F1E973}"/>
    <cellStyle name="Normal 5 3 8 6" xfId="9870" xr:uid="{E084CCD9-756D-4C69-8C90-974E8D7EDFA6}"/>
    <cellStyle name="Normal 5 3 9" xfId="1744" xr:uid="{00000000-0005-0000-0000-0000A81A0000}"/>
    <cellStyle name="Normal 5 3 9 2" xfId="3974" xr:uid="{00000000-0005-0000-0000-0000A91A0000}"/>
    <cellStyle name="Normal 5 3 9 2 2" xfId="8196" xr:uid="{00000000-0005-0000-0000-0000AA1A0000}"/>
    <cellStyle name="Normal 5 3 9 2 2 2" xfId="33535" xr:uid="{7FC711F4-5B47-4400-99D2-B0FC82758FD5}"/>
    <cellStyle name="Normal 5 3 9 2 2 3" xfId="25094" xr:uid="{D25D4183-5360-4E7B-B468-1A3E57362CC3}"/>
    <cellStyle name="Normal 5 3 9 2 2 4" xfId="16646" xr:uid="{B77B245E-0B1E-4261-BCB1-62DEB66D8EE4}"/>
    <cellStyle name="Normal 5 3 9 2 3" xfId="29317" xr:uid="{E0FAF53C-9415-4D19-8439-AE739698A40C}"/>
    <cellStyle name="Normal 5 3 9 2 4" xfId="20876" xr:uid="{4FE50398-5F56-4D9F-8EC1-69F982FE3E7B}"/>
    <cellStyle name="Normal 5 3 9 2 5" xfId="12428" xr:uid="{02D06864-DA95-48A8-859D-909EFBFA6BB0}"/>
    <cellStyle name="Normal 5 3 9 3" xfId="6051" xr:uid="{00000000-0005-0000-0000-0000AB1A0000}"/>
    <cellStyle name="Normal 5 3 9 3 2" xfId="31390" xr:uid="{7C9246BD-9E94-48B1-9A05-792864E93522}"/>
    <cellStyle name="Normal 5 3 9 3 3" xfId="22949" xr:uid="{D065C521-98F3-4BB5-8B26-435897B8D0E8}"/>
    <cellStyle name="Normal 5 3 9 3 4" xfId="14501" xr:uid="{BE41C00A-4959-43BE-A856-8876FC3AD69F}"/>
    <cellStyle name="Normal 5 3 9 4" xfId="27172" xr:uid="{21413766-22C5-48AF-950E-B79873500104}"/>
    <cellStyle name="Normal 5 3 9 5" xfId="18731" xr:uid="{3037BD79-7CDE-4F53-AD4B-A5C9EC069DCD}"/>
    <cellStyle name="Normal 5 3 9 6" xfId="10283" xr:uid="{6EC77490-0ED1-4B4D-BD94-42EE7CA87F8E}"/>
    <cellStyle name="Normal 5 4" xfId="456" xr:uid="{00000000-0005-0000-0000-0000AC1A0000}"/>
    <cellStyle name="Normal 5 4 10" xfId="4828" xr:uid="{00000000-0005-0000-0000-0000AD1A0000}"/>
    <cellStyle name="Normal 5 4 10 2" xfId="30167" xr:uid="{B0175E4A-7919-4646-9EA8-0450A62F9A83}"/>
    <cellStyle name="Normal 5 4 10 3" xfId="21726" xr:uid="{E85EE919-3CB5-4AA6-96A5-1C73064F4C06}"/>
    <cellStyle name="Normal 5 4 10 4" xfId="13278" xr:uid="{56712F05-851D-4B4B-856E-42CB7EC844A5}"/>
    <cellStyle name="Normal 5 4 11" xfId="25949" xr:uid="{AB08782C-1E1F-4F79-9EAA-A1520B007F41}"/>
    <cellStyle name="Normal 5 4 12" xfId="17508" xr:uid="{3E40BA3A-A025-417A-98F5-DCD8D354DE1F}"/>
    <cellStyle name="Normal 5 4 13" xfId="9060" xr:uid="{CD5AD29B-35F4-4B74-9D21-91A6DE4B70AD}"/>
    <cellStyle name="Normal 5 4 2" xfId="457" xr:uid="{00000000-0005-0000-0000-0000AE1A0000}"/>
    <cellStyle name="Normal 5 4 2 10" xfId="25950" xr:uid="{79114763-21FE-4667-A758-B54BDCE42FBD}"/>
    <cellStyle name="Normal 5 4 2 11" xfId="17509" xr:uid="{456DB0E7-DB14-46DF-AB04-6BF73EBF4615}"/>
    <cellStyle name="Normal 5 4 2 12" xfId="9061" xr:uid="{520297DB-902A-47A6-8D5B-C27165491327}"/>
    <cellStyle name="Normal 5 4 2 2" xfId="458" xr:uid="{00000000-0005-0000-0000-0000AF1A0000}"/>
    <cellStyle name="Normal 5 4 2 2 10" xfId="17510" xr:uid="{FA27A20B-4A94-439D-B269-129786FED9E1}"/>
    <cellStyle name="Normal 5 4 2 2 11" xfId="9062" xr:uid="{5A050891-1CEA-4E1F-BFD2-2FBD96C42BB6}"/>
    <cellStyle name="Normal 5 4 2 2 2" xfId="459" xr:uid="{00000000-0005-0000-0000-0000B01A0000}"/>
    <cellStyle name="Normal 5 4 2 2 2 10" xfId="9063" xr:uid="{FCCBC44D-2BEB-4724-A776-534B49158728}"/>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32728" xr:uid="{2D26DF9E-6640-4470-B011-66842104AFCB}"/>
    <cellStyle name="Normal 5 4 2 2 2 2 2 2 3" xfId="24287" xr:uid="{5526940C-3D28-4316-8E35-0712180FDD46}"/>
    <cellStyle name="Normal 5 4 2 2 2 2 2 2 4" xfId="15839" xr:uid="{C1002B7A-7898-46A9-8A75-523D908370D5}"/>
    <cellStyle name="Normal 5 4 2 2 2 2 2 3" xfId="28510" xr:uid="{BF8F0395-4D88-481A-981F-017E5CA22B8E}"/>
    <cellStyle name="Normal 5 4 2 2 2 2 2 4" xfId="20069" xr:uid="{158B7CA8-015B-4BBC-B80F-BC58E3EB27BE}"/>
    <cellStyle name="Normal 5 4 2 2 2 2 2 5" xfId="11621" xr:uid="{FC1DB4AB-1A12-45D7-859D-F159E56500A0}"/>
    <cellStyle name="Normal 5 4 2 2 2 2 3" xfId="5244" xr:uid="{00000000-0005-0000-0000-0000B41A0000}"/>
    <cellStyle name="Normal 5 4 2 2 2 2 3 2" xfId="30583" xr:uid="{8AC79E0C-4E0E-4EE2-8346-C79FFBD024CC}"/>
    <cellStyle name="Normal 5 4 2 2 2 2 3 3" xfId="22142" xr:uid="{D8322B19-1A00-411B-B109-F6BFEB86704D}"/>
    <cellStyle name="Normal 5 4 2 2 2 2 3 4" xfId="13694" xr:uid="{E92A99E0-74A9-404D-93B8-0B92BCAAF3E4}"/>
    <cellStyle name="Normal 5 4 2 2 2 2 4" xfId="26365" xr:uid="{B3E15A05-3355-47BC-AE36-5CA53AF12708}"/>
    <cellStyle name="Normal 5 4 2 2 2 2 5" xfId="17924" xr:uid="{2A538FCF-303B-4652-B86C-26274971BCE8}"/>
    <cellStyle name="Normal 5 4 2 2 2 2 6" xfId="9476" xr:uid="{057A752A-5A91-4314-9450-8F9F36219512}"/>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33141" xr:uid="{2FE5D0CB-A953-4D3F-828D-287B400BFB7F}"/>
    <cellStyle name="Normal 5 4 2 2 2 3 2 2 3" xfId="24700" xr:uid="{613CA430-5926-4BEF-A7AF-41FDF3F7F9E4}"/>
    <cellStyle name="Normal 5 4 2 2 2 3 2 2 4" xfId="16252" xr:uid="{FFF4AEDB-0EA7-4283-B396-B1A3A9EE90CD}"/>
    <cellStyle name="Normal 5 4 2 2 2 3 2 3" xfId="28923" xr:uid="{7FC980A3-0C30-439C-9335-EDA2E95E7087}"/>
    <cellStyle name="Normal 5 4 2 2 2 3 2 4" xfId="20482" xr:uid="{0F0338D3-C6B3-4C3B-A8BD-935426BEADCD}"/>
    <cellStyle name="Normal 5 4 2 2 2 3 2 5" xfId="12034" xr:uid="{22C31D94-A3AC-4A09-AFC8-8FEA798D13F9}"/>
    <cellStyle name="Normal 5 4 2 2 2 3 3" xfId="5657" xr:uid="{00000000-0005-0000-0000-0000B81A0000}"/>
    <cellStyle name="Normal 5 4 2 2 2 3 3 2" xfId="30996" xr:uid="{B449B27C-1AB9-474F-9CA9-FA740D34B966}"/>
    <cellStyle name="Normal 5 4 2 2 2 3 3 3" xfId="22555" xr:uid="{F225FB1A-0FA9-46B6-9289-B6C49506D4D2}"/>
    <cellStyle name="Normal 5 4 2 2 2 3 3 4" xfId="14107" xr:uid="{47911BF8-B0D8-4D89-B3AA-B397ECBE71D5}"/>
    <cellStyle name="Normal 5 4 2 2 2 3 4" xfId="26778" xr:uid="{3C0B949D-623A-4AAE-B5A5-07BD647D432C}"/>
    <cellStyle name="Normal 5 4 2 2 2 3 5" xfId="18337" xr:uid="{964E2853-7DC0-4F07-8879-9D5B9EB5E99C}"/>
    <cellStyle name="Normal 5 4 2 2 2 3 6" xfId="9889" xr:uid="{E8F4B2C4-9F15-499F-B2DF-D7627DBEC4D1}"/>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33554" xr:uid="{60A426E2-DD2D-4306-B929-60AA68C79C88}"/>
    <cellStyle name="Normal 5 4 2 2 2 4 2 2 3" xfId="25113" xr:uid="{3C0BB057-9907-4B67-B803-65F2168AAE91}"/>
    <cellStyle name="Normal 5 4 2 2 2 4 2 2 4" xfId="16665" xr:uid="{BB7AE492-7F9D-4F16-BB1B-343FE8359F9D}"/>
    <cellStyle name="Normal 5 4 2 2 2 4 2 3" xfId="29336" xr:uid="{EAE40E20-9132-4EF8-B1F5-CED740D40ED8}"/>
    <cellStyle name="Normal 5 4 2 2 2 4 2 4" xfId="20895" xr:uid="{1367B7E8-D460-4F75-82B2-3CB28A080C8D}"/>
    <cellStyle name="Normal 5 4 2 2 2 4 2 5" xfId="12447" xr:uid="{648374EB-B4AC-4A3D-B01A-1752F0AC06FA}"/>
    <cellStyle name="Normal 5 4 2 2 2 4 3" xfId="6070" xr:uid="{00000000-0005-0000-0000-0000BC1A0000}"/>
    <cellStyle name="Normal 5 4 2 2 2 4 3 2" xfId="31409" xr:uid="{4B745644-B466-4F80-93BA-3E1B74BB3F17}"/>
    <cellStyle name="Normal 5 4 2 2 2 4 3 3" xfId="22968" xr:uid="{2162FB56-C87C-444D-BB0C-4B7028111628}"/>
    <cellStyle name="Normal 5 4 2 2 2 4 3 4" xfId="14520" xr:uid="{D3600B8F-58E9-4F76-806C-23BCB5CE7596}"/>
    <cellStyle name="Normal 5 4 2 2 2 4 4" xfId="27191" xr:uid="{353DCFA3-6F74-4A1D-8518-1DEADFD2488E}"/>
    <cellStyle name="Normal 5 4 2 2 2 4 5" xfId="18750" xr:uid="{48F45896-09AB-4E6B-AD27-D8E4B396B633}"/>
    <cellStyle name="Normal 5 4 2 2 2 4 6" xfId="10302" xr:uid="{411C1EFB-8884-44DA-9F8D-1E414D76786B}"/>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33967" xr:uid="{3A9DC34A-9ECD-4880-B0F3-5C7D77950083}"/>
    <cellStyle name="Normal 5 4 2 2 2 5 2 2 3" xfId="25526" xr:uid="{D5A0145C-8434-45A7-8F43-92CC4452AAEF}"/>
    <cellStyle name="Normal 5 4 2 2 2 5 2 2 4" xfId="17078" xr:uid="{B869C15C-C49C-4CC8-8D36-BD14A0D04980}"/>
    <cellStyle name="Normal 5 4 2 2 2 5 2 3" xfId="29749" xr:uid="{5B53FABF-4406-4111-8B0E-3E7555A2A4ED}"/>
    <cellStyle name="Normal 5 4 2 2 2 5 2 4" xfId="21308" xr:uid="{F85771CC-537E-411F-ABB7-18025E6F86B5}"/>
    <cellStyle name="Normal 5 4 2 2 2 5 2 5" xfId="12860" xr:uid="{B023E145-C79F-430A-99DA-3D2DA5B0E828}"/>
    <cellStyle name="Normal 5 4 2 2 2 5 3" xfId="6483" xr:uid="{00000000-0005-0000-0000-0000C01A0000}"/>
    <cellStyle name="Normal 5 4 2 2 2 5 3 2" xfId="31822" xr:uid="{7C3A55A1-6C85-47A5-AFA3-A697BC7679E1}"/>
    <cellStyle name="Normal 5 4 2 2 2 5 3 3" xfId="23381" xr:uid="{E88C71F3-308F-4BC9-B6DF-4B4527804B3B}"/>
    <cellStyle name="Normal 5 4 2 2 2 5 3 4" xfId="14933" xr:uid="{B14455DB-0833-4F8B-B05C-F0CA80AE9897}"/>
    <cellStyle name="Normal 5 4 2 2 2 5 4" xfId="27604" xr:uid="{FEABD352-EF77-43C9-A1A2-AEABDD537759}"/>
    <cellStyle name="Normal 5 4 2 2 2 5 5" xfId="19163" xr:uid="{C6B50425-5F98-4DDA-A48A-2EA5B583AE3E}"/>
    <cellStyle name="Normal 5 4 2 2 2 5 6" xfId="10715" xr:uid="{22B004F6-6E8F-4DD8-A305-09F859A4DFAB}"/>
    <cellStyle name="Normal 5 4 2 2 2 6" xfId="2613" xr:uid="{00000000-0005-0000-0000-0000C11A0000}"/>
    <cellStyle name="Normal 5 4 2 2 2 6 2" xfId="6896" xr:uid="{00000000-0005-0000-0000-0000C21A0000}"/>
    <cellStyle name="Normal 5 4 2 2 2 6 2 2" xfId="32235" xr:uid="{3F2C5482-BACD-4187-857E-D9DF0A9B3A0B}"/>
    <cellStyle name="Normal 5 4 2 2 2 6 2 3" xfId="23794" xr:uid="{6FAAEC9F-89E5-41DF-AB4A-C6527E15A2F7}"/>
    <cellStyle name="Normal 5 4 2 2 2 6 2 4" xfId="15346" xr:uid="{BFF9C2E4-D871-49DA-AB91-5741A7830D35}"/>
    <cellStyle name="Normal 5 4 2 2 2 6 3" xfId="28017" xr:uid="{D2A92B2F-0E1B-499A-9DB4-764A27E85DAE}"/>
    <cellStyle name="Normal 5 4 2 2 2 6 4" xfId="19576" xr:uid="{5B865D4E-1754-47C6-AF1F-2E4A14ADFD5D}"/>
    <cellStyle name="Normal 5 4 2 2 2 6 5" xfId="11128" xr:uid="{3602E99D-C42F-4466-8A03-A87A98A093FD}"/>
    <cellStyle name="Normal 5 4 2 2 2 7" xfId="4831" xr:uid="{00000000-0005-0000-0000-0000C31A0000}"/>
    <cellStyle name="Normal 5 4 2 2 2 7 2" xfId="30170" xr:uid="{B8013BC9-77F5-48FC-AD3D-EFEE70955BA2}"/>
    <cellStyle name="Normal 5 4 2 2 2 7 3" xfId="21729" xr:uid="{4EA0F64B-42B4-43E5-9173-C459E2D9D049}"/>
    <cellStyle name="Normal 5 4 2 2 2 7 4" xfId="13281" xr:uid="{36FE2FF4-DA68-47F0-89DC-66C5F31C2D1F}"/>
    <cellStyle name="Normal 5 4 2 2 2 8" xfId="25952" xr:uid="{333C9F93-7C0C-401A-B37C-988FFDDFBB37}"/>
    <cellStyle name="Normal 5 4 2 2 2 9" xfId="17511" xr:uid="{4888675F-6016-4D61-9E63-AF1C4F0B75FF}"/>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32727" xr:uid="{D456D04F-DBB1-477B-BACA-15F472CFC69A}"/>
    <cellStyle name="Normal 5 4 2 2 3 2 2 3" xfId="24286" xr:uid="{C440D855-5F64-4F53-A3E8-CDCBD03B3661}"/>
    <cellStyle name="Normal 5 4 2 2 3 2 2 4" xfId="15838" xr:uid="{27840C16-0C3C-4761-A0E2-935E24F00410}"/>
    <cellStyle name="Normal 5 4 2 2 3 2 3" xfId="28509" xr:uid="{21B3B146-B9D3-4B24-AC87-2CD9132A7955}"/>
    <cellStyle name="Normal 5 4 2 2 3 2 4" xfId="20068" xr:uid="{AAE92AB3-5B7A-4F88-A9DA-60DDEC690E86}"/>
    <cellStyle name="Normal 5 4 2 2 3 2 5" xfId="11620" xr:uid="{75F47DA5-D233-451B-902B-E77E87C24FD6}"/>
    <cellStyle name="Normal 5 4 2 2 3 3" xfId="5243" xr:uid="{00000000-0005-0000-0000-0000C71A0000}"/>
    <cellStyle name="Normal 5 4 2 2 3 3 2" xfId="30582" xr:uid="{07EECE36-51FB-48A7-A697-361EE8E28F47}"/>
    <cellStyle name="Normal 5 4 2 2 3 3 3" xfId="22141" xr:uid="{12E47B41-5DF7-4E53-872F-11856F8E327E}"/>
    <cellStyle name="Normal 5 4 2 2 3 3 4" xfId="13693" xr:uid="{390BB99F-15D3-42BE-96FE-57630A87F6D4}"/>
    <cellStyle name="Normal 5 4 2 2 3 4" xfId="26364" xr:uid="{60015701-1200-4BE9-B55B-C5DDD13AE743}"/>
    <cellStyle name="Normal 5 4 2 2 3 5" xfId="17923" xr:uid="{EBA6DE76-DF3B-4A2C-A7FB-59B15342FF75}"/>
    <cellStyle name="Normal 5 4 2 2 3 6" xfId="9475" xr:uid="{87028D9F-68BA-49DE-83B9-032CE875ACD7}"/>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33140" xr:uid="{25DED548-49E3-4560-AADB-B816742283D8}"/>
    <cellStyle name="Normal 5 4 2 2 4 2 2 3" xfId="24699" xr:uid="{D427B8CF-4792-4F90-8042-9240D2A65F4C}"/>
    <cellStyle name="Normal 5 4 2 2 4 2 2 4" xfId="16251" xr:uid="{CA81CE2F-53A1-419F-8230-666C6879B602}"/>
    <cellStyle name="Normal 5 4 2 2 4 2 3" xfId="28922" xr:uid="{D17E6AA8-EF4D-484B-85ED-684031FDA8A9}"/>
    <cellStyle name="Normal 5 4 2 2 4 2 4" xfId="20481" xr:uid="{4F0530EA-6A5F-4063-9773-2F82241CE4A8}"/>
    <cellStyle name="Normal 5 4 2 2 4 2 5" xfId="12033" xr:uid="{E74AD6CF-07DC-4AFF-BAA1-847E567F59A3}"/>
    <cellStyle name="Normal 5 4 2 2 4 3" xfId="5656" xr:uid="{00000000-0005-0000-0000-0000CB1A0000}"/>
    <cellStyle name="Normal 5 4 2 2 4 3 2" xfId="30995" xr:uid="{9E0C3593-5E2B-4857-9F27-91567BCEC919}"/>
    <cellStyle name="Normal 5 4 2 2 4 3 3" xfId="22554" xr:uid="{CB979283-E4A9-4BD7-B552-FD7B2C893ECF}"/>
    <cellStyle name="Normal 5 4 2 2 4 3 4" xfId="14106" xr:uid="{1090DDB2-3E8F-42E0-A70E-39AE27E80CF4}"/>
    <cellStyle name="Normal 5 4 2 2 4 4" xfId="26777" xr:uid="{6B807848-CC69-44C6-8C5A-20C964309082}"/>
    <cellStyle name="Normal 5 4 2 2 4 5" xfId="18336" xr:uid="{8E6E2693-0A9D-4475-8846-5A7F67CD47FC}"/>
    <cellStyle name="Normal 5 4 2 2 4 6" xfId="9888" xr:uid="{B6C47F39-990E-493F-90DC-59BE4E2E88DC}"/>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33553" xr:uid="{D0FDC8EC-CF84-424D-A087-6A7057CE778B}"/>
    <cellStyle name="Normal 5 4 2 2 5 2 2 3" xfId="25112" xr:uid="{335857E6-1E64-4D41-BC0F-EFBD8CA45FE9}"/>
    <cellStyle name="Normal 5 4 2 2 5 2 2 4" xfId="16664" xr:uid="{9B67DF3A-160E-43E2-AD18-323E555DC8DA}"/>
    <cellStyle name="Normal 5 4 2 2 5 2 3" xfId="29335" xr:uid="{04914EAB-033B-43D4-9210-B493A4FA97BA}"/>
    <cellStyle name="Normal 5 4 2 2 5 2 4" xfId="20894" xr:uid="{222E6331-284F-4B4C-9FD8-81FD67F897E4}"/>
    <cellStyle name="Normal 5 4 2 2 5 2 5" xfId="12446" xr:uid="{B8DDCBDB-DC8A-4F40-A10A-7D0CA19A3104}"/>
    <cellStyle name="Normal 5 4 2 2 5 3" xfId="6069" xr:uid="{00000000-0005-0000-0000-0000CF1A0000}"/>
    <cellStyle name="Normal 5 4 2 2 5 3 2" xfId="31408" xr:uid="{04551CF6-D5E6-4805-AE28-1FF15AEC64A3}"/>
    <cellStyle name="Normal 5 4 2 2 5 3 3" xfId="22967" xr:uid="{123B5A76-990D-47C1-8D8B-05DBC15E83B9}"/>
    <cellStyle name="Normal 5 4 2 2 5 3 4" xfId="14519" xr:uid="{693E23BC-B84D-4EEF-ACC0-139726CD1EEE}"/>
    <cellStyle name="Normal 5 4 2 2 5 4" xfId="27190" xr:uid="{DB6F5602-61FA-48B5-A5A0-0D8D06D89C97}"/>
    <cellStyle name="Normal 5 4 2 2 5 5" xfId="18749" xr:uid="{15375F42-BBE7-4FCC-B51D-F1D0C22E61F8}"/>
    <cellStyle name="Normal 5 4 2 2 5 6" xfId="10301" xr:uid="{367AB630-6D05-4C74-9ECC-54ABF10E7438}"/>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33966" xr:uid="{CEBB52B7-1515-4B46-9540-56E2E5DCB3B5}"/>
    <cellStyle name="Normal 5 4 2 2 6 2 2 3" xfId="25525" xr:uid="{4A7FF213-45EA-4F7B-B3EA-6F86984741C9}"/>
    <cellStyle name="Normal 5 4 2 2 6 2 2 4" xfId="17077" xr:uid="{DC7DF4D9-DB1D-4596-A79C-754FA245B498}"/>
    <cellStyle name="Normal 5 4 2 2 6 2 3" xfId="29748" xr:uid="{B253B27B-4FDB-4D58-AFFF-183F1B238D61}"/>
    <cellStyle name="Normal 5 4 2 2 6 2 4" xfId="21307" xr:uid="{C215682B-ADD6-4AF4-B48F-F60A153453CB}"/>
    <cellStyle name="Normal 5 4 2 2 6 2 5" xfId="12859" xr:uid="{5CEE2E58-122D-4B5C-AE44-9F9120E87E61}"/>
    <cellStyle name="Normal 5 4 2 2 6 3" xfId="6482" xr:uid="{00000000-0005-0000-0000-0000D31A0000}"/>
    <cellStyle name="Normal 5 4 2 2 6 3 2" xfId="31821" xr:uid="{99ABB409-179C-4894-8E05-A3AF404EC0F0}"/>
    <cellStyle name="Normal 5 4 2 2 6 3 3" xfId="23380" xr:uid="{0EB8BE96-111C-4228-A471-638097FD7467}"/>
    <cellStyle name="Normal 5 4 2 2 6 3 4" xfId="14932" xr:uid="{F48F7028-0AB1-451F-8C1C-C294F8AF759B}"/>
    <cellStyle name="Normal 5 4 2 2 6 4" xfId="27603" xr:uid="{E5F04319-420B-4CC7-8DDE-9ACF42CF46E8}"/>
    <cellStyle name="Normal 5 4 2 2 6 5" xfId="19162" xr:uid="{E3D5D889-7270-4AB9-9B64-89EBBB7C6919}"/>
    <cellStyle name="Normal 5 4 2 2 6 6" xfId="10714" xr:uid="{A277C620-9942-44DB-B2A4-625B6D36FF01}"/>
    <cellStyle name="Normal 5 4 2 2 7" xfId="2612" xr:uid="{00000000-0005-0000-0000-0000D41A0000}"/>
    <cellStyle name="Normal 5 4 2 2 7 2" xfId="6895" xr:uid="{00000000-0005-0000-0000-0000D51A0000}"/>
    <cellStyle name="Normal 5 4 2 2 7 2 2" xfId="32234" xr:uid="{FAF0E67D-27DD-4636-B9B0-F8EBEEDAAA97}"/>
    <cellStyle name="Normal 5 4 2 2 7 2 3" xfId="23793" xr:uid="{7184B03B-79CF-4CCB-8BB1-D64A2CB6273C}"/>
    <cellStyle name="Normal 5 4 2 2 7 2 4" xfId="15345" xr:uid="{96B3C935-E1D6-4F96-8084-AFC5448B8076}"/>
    <cellStyle name="Normal 5 4 2 2 7 3" xfId="28016" xr:uid="{676CE30F-267A-4826-AED4-BDD14100DAA3}"/>
    <cellStyle name="Normal 5 4 2 2 7 4" xfId="19575" xr:uid="{5E562C61-F881-40A0-85C3-95FD8AB56FA7}"/>
    <cellStyle name="Normal 5 4 2 2 7 5" xfId="11127" xr:uid="{927E4625-B047-4D26-BF5A-3E46E7F4968D}"/>
    <cellStyle name="Normal 5 4 2 2 8" xfId="4830" xr:uid="{00000000-0005-0000-0000-0000D61A0000}"/>
    <cellStyle name="Normal 5 4 2 2 8 2" xfId="30169" xr:uid="{9AFD3144-35D7-42A0-ACB8-7F75D41DA15E}"/>
    <cellStyle name="Normal 5 4 2 2 8 3" xfId="21728" xr:uid="{80707F27-ED03-4509-9B28-4C903274040E}"/>
    <cellStyle name="Normal 5 4 2 2 8 4" xfId="13280" xr:uid="{2F98CCAE-721B-43B5-A3D1-1E7B83D6CD88}"/>
    <cellStyle name="Normal 5 4 2 2 9" xfId="25951" xr:uid="{00B9362D-8245-495A-A778-67C645A81A7E}"/>
    <cellStyle name="Normal 5 4 2 3" xfId="460" xr:uid="{00000000-0005-0000-0000-0000D71A0000}"/>
    <cellStyle name="Normal 5 4 2 3 10" xfId="9064" xr:uid="{571E531B-C4A6-4C6F-AB4D-C250F81141A3}"/>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32729" xr:uid="{A7771265-4853-4119-B8A4-E70F75B3B1D6}"/>
    <cellStyle name="Normal 5 4 2 3 2 2 2 3" xfId="24288" xr:uid="{E414D1A3-1CE5-483E-A674-804CA02F14F9}"/>
    <cellStyle name="Normal 5 4 2 3 2 2 2 4" xfId="15840" xr:uid="{AEF2D6A7-A87F-4AE0-BE42-B5CFEE1346BC}"/>
    <cellStyle name="Normal 5 4 2 3 2 2 3" xfId="28511" xr:uid="{89050519-9459-4361-9370-20E4785E4E43}"/>
    <cellStyle name="Normal 5 4 2 3 2 2 4" xfId="20070" xr:uid="{1C352EE7-7E0E-40B3-9EF4-D273641DE494}"/>
    <cellStyle name="Normal 5 4 2 3 2 2 5" xfId="11622" xr:uid="{C0E95701-69EA-44C5-A706-99ED11454D39}"/>
    <cellStyle name="Normal 5 4 2 3 2 3" xfId="5245" xr:uid="{00000000-0005-0000-0000-0000DB1A0000}"/>
    <cellStyle name="Normal 5 4 2 3 2 3 2" xfId="30584" xr:uid="{F77F4886-E313-41C1-A20C-EA873EBA0428}"/>
    <cellStyle name="Normal 5 4 2 3 2 3 3" xfId="22143" xr:uid="{C9F61CAD-9E51-478F-BDCE-8A55DB54E1C7}"/>
    <cellStyle name="Normal 5 4 2 3 2 3 4" xfId="13695" xr:uid="{B4EA133C-CD8F-4FAD-AAA0-800C1ED107D9}"/>
    <cellStyle name="Normal 5 4 2 3 2 4" xfId="26366" xr:uid="{9239954B-89ED-41D6-A10B-20CF5D8BAE1E}"/>
    <cellStyle name="Normal 5 4 2 3 2 5" xfId="17925" xr:uid="{D4001316-E4E5-4956-9C30-1E32A41EA4D4}"/>
    <cellStyle name="Normal 5 4 2 3 2 6" xfId="9477" xr:uid="{AFD1C207-9C25-4B07-BFDB-1434B45859E4}"/>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33142" xr:uid="{A54AC3B9-7ED5-4E47-B09A-5F412B6B251C}"/>
    <cellStyle name="Normal 5 4 2 3 3 2 2 3" xfId="24701" xr:uid="{9FB71ADF-A108-438A-81B4-99C7A448EC4E}"/>
    <cellStyle name="Normal 5 4 2 3 3 2 2 4" xfId="16253" xr:uid="{6375C49E-7AF2-4DF1-A0CB-E7441707C33B}"/>
    <cellStyle name="Normal 5 4 2 3 3 2 3" xfId="28924" xr:uid="{C9576C96-EFA6-4FDE-9642-0C0645EADA67}"/>
    <cellStyle name="Normal 5 4 2 3 3 2 4" xfId="20483" xr:uid="{312F462D-5BA9-454A-ADB2-180B14BE775A}"/>
    <cellStyle name="Normal 5 4 2 3 3 2 5" xfId="12035" xr:uid="{B2AC7AAE-4F21-4EF9-946D-BC13B5138DA7}"/>
    <cellStyle name="Normal 5 4 2 3 3 3" xfId="5658" xr:uid="{00000000-0005-0000-0000-0000DF1A0000}"/>
    <cellStyle name="Normal 5 4 2 3 3 3 2" xfId="30997" xr:uid="{BA8209C6-92B7-416A-858D-CC205B10810D}"/>
    <cellStyle name="Normal 5 4 2 3 3 3 3" xfId="22556" xr:uid="{62036249-27EC-48F6-8213-0869E360EE83}"/>
    <cellStyle name="Normal 5 4 2 3 3 3 4" xfId="14108" xr:uid="{E39D310A-E474-4BDA-BF1E-ABF2B841879A}"/>
    <cellStyle name="Normal 5 4 2 3 3 4" xfId="26779" xr:uid="{6BB3BB5E-7F15-4320-A8E2-1FBB9AA4C5F3}"/>
    <cellStyle name="Normal 5 4 2 3 3 5" xfId="18338" xr:uid="{A8EA2CB9-BF13-47CC-A8CB-066829F0797D}"/>
    <cellStyle name="Normal 5 4 2 3 3 6" xfId="9890" xr:uid="{5F05658C-F3D2-45DB-98EB-7257E806BE89}"/>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33555" xr:uid="{08FAD31F-494B-4ABF-A800-444E721CDF3C}"/>
    <cellStyle name="Normal 5 4 2 3 4 2 2 3" xfId="25114" xr:uid="{B6A7E7DA-ACCA-4297-B7F7-4CD55A6DF232}"/>
    <cellStyle name="Normal 5 4 2 3 4 2 2 4" xfId="16666" xr:uid="{F8CDE84C-D294-4B44-BDDD-CFC40D0DB0A9}"/>
    <cellStyle name="Normal 5 4 2 3 4 2 3" xfId="29337" xr:uid="{951299DF-7F9E-42B1-AAF0-D6CCC6051D4C}"/>
    <cellStyle name="Normal 5 4 2 3 4 2 4" xfId="20896" xr:uid="{F1CA62F8-10B9-471C-BE1A-EC35768FFA9D}"/>
    <cellStyle name="Normal 5 4 2 3 4 2 5" xfId="12448" xr:uid="{3CFAF1E8-BF77-4A51-8FE0-75AE7F7DF055}"/>
    <cellStyle name="Normal 5 4 2 3 4 3" xfId="6071" xr:uid="{00000000-0005-0000-0000-0000E31A0000}"/>
    <cellStyle name="Normal 5 4 2 3 4 3 2" xfId="31410" xr:uid="{AEDA4646-BC1B-43C6-9367-2E4E1E39C77D}"/>
    <cellStyle name="Normal 5 4 2 3 4 3 3" xfId="22969" xr:uid="{179CD437-56C2-4134-B066-CA73E743DD10}"/>
    <cellStyle name="Normal 5 4 2 3 4 3 4" xfId="14521" xr:uid="{3D690282-C882-4A02-B5A7-A54697E9D3F8}"/>
    <cellStyle name="Normal 5 4 2 3 4 4" xfId="27192" xr:uid="{6C948936-39E4-429A-AE36-60A99FF178FE}"/>
    <cellStyle name="Normal 5 4 2 3 4 5" xfId="18751" xr:uid="{8693EA65-F32D-4DD1-A2F9-8FAA901B63D8}"/>
    <cellStyle name="Normal 5 4 2 3 4 6" xfId="10303" xr:uid="{3FCC2CA6-70DB-4AE7-A270-B6E44107D744}"/>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33968" xr:uid="{45485D01-AFEE-4CA5-BFE2-72734A5CD67B}"/>
    <cellStyle name="Normal 5 4 2 3 5 2 2 3" xfId="25527" xr:uid="{35246415-1AD2-4634-8ACD-CA10F3A37E28}"/>
    <cellStyle name="Normal 5 4 2 3 5 2 2 4" xfId="17079" xr:uid="{E0192FD1-D0F0-4E59-8D1C-760C38CC59D9}"/>
    <cellStyle name="Normal 5 4 2 3 5 2 3" xfId="29750" xr:uid="{CB27C47A-64D7-4B46-B4EB-C0560939BAE7}"/>
    <cellStyle name="Normal 5 4 2 3 5 2 4" xfId="21309" xr:uid="{D448AE90-18DF-4233-9B1E-7466ED61CEEA}"/>
    <cellStyle name="Normal 5 4 2 3 5 2 5" xfId="12861" xr:uid="{E79FF855-2583-4779-A0EE-3F9E629E4790}"/>
    <cellStyle name="Normal 5 4 2 3 5 3" xfId="6484" xr:uid="{00000000-0005-0000-0000-0000E71A0000}"/>
    <cellStyle name="Normal 5 4 2 3 5 3 2" xfId="31823" xr:uid="{C59C15A8-6FD4-4649-93C3-5B859C7E88AF}"/>
    <cellStyle name="Normal 5 4 2 3 5 3 3" xfId="23382" xr:uid="{73578DC0-D853-48CB-B075-4F5F46DFC9A4}"/>
    <cellStyle name="Normal 5 4 2 3 5 3 4" xfId="14934" xr:uid="{D0877C6D-64EF-41DA-B600-726B4B20BC0E}"/>
    <cellStyle name="Normal 5 4 2 3 5 4" xfId="27605" xr:uid="{46D1A22B-40EB-4412-A5C1-A5DCE6395091}"/>
    <cellStyle name="Normal 5 4 2 3 5 5" xfId="19164" xr:uid="{CD75E514-2B30-4F0E-95DF-95810CDD68F4}"/>
    <cellStyle name="Normal 5 4 2 3 5 6" xfId="10716" xr:uid="{DFFC760F-3BAE-4E39-9EA9-EFF9692FCD14}"/>
    <cellStyle name="Normal 5 4 2 3 6" xfId="2614" xr:uid="{00000000-0005-0000-0000-0000E81A0000}"/>
    <cellStyle name="Normal 5 4 2 3 6 2" xfId="6897" xr:uid="{00000000-0005-0000-0000-0000E91A0000}"/>
    <cellStyle name="Normal 5 4 2 3 6 2 2" xfId="32236" xr:uid="{60A0804C-A2DE-447F-BC40-64583F40962D}"/>
    <cellStyle name="Normal 5 4 2 3 6 2 3" xfId="23795" xr:uid="{3A1A96FA-5C07-4C66-A229-D83A95F7C747}"/>
    <cellStyle name="Normal 5 4 2 3 6 2 4" xfId="15347" xr:uid="{5692E5E1-F05A-4653-8A4B-B050FF4536BB}"/>
    <cellStyle name="Normal 5 4 2 3 6 3" xfId="28018" xr:uid="{C4C8BBDD-9D49-4988-BB9A-D834C2C7BB3B}"/>
    <cellStyle name="Normal 5 4 2 3 6 4" xfId="19577" xr:uid="{12E63DF6-762C-4FC3-981F-90140BAFE15D}"/>
    <cellStyle name="Normal 5 4 2 3 6 5" xfId="11129" xr:uid="{CEFD231A-5EA5-457B-B46F-57224E783DD0}"/>
    <cellStyle name="Normal 5 4 2 3 7" xfId="4832" xr:uid="{00000000-0005-0000-0000-0000EA1A0000}"/>
    <cellStyle name="Normal 5 4 2 3 7 2" xfId="30171" xr:uid="{9F0FBE61-55F5-4236-8E1C-2E64B2CA90B0}"/>
    <cellStyle name="Normal 5 4 2 3 7 3" xfId="21730" xr:uid="{7D1EEF9D-E978-4D50-A6D4-1B1BD6D0F4F3}"/>
    <cellStyle name="Normal 5 4 2 3 7 4" xfId="13282" xr:uid="{900E4375-7CB1-4E0E-BFA8-518FA182ECBB}"/>
    <cellStyle name="Normal 5 4 2 3 8" xfId="25953" xr:uid="{8D6D5F97-45D1-4174-B23B-E65ABE7905DD}"/>
    <cellStyle name="Normal 5 4 2 3 9" xfId="17512" xr:uid="{9E044603-A691-4FFE-97CF-B7B8A380227C}"/>
    <cellStyle name="Normal 5 4 2 4" xfId="931" xr:uid="{00000000-0005-0000-0000-0000EB1A0000}"/>
    <cellStyle name="Normal 5 4 2 4 2" xfId="3165" xr:uid="{00000000-0005-0000-0000-0000EC1A0000}"/>
    <cellStyle name="Normal 5 4 2 4 2 2" xfId="7387" xr:uid="{00000000-0005-0000-0000-0000ED1A0000}"/>
    <cellStyle name="Normal 5 4 2 4 2 2 2" xfId="32726" xr:uid="{6E467027-47E1-4E6F-82CA-C31045A65C24}"/>
    <cellStyle name="Normal 5 4 2 4 2 2 3" xfId="24285" xr:uid="{1DCB3D4F-ACBC-4030-9541-FEC685F534EC}"/>
    <cellStyle name="Normal 5 4 2 4 2 2 4" xfId="15837" xr:uid="{724A276F-1724-4C42-81D2-168F39CA3068}"/>
    <cellStyle name="Normal 5 4 2 4 2 3" xfId="28508" xr:uid="{BCE2C423-B269-48F3-A5BB-1AE52AD0EA3A}"/>
    <cellStyle name="Normal 5 4 2 4 2 4" xfId="20067" xr:uid="{3B230B4C-0DA4-4BED-805D-6803D79C54F5}"/>
    <cellStyle name="Normal 5 4 2 4 2 5" xfId="11619" xr:uid="{4794BFB9-876F-4F0F-A1DB-E874845F7102}"/>
    <cellStyle name="Normal 5 4 2 4 3" xfId="5242" xr:uid="{00000000-0005-0000-0000-0000EE1A0000}"/>
    <cellStyle name="Normal 5 4 2 4 3 2" xfId="30581" xr:uid="{B07B8638-011A-4F28-BF38-98C50682BF1A}"/>
    <cellStyle name="Normal 5 4 2 4 3 3" xfId="22140" xr:uid="{5B0917FA-D122-49EF-B478-61397FFEDC37}"/>
    <cellStyle name="Normal 5 4 2 4 3 4" xfId="13692" xr:uid="{014D38A7-951B-44F7-9533-8979B700EBD7}"/>
    <cellStyle name="Normal 5 4 2 4 4" xfId="26363" xr:uid="{6668C499-9BD0-4F9C-8B11-581EDCF35D59}"/>
    <cellStyle name="Normal 5 4 2 4 5" xfId="17922" xr:uid="{91BEAED7-61A8-4DF0-B804-BF6224F136F6}"/>
    <cellStyle name="Normal 5 4 2 4 6" xfId="9474" xr:uid="{E9B7D1E8-5A64-4702-A095-B46C3E45292F}"/>
    <cellStyle name="Normal 5 4 2 5" xfId="1348" xr:uid="{00000000-0005-0000-0000-0000EF1A0000}"/>
    <cellStyle name="Normal 5 4 2 5 2" xfId="3578" xr:uid="{00000000-0005-0000-0000-0000F01A0000}"/>
    <cellStyle name="Normal 5 4 2 5 2 2" xfId="7800" xr:uid="{00000000-0005-0000-0000-0000F11A0000}"/>
    <cellStyle name="Normal 5 4 2 5 2 2 2" xfId="33139" xr:uid="{EAC79CF4-F9A8-4810-A513-FBC41236F0FC}"/>
    <cellStyle name="Normal 5 4 2 5 2 2 3" xfId="24698" xr:uid="{702545F8-CCBC-499A-B4CC-DABC6EDE113E}"/>
    <cellStyle name="Normal 5 4 2 5 2 2 4" xfId="16250" xr:uid="{42AD6955-898F-43A6-9358-DC7BDECAD3E4}"/>
    <cellStyle name="Normal 5 4 2 5 2 3" xfId="28921" xr:uid="{6AA1BEF4-B47F-456E-ACE1-0193C5B793D1}"/>
    <cellStyle name="Normal 5 4 2 5 2 4" xfId="20480" xr:uid="{B7F17099-41BD-4DE4-803B-C43D964489F5}"/>
    <cellStyle name="Normal 5 4 2 5 2 5" xfId="12032" xr:uid="{05BCA28F-2DF9-4B09-AE32-687194BA1698}"/>
    <cellStyle name="Normal 5 4 2 5 3" xfId="5655" xr:uid="{00000000-0005-0000-0000-0000F21A0000}"/>
    <cellStyle name="Normal 5 4 2 5 3 2" xfId="30994" xr:uid="{8465865B-5F89-4DB7-BD32-601F831AD99C}"/>
    <cellStyle name="Normal 5 4 2 5 3 3" xfId="22553" xr:uid="{355C9216-2EDD-43EA-814E-BEAA914EB097}"/>
    <cellStyle name="Normal 5 4 2 5 3 4" xfId="14105" xr:uid="{0E7FAAC3-83FA-4CFF-ADAC-D1AEA4A7E5EB}"/>
    <cellStyle name="Normal 5 4 2 5 4" xfId="26776" xr:uid="{A6FC90B4-4A57-44AE-AC39-C38D460D4DF9}"/>
    <cellStyle name="Normal 5 4 2 5 5" xfId="18335" xr:uid="{567636B8-42D3-4E73-B37D-0BDB6140FC47}"/>
    <cellStyle name="Normal 5 4 2 5 6" xfId="9887" xr:uid="{8260F320-832B-4FB6-9923-0A3C885020E1}"/>
    <cellStyle name="Normal 5 4 2 6" xfId="1761" xr:uid="{00000000-0005-0000-0000-0000F31A0000}"/>
    <cellStyle name="Normal 5 4 2 6 2" xfId="3991" xr:uid="{00000000-0005-0000-0000-0000F41A0000}"/>
    <cellStyle name="Normal 5 4 2 6 2 2" xfId="8213" xr:uid="{00000000-0005-0000-0000-0000F51A0000}"/>
    <cellStyle name="Normal 5 4 2 6 2 2 2" xfId="33552" xr:uid="{072718B9-F75F-443E-99E2-F70C5FDE495A}"/>
    <cellStyle name="Normal 5 4 2 6 2 2 3" xfId="25111" xr:uid="{AD6A84D4-DEC2-4759-9C06-BD3A48C0AE1E}"/>
    <cellStyle name="Normal 5 4 2 6 2 2 4" xfId="16663" xr:uid="{8C6324BD-F668-46F7-B6AE-182106A603EA}"/>
    <cellStyle name="Normal 5 4 2 6 2 3" xfId="29334" xr:uid="{9611AC0D-1E2A-4ADF-9559-BF8F69DE7170}"/>
    <cellStyle name="Normal 5 4 2 6 2 4" xfId="20893" xr:uid="{E10047C3-3EA3-4F9E-8C63-CF101B637186}"/>
    <cellStyle name="Normal 5 4 2 6 2 5" xfId="12445" xr:uid="{6FBE9694-96D1-4072-88B8-7B30471AC80A}"/>
    <cellStyle name="Normal 5 4 2 6 3" xfId="6068" xr:uid="{00000000-0005-0000-0000-0000F61A0000}"/>
    <cellStyle name="Normal 5 4 2 6 3 2" xfId="31407" xr:uid="{8FBBBA8A-D218-47B6-B477-6208D347F247}"/>
    <cellStyle name="Normal 5 4 2 6 3 3" xfId="22966" xr:uid="{AAC28F6F-F195-4BD9-A6D4-05D9A9F43BAC}"/>
    <cellStyle name="Normal 5 4 2 6 3 4" xfId="14518" xr:uid="{05D0EF8A-5968-4BAA-9B05-9BB6AC7C7016}"/>
    <cellStyle name="Normal 5 4 2 6 4" xfId="27189" xr:uid="{AA303324-15A6-4603-A038-2FE9DBF2D6B0}"/>
    <cellStyle name="Normal 5 4 2 6 5" xfId="18748" xr:uid="{97DC1FBE-B778-47E8-A2B5-1E4431CAC1CA}"/>
    <cellStyle name="Normal 5 4 2 6 6" xfId="10300" xr:uid="{52576D0F-9BCD-4A2C-B091-1569B2EEB9B7}"/>
    <cellStyle name="Normal 5 4 2 7" xfId="2175" xr:uid="{00000000-0005-0000-0000-0000F71A0000}"/>
    <cellStyle name="Normal 5 4 2 7 2" xfId="4404" xr:uid="{00000000-0005-0000-0000-0000F81A0000}"/>
    <cellStyle name="Normal 5 4 2 7 2 2" xfId="8626" xr:uid="{00000000-0005-0000-0000-0000F91A0000}"/>
    <cellStyle name="Normal 5 4 2 7 2 2 2" xfId="33965" xr:uid="{DD7B8EFC-18C4-4281-85C9-88D0C427B661}"/>
    <cellStyle name="Normal 5 4 2 7 2 2 3" xfId="25524" xr:uid="{594B34C0-4CA3-4538-A559-E9BAF75513D8}"/>
    <cellStyle name="Normal 5 4 2 7 2 2 4" xfId="17076" xr:uid="{4E5680D0-5EF5-4939-BEDB-1D8E9BF53B9F}"/>
    <cellStyle name="Normal 5 4 2 7 2 3" xfId="29747" xr:uid="{AEBD45CF-B0AD-4E9B-BED5-334EB89F9D1C}"/>
    <cellStyle name="Normal 5 4 2 7 2 4" xfId="21306" xr:uid="{B565A456-1FDA-40DD-92A9-ED261640CB69}"/>
    <cellStyle name="Normal 5 4 2 7 2 5" xfId="12858" xr:uid="{27548FEC-C8FD-4F04-B642-D584C1A0753D}"/>
    <cellStyle name="Normal 5 4 2 7 3" xfId="6481" xr:uid="{00000000-0005-0000-0000-0000FA1A0000}"/>
    <cellStyle name="Normal 5 4 2 7 3 2" xfId="31820" xr:uid="{D817B20F-C4F2-4F98-9D7B-2ACCC42F220B}"/>
    <cellStyle name="Normal 5 4 2 7 3 3" xfId="23379" xr:uid="{6DDC1754-1AA0-41B2-9F40-DA118C7E3621}"/>
    <cellStyle name="Normal 5 4 2 7 3 4" xfId="14931" xr:uid="{15E0F003-E7ED-45BE-9EEF-022BD8B7934E}"/>
    <cellStyle name="Normal 5 4 2 7 4" xfId="27602" xr:uid="{F4E9ABAC-4E30-4DE8-BBC6-5BF7F908F921}"/>
    <cellStyle name="Normal 5 4 2 7 5" xfId="19161" xr:uid="{ABA86766-4012-418D-9292-B5B638400A9B}"/>
    <cellStyle name="Normal 5 4 2 7 6" xfId="10713" xr:uid="{7C7C49AE-5AA4-464F-8916-5D33E328A8B2}"/>
    <cellStyle name="Normal 5 4 2 8" xfId="2611" xr:uid="{00000000-0005-0000-0000-0000FB1A0000}"/>
    <cellStyle name="Normal 5 4 2 8 2" xfId="6894" xr:uid="{00000000-0005-0000-0000-0000FC1A0000}"/>
    <cellStyle name="Normal 5 4 2 8 2 2" xfId="32233" xr:uid="{24FB227F-2F73-49F7-BD77-770C0F84026E}"/>
    <cellStyle name="Normal 5 4 2 8 2 3" xfId="23792" xr:uid="{8894D96D-930F-4C03-A90F-4C7BF26DAB07}"/>
    <cellStyle name="Normal 5 4 2 8 2 4" xfId="15344" xr:uid="{55A8222E-2FC3-4665-B5CC-8BEA5EECC963}"/>
    <cellStyle name="Normal 5 4 2 8 3" xfId="28015" xr:uid="{9E2D78A7-1CA2-425C-A97E-8DAB13BA37EA}"/>
    <cellStyle name="Normal 5 4 2 8 4" xfId="19574" xr:uid="{7FD893D3-FBF6-4F73-994D-2BAEF8F2356C}"/>
    <cellStyle name="Normal 5 4 2 8 5" xfId="11126" xr:uid="{B5201289-B7FB-41DB-91DE-D580C7072FCC}"/>
    <cellStyle name="Normal 5 4 2 9" xfId="4829" xr:uid="{00000000-0005-0000-0000-0000FD1A0000}"/>
    <cellStyle name="Normal 5 4 2 9 2" xfId="30168" xr:uid="{EA9D87F5-C233-4F50-9C64-677E606E115C}"/>
    <cellStyle name="Normal 5 4 2 9 3" xfId="21727" xr:uid="{D72A1331-AACB-4B67-B59A-000B367DFCFD}"/>
    <cellStyle name="Normal 5 4 2 9 4" xfId="13279" xr:uid="{508C5CFA-E7A1-426D-93CF-C2B1CD5C46AB}"/>
    <cellStyle name="Normal 5 4 3" xfId="461" xr:uid="{00000000-0005-0000-0000-0000FE1A0000}"/>
    <cellStyle name="Normal 5 4 3 10" xfId="17513" xr:uid="{E3BFD514-F654-442F-8F16-AF23B1FF0C97}"/>
    <cellStyle name="Normal 5 4 3 11" xfId="9065" xr:uid="{D640F360-20CE-4BF4-9B1C-284D0541E0CE}"/>
    <cellStyle name="Normal 5 4 3 2" xfId="462" xr:uid="{00000000-0005-0000-0000-0000FF1A0000}"/>
    <cellStyle name="Normal 5 4 3 2 10" xfId="9066" xr:uid="{DDF85798-6810-4FD4-A599-4A68DC30EBE3}"/>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32731" xr:uid="{F4A476DC-B92D-45AF-9460-A6EE0D7F9652}"/>
    <cellStyle name="Normal 5 4 3 2 2 2 2 3" xfId="24290" xr:uid="{067B7995-90BA-46BB-8D86-B050A1E00FC5}"/>
    <cellStyle name="Normal 5 4 3 2 2 2 2 4" xfId="15842" xr:uid="{B0B655BC-9BE1-4443-A4FF-6F1DD089938B}"/>
    <cellStyle name="Normal 5 4 3 2 2 2 3" xfId="28513" xr:uid="{AC43E55F-5AB7-4A0D-897D-C5E6FB69E21D}"/>
    <cellStyle name="Normal 5 4 3 2 2 2 4" xfId="20072" xr:uid="{AC44CE55-EA4E-4F43-89D4-7F26BC523864}"/>
    <cellStyle name="Normal 5 4 3 2 2 2 5" xfId="11624" xr:uid="{351FE556-69C9-4434-B3F9-6A720A49AF8C}"/>
    <cellStyle name="Normal 5 4 3 2 2 3" xfId="5247" xr:uid="{00000000-0005-0000-0000-0000031B0000}"/>
    <cellStyle name="Normal 5 4 3 2 2 3 2" xfId="30586" xr:uid="{04168CAD-1B2A-4B09-B43C-588050171CA7}"/>
    <cellStyle name="Normal 5 4 3 2 2 3 3" xfId="22145" xr:uid="{70354110-BA41-4D83-B683-B18C16A6C246}"/>
    <cellStyle name="Normal 5 4 3 2 2 3 4" xfId="13697" xr:uid="{71FA4E01-2FED-44B5-801A-B89FF46F97D4}"/>
    <cellStyle name="Normal 5 4 3 2 2 4" xfId="26368" xr:uid="{FAD6C6B1-7078-4AEC-A007-C4B8D60DC301}"/>
    <cellStyle name="Normal 5 4 3 2 2 5" xfId="17927" xr:uid="{8C773D52-CB46-408D-8421-7A6F5CFDF741}"/>
    <cellStyle name="Normal 5 4 3 2 2 6" xfId="9479" xr:uid="{F50942D4-02BF-4B58-9C14-15358EC27EEB}"/>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33144" xr:uid="{4B493F28-6F0B-40CA-9F69-F0C6DA56D50B}"/>
    <cellStyle name="Normal 5 4 3 2 3 2 2 3" xfId="24703" xr:uid="{DF21ACF8-09D1-4ABE-BE0D-51DBD7CD759B}"/>
    <cellStyle name="Normal 5 4 3 2 3 2 2 4" xfId="16255" xr:uid="{FFF90424-8CFB-4A0E-A19C-6A9BF6823CC5}"/>
    <cellStyle name="Normal 5 4 3 2 3 2 3" xfId="28926" xr:uid="{3AABD970-0BDE-4A7F-8C7C-2DE4D4D5E644}"/>
    <cellStyle name="Normal 5 4 3 2 3 2 4" xfId="20485" xr:uid="{65366503-6454-4A0B-9774-C6341F47E277}"/>
    <cellStyle name="Normal 5 4 3 2 3 2 5" xfId="12037" xr:uid="{C999E568-544A-4DA2-BABE-D7B18884F5CF}"/>
    <cellStyle name="Normal 5 4 3 2 3 3" xfId="5660" xr:uid="{00000000-0005-0000-0000-0000071B0000}"/>
    <cellStyle name="Normal 5 4 3 2 3 3 2" xfId="30999" xr:uid="{282F6346-B97D-492C-9E3E-65015C474629}"/>
    <cellStyle name="Normal 5 4 3 2 3 3 3" xfId="22558" xr:uid="{76585955-023D-4A88-8413-2F56D6B06267}"/>
    <cellStyle name="Normal 5 4 3 2 3 3 4" xfId="14110" xr:uid="{EC062787-DE43-4A89-A157-885FA9361907}"/>
    <cellStyle name="Normal 5 4 3 2 3 4" xfId="26781" xr:uid="{FEC86B35-200A-4AD9-9F14-5D58B34162B7}"/>
    <cellStyle name="Normal 5 4 3 2 3 5" xfId="18340" xr:uid="{B017FE48-B852-4DED-8F91-0E1EFF708A90}"/>
    <cellStyle name="Normal 5 4 3 2 3 6" xfId="9892" xr:uid="{944304C3-DC3B-47B2-9D50-51C29E5E385A}"/>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33557" xr:uid="{753182B9-BEF8-44EB-A8C5-04623B2C2E8C}"/>
    <cellStyle name="Normal 5 4 3 2 4 2 2 3" xfId="25116" xr:uid="{35B9C7A2-1A35-4DD0-9699-651E72F1342A}"/>
    <cellStyle name="Normal 5 4 3 2 4 2 2 4" xfId="16668" xr:uid="{647C32ED-29F3-44F9-9C41-F54484D07CAE}"/>
    <cellStyle name="Normal 5 4 3 2 4 2 3" xfId="29339" xr:uid="{ACC47F95-1697-41BF-B563-51372CD2D107}"/>
    <cellStyle name="Normal 5 4 3 2 4 2 4" xfId="20898" xr:uid="{E142FDD5-E315-4254-A03F-91933C4932B1}"/>
    <cellStyle name="Normal 5 4 3 2 4 2 5" xfId="12450" xr:uid="{2380D215-BA1A-4110-B685-6A5370CF4636}"/>
    <cellStyle name="Normal 5 4 3 2 4 3" xfId="6073" xr:uid="{00000000-0005-0000-0000-00000B1B0000}"/>
    <cellStyle name="Normal 5 4 3 2 4 3 2" xfId="31412" xr:uid="{4FAAB87A-8720-4B28-B4BB-9E8F565B1155}"/>
    <cellStyle name="Normal 5 4 3 2 4 3 3" xfId="22971" xr:uid="{963AF634-8A3A-47B0-861F-4078BE09FBA2}"/>
    <cellStyle name="Normal 5 4 3 2 4 3 4" xfId="14523" xr:uid="{47D26A40-53E8-4524-8083-BE703D989FAD}"/>
    <cellStyle name="Normal 5 4 3 2 4 4" xfId="27194" xr:uid="{C6771012-8FC8-472E-BCA2-1957DDAE3A56}"/>
    <cellStyle name="Normal 5 4 3 2 4 5" xfId="18753" xr:uid="{96E74278-20C4-4C90-80E4-7DD069DF030D}"/>
    <cellStyle name="Normal 5 4 3 2 4 6" xfId="10305" xr:uid="{0D9BA4D1-C472-4D88-BAA0-E66EEB5227DA}"/>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33970" xr:uid="{32754434-8FDB-46E4-A58A-870105011BA9}"/>
    <cellStyle name="Normal 5 4 3 2 5 2 2 3" xfId="25529" xr:uid="{7E44474E-5963-4B8B-8DC2-238C9CD88F94}"/>
    <cellStyle name="Normal 5 4 3 2 5 2 2 4" xfId="17081" xr:uid="{5F081263-C446-4F18-B2FD-1F1AADFA7C83}"/>
    <cellStyle name="Normal 5 4 3 2 5 2 3" xfId="29752" xr:uid="{5AFBBA2C-F421-4494-9664-53A05E72D3B6}"/>
    <cellStyle name="Normal 5 4 3 2 5 2 4" xfId="21311" xr:uid="{3AFC1AD7-A120-4EAA-A12D-B0ABC234E46A}"/>
    <cellStyle name="Normal 5 4 3 2 5 2 5" xfId="12863" xr:uid="{55D9E357-32BC-414A-AA20-1E705F00AF8B}"/>
    <cellStyle name="Normal 5 4 3 2 5 3" xfId="6486" xr:uid="{00000000-0005-0000-0000-00000F1B0000}"/>
    <cellStyle name="Normal 5 4 3 2 5 3 2" xfId="31825" xr:uid="{04CB2442-0CF2-4AFB-8846-F066C0F71959}"/>
    <cellStyle name="Normal 5 4 3 2 5 3 3" xfId="23384" xr:uid="{9C5A46AA-CDE1-4B0B-B82E-DD880E8BBA12}"/>
    <cellStyle name="Normal 5 4 3 2 5 3 4" xfId="14936" xr:uid="{249E620B-E371-4164-AF10-698E1CA7397A}"/>
    <cellStyle name="Normal 5 4 3 2 5 4" xfId="27607" xr:uid="{DFEABE80-8242-4F47-A9A8-F6B34B9BD64A}"/>
    <cellStyle name="Normal 5 4 3 2 5 5" xfId="19166" xr:uid="{2E319036-F962-457B-8023-53775A30B9EF}"/>
    <cellStyle name="Normal 5 4 3 2 5 6" xfId="10718" xr:uid="{2D26B872-FF8E-4EBA-A81C-C4C16D4DFEBE}"/>
    <cellStyle name="Normal 5 4 3 2 6" xfId="2616" xr:uid="{00000000-0005-0000-0000-0000101B0000}"/>
    <cellStyle name="Normal 5 4 3 2 6 2" xfId="6899" xr:uid="{00000000-0005-0000-0000-0000111B0000}"/>
    <cellStyle name="Normal 5 4 3 2 6 2 2" xfId="32238" xr:uid="{192CC9B9-F3E8-4D04-B338-9BE609CBA85F}"/>
    <cellStyle name="Normal 5 4 3 2 6 2 3" xfId="23797" xr:uid="{907E071D-8642-4F30-AB51-E64842851CDF}"/>
    <cellStyle name="Normal 5 4 3 2 6 2 4" xfId="15349" xr:uid="{1677A3A7-C80D-4413-A112-505F61785090}"/>
    <cellStyle name="Normal 5 4 3 2 6 3" xfId="28020" xr:uid="{D9C7156E-6AF4-44EE-9DEA-A17A9AD18B4C}"/>
    <cellStyle name="Normal 5 4 3 2 6 4" xfId="19579" xr:uid="{CA3A4639-A35A-4E93-99C9-C36E0632D27F}"/>
    <cellStyle name="Normal 5 4 3 2 6 5" xfId="11131" xr:uid="{1ED815B8-9B5C-4FE0-9074-D43C95609838}"/>
    <cellStyle name="Normal 5 4 3 2 7" xfId="4834" xr:uid="{00000000-0005-0000-0000-0000121B0000}"/>
    <cellStyle name="Normal 5 4 3 2 7 2" xfId="30173" xr:uid="{3D62FB2E-F035-4832-905C-BBA349D1DB7D}"/>
    <cellStyle name="Normal 5 4 3 2 7 3" xfId="21732" xr:uid="{F6B4D04A-D8DB-4796-90F3-0EAE49E3D637}"/>
    <cellStyle name="Normal 5 4 3 2 7 4" xfId="13284" xr:uid="{481471B5-8E05-49FE-8475-A6C18DF67987}"/>
    <cellStyle name="Normal 5 4 3 2 8" xfId="25955" xr:uid="{BD305047-74A0-4F73-AEEB-CE51BE5D99EF}"/>
    <cellStyle name="Normal 5 4 3 2 9" xfId="17514" xr:uid="{F5A62A7D-FBE1-4607-8B37-1A74D82AF1B4}"/>
    <cellStyle name="Normal 5 4 3 3" xfId="935" xr:uid="{00000000-0005-0000-0000-0000131B0000}"/>
    <cellStyle name="Normal 5 4 3 3 2" xfId="3169" xr:uid="{00000000-0005-0000-0000-0000141B0000}"/>
    <cellStyle name="Normal 5 4 3 3 2 2" xfId="7391" xr:uid="{00000000-0005-0000-0000-0000151B0000}"/>
    <cellStyle name="Normal 5 4 3 3 2 2 2" xfId="32730" xr:uid="{97C710CA-8C76-4C19-9C51-771DF192FADD}"/>
    <cellStyle name="Normal 5 4 3 3 2 2 3" xfId="24289" xr:uid="{3CDA2142-A742-418C-BC45-4079DF2DB6B1}"/>
    <cellStyle name="Normal 5 4 3 3 2 2 4" xfId="15841" xr:uid="{60D10CB9-D5D4-44E6-8CF9-ABB83305A35C}"/>
    <cellStyle name="Normal 5 4 3 3 2 3" xfId="28512" xr:uid="{2B475BCB-8D1B-420F-8638-E3553C92D9B3}"/>
    <cellStyle name="Normal 5 4 3 3 2 4" xfId="20071" xr:uid="{9B7195E1-EA3B-483B-BFB4-4F57B800B9FA}"/>
    <cellStyle name="Normal 5 4 3 3 2 5" xfId="11623" xr:uid="{4B4A57EA-6FFC-40C8-A268-D08DD67D6D0F}"/>
    <cellStyle name="Normal 5 4 3 3 3" xfId="5246" xr:uid="{00000000-0005-0000-0000-0000161B0000}"/>
    <cellStyle name="Normal 5 4 3 3 3 2" xfId="30585" xr:uid="{BDBAE09A-6075-48E9-A971-F8AA9A395221}"/>
    <cellStyle name="Normal 5 4 3 3 3 3" xfId="22144" xr:uid="{1C66F15E-6587-41A1-B6A5-CF00601044B3}"/>
    <cellStyle name="Normal 5 4 3 3 3 4" xfId="13696" xr:uid="{AE2FE9B2-9617-49FF-8736-04B9D3BE900B}"/>
    <cellStyle name="Normal 5 4 3 3 4" xfId="26367" xr:uid="{34B6A3EA-714F-4520-8F10-27B74E56A816}"/>
    <cellStyle name="Normal 5 4 3 3 5" xfId="17926" xr:uid="{409CC0DC-A7FE-408C-97EC-C39D749668C8}"/>
    <cellStyle name="Normal 5 4 3 3 6" xfId="9478" xr:uid="{A10D9946-EF3F-460E-A3C6-9B1133DA339B}"/>
    <cellStyle name="Normal 5 4 3 4" xfId="1352" xr:uid="{00000000-0005-0000-0000-0000171B0000}"/>
    <cellStyle name="Normal 5 4 3 4 2" xfId="3582" xr:uid="{00000000-0005-0000-0000-0000181B0000}"/>
    <cellStyle name="Normal 5 4 3 4 2 2" xfId="7804" xr:uid="{00000000-0005-0000-0000-0000191B0000}"/>
    <cellStyle name="Normal 5 4 3 4 2 2 2" xfId="33143" xr:uid="{A0E960D0-64EB-4827-9E84-C2FF35CA8B1B}"/>
    <cellStyle name="Normal 5 4 3 4 2 2 3" xfId="24702" xr:uid="{805B1A60-E6A6-41BA-89DD-C98B135E3320}"/>
    <cellStyle name="Normal 5 4 3 4 2 2 4" xfId="16254" xr:uid="{FE93F79B-C49F-4245-B0BB-B489138A7CE0}"/>
    <cellStyle name="Normal 5 4 3 4 2 3" xfId="28925" xr:uid="{B3404757-7A69-49DC-A78D-570E6CE61546}"/>
    <cellStyle name="Normal 5 4 3 4 2 4" xfId="20484" xr:uid="{EB9E6E88-8938-4743-A7AD-A3450E871DCB}"/>
    <cellStyle name="Normal 5 4 3 4 2 5" xfId="12036" xr:uid="{0B08CD57-6702-41E6-9AC5-9BBACF8D7606}"/>
    <cellStyle name="Normal 5 4 3 4 3" xfId="5659" xr:uid="{00000000-0005-0000-0000-00001A1B0000}"/>
    <cellStyle name="Normal 5 4 3 4 3 2" xfId="30998" xr:uid="{CD51E763-2D16-4CE8-8783-0DB0F0E30F52}"/>
    <cellStyle name="Normal 5 4 3 4 3 3" xfId="22557" xr:uid="{AF38F14C-AC1D-455F-8614-E3EB81879DC2}"/>
    <cellStyle name="Normal 5 4 3 4 3 4" xfId="14109" xr:uid="{93CCC1F7-8FED-483E-8CF5-75C3083DE003}"/>
    <cellStyle name="Normal 5 4 3 4 4" xfId="26780" xr:uid="{8A1D71DD-CFDB-4520-9DBB-50DAA3011658}"/>
    <cellStyle name="Normal 5 4 3 4 5" xfId="18339" xr:uid="{B722488D-7D98-480B-AB49-8C55C0383ED1}"/>
    <cellStyle name="Normal 5 4 3 4 6" xfId="9891" xr:uid="{18ABA328-C93A-41ED-B5D4-C2B8958D44D3}"/>
    <cellStyle name="Normal 5 4 3 5" xfId="1765" xr:uid="{00000000-0005-0000-0000-00001B1B0000}"/>
    <cellStyle name="Normal 5 4 3 5 2" xfId="3995" xr:uid="{00000000-0005-0000-0000-00001C1B0000}"/>
    <cellStyle name="Normal 5 4 3 5 2 2" xfId="8217" xr:uid="{00000000-0005-0000-0000-00001D1B0000}"/>
    <cellStyle name="Normal 5 4 3 5 2 2 2" xfId="33556" xr:uid="{A0E79EDA-8671-4D4C-AB38-1BAF85283834}"/>
    <cellStyle name="Normal 5 4 3 5 2 2 3" xfId="25115" xr:uid="{23C90A32-2F52-47BA-B8B7-2D2288A386FE}"/>
    <cellStyle name="Normal 5 4 3 5 2 2 4" xfId="16667" xr:uid="{3DFC1D8A-8608-47D0-A1BC-BD3E87FD8C0B}"/>
    <cellStyle name="Normal 5 4 3 5 2 3" xfId="29338" xr:uid="{8A400E81-E266-4AD2-B6F8-389C69CB637B}"/>
    <cellStyle name="Normal 5 4 3 5 2 4" xfId="20897" xr:uid="{C964921F-D805-44A4-A993-6AE278F5BA47}"/>
    <cellStyle name="Normal 5 4 3 5 2 5" xfId="12449" xr:uid="{47AE1CAA-34F8-4479-B94F-37E9FC3C9815}"/>
    <cellStyle name="Normal 5 4 3 5 3" xfId="6072" xr:uid="{00000000-0005-0000-0000-00001E1B0000}"/>
    <cellStyle name="Normal 5 4 3 5 3 2" xfId="31411" xr:uid="{7CBFA5DB-0BF0-42EB-AE9B-A1DC50123355}"/>
    <cellStyle name="Normal 5 4 3 5 3 3" xfId="22970" xr:uid="{14DF8E01-33AB-464D-8274-7D2CF91F71C5}"/>
    <cellStyle name="Normal 5 4 3 5 3 4" xfId="14522" xr:uid="{0E47C99A-9F43-4CCD-B04A-20DD104EE02E}"/>
    <cellStyle name="Normal 5 4 3 5 4" xfId="27193" xr:uid="{6D85F232-1F98-48DE-8ED3-6A0E9961A749}"/>
    <cellStyle name="Normal 5 4 3 5 5" xfId="18752" xr:uid="{CD1E432A-2E89-448E-91A7-451C521C2375}"/>
    <cellStyle name="Normal 5 4 3 5 6" xfId="10304" xr:uid="{3F9D8FA0-1660-4117-9EF7-E880F4905A6C}"/>
    <cellStyle name="Normal 5 4 3 6" xfId="2179" xr:uid="{00000000-0005-0000-0000-00001F1B0000}"/>
    <cellStyle name="Normal 5 4 3 6 2" xfId="4408" xr:uid="{00000000-0005-0000-0000-0000201B0000}"/>
    <cellStyle name="Normal 5 4 3 6 2 2" xfId="8630" xr:uid="{00000000-0005-0000-0000-0000211B0000}"/>
    <cellStyle name="Normal 5 4 3 6 2 2 2" xfId="33969" xr:uid="{AB711E06-3527-4869-A664-4C644667F41B}"/>
    <cellStyle name="Normal 5 4 3 6 2 2 3" xfId="25528" xr:uid="{3D562A7F-91A4-4C68-89EA-C1AA3305B29C}"/>
    <cellStyle name="Normal 5 4 3 6 2 2 4" xfId="17080" xr:uid="{CFCBC970-C1B4-4DC0-9CFD-E37325136C4A}"/>
    <cellStyle name="Normal 5 4 3 6 2 3" xfId="29751" xr:uid="{DD712953-CB1E-4DE2-ADE6-ECA8F673591C}"/>
    <cellStyle name="Normal 5 4 3 6 2 4" xfId="21310" xr:uid="{A44BD8E4-7761-4804-BB50-CE11F1CB6558}"/>
    <cellStyle name="Normal 5 4 3 6 2 5" xfId="12862" xr:uid="{88F20E38-E858-4486-8233-4E768DC89B4C}"/>
    <cellStyle name="Normal 5 4 3 6 3" xfId="6485" xr:uid="{00000000-0005-0000-0000-0000221B0000}"/>
    <cellStyle name="Normal 5 4 3 6 3 2" xfId="31824" xr:uid="{65D3545E-ECFD-4F48-B29B-FDC1BEC9CF8F}"/>
    <cellStyle name="Normal 5 4 3 6 3 3" xfId="23383" xr:uid="{B3C6CDA1-8654-4D8F-B1F9-245DDCBB0C91}"/>
    <cellStyle name="Normal 5 4 3 6 3 4" xfId="14935" xr:uid="{CC078652-1DD1-4477-B566-716C27DE00BB}"/>
    <cellStyle name="Normal 5 4 3 6 4" xfId="27606" xr:uid="{DD836A0A-ECA4-4D1F-A5CE-D704EE71E407}"/>
    <cellStyle name="Normal 5 4 3 6 5" xfId="19165" xr:uid="{2D7B62E1-9283-4256-BF64-8D6913664C95}"/>
    <cellStyle name="Normal 5 4 3 6 6" xfId="10717" xr:uid="{35D8BA1E-1112-4A88-86D7-850D9E213353}"/>
    <cellStyle name="Normal 5 4 3 7" xfId="2615" xr:uid="{00000000-0005-0000-0000-0000231B0000}"/>
    <cellStyle name="Normal 5 4 3 7 2" xfId="6898" xr:uid="{00000000-0005-0000-0000-0000241B0000}"/>
    <cellStyle name="Normal 5 4 3 7 2 2" xfId="32237" xr:uid="{184E8AB0-C681-4DB3-B0CA-4A2A242BCB78}"/>
    <cellStyle name="Normal 5 4 3 7 2 3" xfId="23796" xr:uid="{EC6E60FA-39F4-448E-BCBC-5AC1350ED75A}"/>
    <cellStyle name="Normal 5 4 3 7 2 4" xfId="15348" xr:uid="{944D6852-77E0-4211-ACF2-A4B9EA7B9BFF}"/>
    <cellStyle name="Normal 5 4 3 7 3" xfId="28019" xr:uid="{2137F90F-8221-44B0-A3EF-3B3A0E707FEF}"/>
    <cellStyle name="Normal 5 4 3 7 4" xfId="19578" xr:uid="{4EEE40AB-5CB3-4311-94CB-CD7A2BA05E48}"/>
    <cellStyle name="Normal 5 4 3 7 5" xfId="11130" xr:uid="{9D17C227-737A-4680-B529-C9F1FFA6721C}"/>
    <cellStyle name="Normal 5 4 3 8" xfId="4833" xr:uid="{00000000-0005-0000-0000-0000251B0000}"/>
    <cellStyle name="Normal 5 4 3 8 2" xfId="30172" xr:uid="{7FAB0EB1-575E-46A7-A0DC-A14F22643247}"/>
    <cellStyle name="Normal 5 4 3 8 3" xfId="21731" xr:uid="{7AB8109E-63B4-4CAB-B4DC-6931A7A2DF22}"/>
    <cellStyle name="Normal 5 4 3 8 4" xfId="13283" xr:uid="{ACC18DB4-5816-4EFE-A801-B52338E26581}"/>
    <cellStyle name="Normal 5 4 3 9" xfId="25954" xr:uid="{636D5D5D-0A0D-4227-968B-EDDEED5AAC99}"/>
    <cellStyle name="Normal 5 4 4" xfId="463" xr:uid="{00000000-0005-0000-0000-0000261B0000}"/>
    <cellStyle name="Normal 5 4 4 10" xfId="9067" xr:uid="{959817FC-485B-4932-B563-22C68357FF70}"/>
    <cellStyle name="Normal 5 4 4 2" xfId="937" xr:uid="{00000000-0005-0000-0000-0000271B0000}"/>
    <cellStyle name="Normal 5 4 4 2 2" xfId="3171" xr:uid="{00000000-0005-0000-0000-0000281B0000}"/>
    <cellStyle name="Normal 5 4 4 2 2 2" xfId="7393" xr:uid="{00000000-0005-0000-0000-0000291B0000}"/>
    <cellStyle name="Normal 5 4 4 2 2 2 2" xfId="32732" xr:uid="{BE7D19D4-9130-4638-862F-0E39A5ECEE1D}"/>
    <cellStyle name="Normal 5 4 4 2 2 2 3" xfId="24291" xr:uid="{26744314-515E-406B-AEE4-6D179F214C68}"/>
    <cellStyle name="Normal 5 4 4 2 2 2 4" xfId="15843" xr:uid="{9EE99798-585B-4A89-AC65-C7A081A1F011}"/>
    <cellStyle name="Normal 5 4 4 2 2 3" xfId="28514" xr:uid="{2706F262-4889-42B6-ABDA-62DE8879A92D}"/>
    <cellStyle name="Normal 5 4 4 2 2 4" xfId="20073" xr:uid="{969C9A53-A975-4FD0-939C-00DBA4386B93}"/>
    <cellStyle name="Normal 5 4 4 2 2 5" xfId="11625" xr:uid="{341D4882-78CA-4F8D-B3FE-8F5773FFBA6C}"/>
    <cellStyle name="Normal 5 4 4 2 3" xfId="5248" xr:uid="{00000000-0005-0000-0000-00002A1B0000}"/>
    <cellStyle name="Normal 5 4 4 2 3 2" xfId="30587" xr:uid="{6432E57C-612C-4947-89F3-AC27F5BD6B7F}"/>
    <cellStyle name="Normal 5 4 4 2 3 3" xfId="22146" xr:uid="{1B9E28CB-1904-4C48-8625-235BC7884848}"/>
    <cellStyle name="Normal 5 4 4 2 3 4" xfId="13698" xr:uid="{F48A30D3-B7F1-4744-BF4B-33EE1BB5A161}"/>
    <cellStyle name="Normal 5 4 4 2 4" xfId="26369" xr:uid="{AB87C027-D323-44C6-ACFE-558B0EDC4041}"/>
    <cellStyle name="Normal 5 4 4 2 5" xfId="17928" xr:uid="{A05D813C-D42A-4391-B1B8-5D5E585AB260}"/>
    <cellStyle name="Normal 5 4 4 2 6" xfId="9480" xr:uid="{0534D5BA-4054-4516-8A2C-2AA652CF0CD6}"/>
    <cellStyle name="Normal 5 4 4 3" xfId="1354" xr:uid="{00000000-0005-0000-0000-00002B1B0000}"/>
    <cellStyle name="Normal 5 4 4 3 2" xfId="3584" xr:uid="{00000000-0005-0000-0000-00002C1B0000}"/>
    <cellStyle name="Normal 5 4 4 3 2 2" xfId="7806" xr:uid="{00000000-0005-0000-0000-00002D1B0000}"/>
    <cellStyle name="Normal 5 4 4 3 2 2 2" xfId="33145" xr:uid="{F57E834C-EFC0-4E21-A0A2-C94C676C756F}"/>
    <cellStyle name="Normal 5 4 4 3 2 2 3" xfId="24704" xr:uid="{992FF495-DE29-426E-8E78-18E07FD73CEF}"/>
    <cellStyle name="Normal 5 4 4 3 2 2 4" xfId="16256" xr:uid="{5B035CE8-1122-4CD6-A1C1-912B94CF4119}"/>
    <cellStyle name="Normal 5 4 4 3 2 3" xfId="28927" xr:uid="{E394F0D0-3366-47EF-B609-261ED73C28D6}"/>
    <cellStyle name="Normal 5 4 4 3 2 4" xfId="20486" xr:uid="{E4707885-7007-4541-AC3C-A20EC36C2261}"/>
    <cellStyle name="Normal 5 4 4 3 2 5" xfId="12038" xr:uid="{4CFC885F-9A39-42AA-BA4C-53D679F6FE94}"/>
    <cellStyle name="Normal 5 4 4 3 3" xfId="5661" xr:uid="{00000000-0005-0000-0000-00002E1B0000}"/>
    <cellStyle name="Normal 5 4 4 3 3 2" xfId="31000" xr:uid="{F6CDFA54-5B09-4DD7-86E2-6A6D67DCE7CB}"/>
    <cellStyle name="Normal 5 4 4 3 3 3" xfId="22559" xr:uid="{24E9FC19-D822-4D66-BEFA-7EEABFE06C23}"/>
    <cellStyle name="Normal 5 4 4 3 3 4" xfId="14111" xr:uid="{90A2B96A-B948-47F3-A626-31E4531F89E2}"/>
    <cellStyle name="Normal 5 4 4 3 4" xfId="26782" xr:uid="{B7E358F5-3AFE-4A96-AD58-CA36847A2B4B}"/>
    <cellStyle name="Normal 5 4 4 3 5" xfId="18341" xr:uid="{425EE281-E161-434A-BD66-4648E9D5FF59}"/>
    <cellStyle name="Normal 5 4 4 3 6" xfId="9893" xr:uid="{731EBB3B-4992-4A82-A7A6-C7CB00830982}"/>
    <cellStyle name="Normal 5 4 4 4" xfId="1767" xr:uid="{00000000-0005-0000-0000-00002F1B0000}"/>
    <cellStyle name="Normal 5 4 4 4 2" xfId="3997" xr:uid="{00000000-0005-0000-0000-0000301B0000}"/>
    <cellStyle name="Normal 5 4 4 4 2 2" xfId="8219" xr:uid="{00000000-0005-0000-0000-0000311B0000}"/>
    <cellStyle name="Normal 5 4 4 4 2 2 2" xfId="33558" xr:uid="{989511BD-3CEC-457E-ADB9-EFF21732B389}"/>
    <cellStyle name="Normal 5 4 4 4 2 2 3" xfId="25117" xr:uid="{479EF1F2-1C2C-4843-956A-3F75E73C856F}"/>
    <cellStyle name="Normal 5 4 4 4 2 2 4" xfId="16669" xr:uid="{AFA75F43-8ABE-4038-95A3-A91DEECC0C28}"/>
    <cellStyle name="Normal 5 4 4 4 2 3" xfId="29340" xr:uid="{CFF19403-E34F-4C7A-833E-6C716BB5E85B}"/>
    <cellStyle name="Normal 5 4 4 4 2 4" xfId="20899" xr:uid="{E8804796-76B0-43A7-82B0-EFEF05A6D46A}"/>
    <cellStyle name="Normal 5 4 4 4 2 5" xfId="12451" xr:uid="{AE5DD8F4-5024-4E5B-AC70-B132C887D383}"/>
    <cellStyle name="Normal 5 4 4 4 3" xfId="6074" xr:uid="{00000000-0005-0000-0000-0000321B0000}"/>
    <cellStyle name="Normal 5 4 4 4 3 2" xfId="31413" xr:uid="{EE1C0EAA-3C1F-4215-BC91-8123599D80BD}"/>
    <cellStyle name="Normal 5 4 4 4 3 3" xfId="22972" xr:uid="{D32F4827-2DDE-4FD4-A8CF-92D39C3742CC}"/>
    <cellStyle name="Normal 5 4 4 4 3 4" xfId="14524" xr:uid="{1C54756D-7657-47FD-A464-21EFB00218F0}"/>
    <cellStyle name="Normal 5 4 4 4 4" xfId="27195" xr:uid="{6E2DC863-2B5F-49D5-90CA-DFC8D8FC0875}"/>
    <cellStyle name="Normal 5 4 4 4 5" xfId="18754" xr:uid="{A8D3189C-FC62-4152-8233-68CF2CF4992E}"/>
    <cellStyle name="Normal 5 4 4 4 6" xfId="10306" xr:uid="{F98F9E11-98BB-43B3-9D27-F863DFAC8BD7}"/>
    <cellStyle name="Normal 5 4 4 5" xfId="2181" xr:uid="{00000000-0005-0000-0000-0000331B0000}"/>
    <cellStyle name="Normal 5 4 4 5 2" xfId="4410" xr:uid="{00000000-0005-0000-0000-0000341B0000}"/>
    <cellStyle name="Normal 5 4 4 5 2 2" xfId="8632" xr:uid="{00000000-0005-0000-0000-0000351B0000}"/>
    <cellStyle name="Normal 5 4 4 5 2 2 2" xfId="33971" xr:uid="{38D20F38-9AEC-4C7A-8F76-F44978E6AF23}"/>
    <cellStyle name="Normal 5 4 4 5 2 2 3" xfId="25530" xr:uid="{931DC59E-7B46-43FB-A4FA-33EF5CED6918}"/>
    <cellStyle name="Normal 5 4 4 5 2 2 4" xfId="17082" xr:uid="{FFD2CE74-0A12-4CAB-8FA0-EE3A5F2522D5}"/>
    <cellStyle name="Normal 5 4 4 5 2 3" xfId="29753" xr:uid="{A7E5433F-DF90-4554-94E7-BEC57A0505BA}"/>
    <cellStyle name="Normal 5 4 4 5 2 4" xfId="21312" xr:uid="{74E06616-4F27-40A0-AFAC-A133F9337D91}"/>
    <cellStyle name="Normal 5 4 4 5 2 5" xfId="12864" xr:uid="{5AC6CA7B-4E25-4F51-8925-1398EE8B66D5}"/>
    <cellStyle name="Normal 5 4 4 5 3" xfId="6487" xr:uid="{00000000-0005-0000-0000-0000361B0000}"/>
    <cellStyle name="Normal 5 4 4 5 3 2" xfId="31826" xr:uid="{3A6CC4A7-4E5C-4BC5-9BC2-5EF99D918060}"/>
    <cellStyle name="Normal 5 4 4 5 3 3" xfId="23385" xr:uid="{BBE52B3D-9F7F-41F4-BC78-68BBBEF6F8C8}"/>
    <cellStyle name="Normal 5 4 4 5 3 4" xfId="14937" xr:uid="{CFC507D5-9D02-497B-A908-A556B320DC2B}"/>
    <cellStyle name="Normal 5 4 4 5 4" xfId="27608" xr:uid="{923D8886-85D9-4F84-A44A-8805B2398CFC}"/>
    <cellStyle name="Normal 5 4 4 5 5" xfId="19167" xr:uid="{3C7F8AE0-75D5-4230-B26C-112C8717249C}"/>
    <cellStyle name="Normal 5 4 4 5 6" xfId="10719" xr:uid="{74179331-45B1-4482-BD9B-A8FB70ED293C}"/>
    <cellStyle name="Normal 5 4 4 6" xfId="2617" xr:uid="{00000000-0005-0000-0000-0000371B0000}"/>
    <cellStyle name="Normal 5 4 4 6 2" xfId="6900" xr:uid="{00000000-0005-0000-0000-0000381B0000}"/>
    <cellStyle name="Normal 5 4 4 6 2 2" xfId="32239" xr:uid="{C5F02AAC-DA7B-4837-952F-2053E052588A}"/>
    <cellStyle name="Normal 5 4 4 6 2 3" xfId="23798" xr:uid="{1AF569E0-FF5E-445D-8A5C-E67F39442C02}"/>
    <cellStyle name="Normal 5 4 4 6 2 4" xfId="15350" xr:uid="{CE90B8EB-81DE-4797-BBA9-6C796972879A}"/>
    <cellStyle name="Normal 5 4 4 6 3" xfId="28021" xr:uid="{0C49877B-4CF5-49FD-993E-5367D060CACF}"/>
    <cellStyle name="Normal 5 4 4 6 4" xfId="19580" xr:uid="{EE842484-84A2-4824-85F1-D7A5F9BE57A6}"/>
    <cellStyle name="Normal 5 4 4 6 5" xfId="11132" xr:uid="{C04C930B-9E5A-4C03-AE84-11738DDBE648}"/>
    <cellStyle name="Normal 5 4 4 7" xfId="4835" xr:uid="{00000000-0005-0000-0000-0000391B0000}"/>
    <cellStyle name="Normal 5 4 4 7 2" xfId="30174" xr:uid="{AB6211A4-61AA-4BA7-A142-ECC968083D7B}"/>
    <cellStyle name="Normal 5 4 4 7 3" xfId="21733" xr:uid="{4DA3DAAC-674E-4864-BAC6-5124B37A69EB}"/>
    <cellStyle name="Normal 5 4 4 7 4" xfId="13285" xr:uid="{12A4D3AD-1D02-438F-BF35-63A05615E444}"/>
    <cellStyle name="Normal 5 4 4 8" xfId="25956" xr:uid="{63EE060B-F167-4883-99B4-FEED0839BF31}"/>
    <cellStyle name="Normal 5 4 4 9" xfId="17515" xr:uid="{070AFF7B-CC0D-4BF5-8CA3-42CBDBFA460E}"/>
    <cellStyle name="Normal 5 4 5" xfId="930" xr:uid="{00000000-0005-0000-0000-00003A1B0000}"/>
    <cellStyle name="Normal 5 4 5 2" xfId="3164" xr:uid="{00000000-0005-0000-0000-00003B1B0000}"/>
    <cellStyle name="Normal 5 4 5 2 2" xfId="7386" xr:uid="{00000000-0005-0000-0000-00003C1B0000}"/>
    <cellStyle name="Normal 5 4 5 2 2 2" xfId="32725" xr:uid="{BED10431-AE27-49A5-851B-9BBD776AD515}"/>
    <cellStyle name="Normal 5 4 5 2 2 3" xfId="24284" xr:uid="{6C63351F-DDCD-4D37-A668-9165CB4CE11F}"/>
    <cellStyle name="Normal 5 4 5 2 2 4" xfId="15836" xr:uid="{E0513C90-F9BE-4400-B757-DFED29C63B32}"/>
    <cellStyle name="Normal 5 4 5 2 3" xfId="28507" xr:uid="{45F98CB2-2342-4AC0-B012-8BB072BB39B1}"/>
    <cellStyle name="Normal 5 4 5 2 4" xfId="20066" xr:uid="{B1AEFE98-903A-4E9A-AC29-9F082D383E2C}"/>
    <cellStyle name="Normal 5 4 5 2 5" xfId="11618" xr:uid="{E2B5375F-060A-4541-B614-5C34AE54F0E2}"/>
    <cellStyle name="Normal 5 4 5 3" xfId="5241" xr:uid="{00000000-0005-0000-0000-00003D1B0000}"/>
    <cellStyle name="Normal 5 4 5 3 2" xfId="30580" xr:uid="{D313EDD8-4FD0-432F-991A-79C2B86B0965}"/>
    <cellStyle name="Normal 5 4 5 3 3" xfId="22139" xr:uid="{24D68B63-5167-4A22-BD93-6D3EBF13D63A}"/>
    <cellStyle name="Normal 5 4 5 3 4" xfId="13691" xr:uid="{7ECF9DBB-147A-4DEE-8D95-E5351B193246}"/>
    <cellStyle name="Normal 5 4 5 4" xfId="26362" xr:uid="{4BEDEB68-AFDF-48FD-85C5-69EEAED06967}"/>
    <cellStyle name="Normal 5 4 5 5" xfId="17921" xr:uid="{47A7D61E-B0D9-42E7-80E2-10E65F184A57}"/>
    <cellStyle name="Normal 5 4 5 6" xfId="9473" xr:uid="{EE10A5EE-5475-4421-8FCD-3AD946565BBA}"/>
    <cellStyle name="Normal 5 4 6" xfId="1347" xr:uid="{00000000-0005-0000-0000-00003E1B0000}"/>
    <cellStyle name="Normal 5 4 6 2" xfId="3577" xr:uid="{00000000-0005-0000-0000-00003F1B0000}"/>
    <cellStyle name="Normal 5 4 6 2 2" xfId="7799" xr:uid="{00000000-0005-0000-0000-0000401B0000}"/>
    <cellStyle name="Normal 5 4 6 2 2 2" xfId="33138" xr:uid="{240B1CAA-01B0-4211-A403-D1AC686AA865}"/>
    <cellStyle name="Normal 5 4 6 2 2 3" xfId="24697" xr:uid="{8F27474E-431C-4E7F-8F3B-9EEA8D8D4464}"/>
    <cellStyle name="Normal 5 4 6 2 2 4" xfId="16249" xr:uid="{D8322540-1F49-4026-BC91-B2DE94E14DA3}"/>
    <cellStyle name="Normal 5 4 6 2 3" xfId="28920" xr:uid="{570CCCE5-55A2-408C-B41D-BBD38808D195}"/>
    <cellStyle name="Normal 5 4 6 2 4" xfId="20479" xr:uid="{D32C434B-C0DF-495F-AB14-F3EB4C691439}"/>
    <cellStyle name="Normal 5 4 6 2 5" xfId="12031" xr:uid="{0F183A66-0EF4-4647-BE14-8DF33F796D18}"/>
    <cellStyle name="Normal 5 4 6 3" xfId="5654" xr:uid="{00000000-0005-0000-0000-0000411B0000}"/>
    <cellStyle name="Normal 5 4 6 3 2" xfId="30993" xr:uid="{1DAA8EB1-EF57-400E-8C1F-552C5BDDC416}"/>
    <cellStyle name="Normal 5 4 6 3 3" xfId="22552" xr:uid="{7AB35C01-F16D-409F-BE0C-0D79714021AF}"/>
    <cellStyle name="Normal 5 4 6 3 4" xfId="14104" xr:uid="{001B1A8C-9533-42B2-B399-A97FBEE67455}"/>
    <cellStyle name="Normal 5 4 6 4" xfId="26775" xr:uid="{80401613-23F4-43C0-A4FE-6C9C486A4F4B}"/>
    <cellStyle name="Normal 5 4 6 5" xfId="18334" xr:uid="{ECB4365E-E027-4117-AEA2-8D3950BD5BB8}"/>
    <cellStyle name="Normal 5 4 6 6" xfId="9886" xr:uid="{0118519C-FA19-46AA-8062-0C291AF73847}"/>
    <cellStyle name="Normal 5 4 7" xfId="1760" xr:uid="{00000000-0005-0000-0000-0000421B0000}"/>
    <cellStyle name="Normal 5 4 7 2" xfId="3990" xr:uid="{00000000-0005-0000-0000-0000431B0000}"/>
    <cellStyle name="Normal 5 4 7 2 2" xfId="8212" xr:uid="{00000000-0005-0000-0000-0000441B0000}"/>
    <cellStyle name="Normal 5 4 7 2 2 2" xfId="33551" xr:uid="{FEBD8D98-95BF-41E7-90CA-0F908B7F6303}"/>
    <cellStyle name="Normal 5 4 7 2 2 3" xfId="25110" xr:uid="{F4D60450-4852-4F03-853D-661A4BCBE6EE}"/>
    <cellStyle name="Normal 5 4 7 2 2 4" xfId="16662" xr:uid="{BD52298C-D25B-42A6-AC2B-290CA35B38C0}"/>
    <cellStyle name="Normal 5 4 7 2 3" xfId="29333" xr:uid="{AD626660-657F-404D-9F90-9E0DF049CCE1}"/>
    <cellStyle name="Normal 5 4 7 2 4" xfId="20892" xr:uid="{F087DC06-5B54-4E12-AEDB-F183121FAB7C}"/>
    <cellStyle name="Normal 5 4 7 2 5" xfId="12444" xr:uid="{5AD8E523-D96F-4BDD-8B59-502251AED3D1}"/>
    <cellStyle name="Normal 5 4 7 3" xfId="6067" xr:uid="{00000000-0005-0000-0000-0000451B0000}"/>
    <cellStyle name="Normal 5 4 7 3 2" xfId="31406" xr:uid="{FE7D0969-C7EB-43C4-9527-A35D30BD9A94}"/>
    <cellStyle name="Normal 5 4 7 3 3" xfId="22965" xr:uid="{10C2B2BD-8E1E-45AC-B8E2-0D9B76E08C57}"/>
    <cellStyle name="Normal 5 4 7 3 4" xfId="14517" xr:uid="{C95E66CF-5766-484F-86DF-22DB77FDCE67}"/>
    <cellStyle name="Normal 5 4 7 4" xfId="27188" xr:uid="{DCEC8AB4-EDE0-4397-9358-985754E2A9DD}"/>
    <cellStyle name="Normal 5 4 7 5" xfId="18747" xr:uid="{CA8F1836-E6E1-435B-9AAD-41722F51295E}"/>
    <cellStyle name="Normal 5 4 7 6" xfId="10299" xr:uid="{DE9AE3BE-C8B0-4B60-AF0B-ECC18C159B98}"/>
    <cellStyle name="Normal 5 4 8" xfId="2174" xr:uid="{00000000-0005-0000-0000-0000461B0000}"/>
    <cellStyle name="Normal 5 4 8 2" xfId="4403" xr:uid="{00000000-0005-0000-0000-0000471B0000}"/>
    <cellStyle name="Normal 5 4 8 2 2" xfId="8625" xr:uid="{00000000-0005-0000-0000-0000481B0000}"/>
    <cellStyle name="Normal 5 4 8 2 2 2" xfId="33964" xr:uid="{36DE3DEE-5E3F-4F44-A513-A0B059509BE6}"/>
    <cellStyle name="Normal 5 4 8 2 2 3" xfId="25523" xr:uid="{2A3836E9-8E6E-48A7-A90E-83A53D4A4CE9}"/>
    <cellStyle name="Normal 5 4 8 2 2 4" xfId="17075" xr:uid="{826092E3-9BAA-49B0-8D6F-9FD5FCAAE0D3}"/>
    <cellStyle name="Normal 5 4 8 2 3" xfId="29746" xr:uid="{81AC9DCA-C658-4DA7-AD94-1367DB8894E3}"/>
    <cellStyle name="Normal 5 4 8 2 4" xfId="21305" xr:uid="{97264741-F58F-4198-805D-39CF211B7DBB}"/>
    <cellStyle name="Normal 5 4 8 2 5" xfId="12857" xr:uid="{7C382205-4FA1-44EA-A88A-59E67FF4BEFA}"/>
    <cellStyle name="Normal 5 4 8 3" xfId="6480" xr:uid="{00000000-0005-0000-0000-0000491B0000}"/>
    <cellStyle name="Normal 5 4 8 3 2" xfId="31819" xr:uid="{EAA3E9C0-027A-41CF-B535-FAEEE827557D}"/>
    <cellStyle name="Normal 5 4 8 3 3" xfId="23378" xr:uid="{54D676A8-193F-42C7-A999-C2AC72066E54}"/>
    <cellStyle name="Normal 5 4 8 3 4" xfId="14930" xr:uid="{0C238337-AB8C-40EF-8346-73F89C1B24FC}"/>
    <cellStyle name="Normal 5 4 8 4" xfId="27601" xr:uid="{42FC5D2C-9682-4AD8-A39E-BC3BCBD95538}"/>
    <cellStyle name="Normal 5 4 8 5" xfId="19160" xr:uid="{1ABED29A-756F-4818-AA27-2301B6CC22B9}"/>
    <cellStyle name="Normal 5 4 8 6" xfId="10712" xr:uid="{FC77FC9F-554D-4EB5-A5F9-80ABB13E8893}"/>
    <cellStyle name="Normal 5 4 9" xfId="2610" xr:uid="{00000000-0005-0000-0000-00004A1B0000}"/>
    <cellStyle name="Normal 5 4 9 2" xfId="6893" xr:uid="{00000000-0005-0000-0000-00004B1B0000}"/>
    <cellStyle name="Normal 5 4 9 2 2" xfId="32232" xr:uid="{06BE45B0-0827-4D8D-9CA4-4753B94F00F0}"/>
    <cellStyle name="Normal 5 4 9 2 3" xfId="23791" xr:uid="{AFA6DFA3-1436-4FFC-B553-CE5B84BDE208}"/>
    <cellStyle name="Normal 5 4 9 2 4" xfId="15343" xr:uid="{F3810FC5-4AAB-4881-B336-8CF72B95428F}"/>
    <cellStyle name="Normal 5 4 9 3" xfId="28014" xr:uid="{E4317C82-AA61-4961-9D5A-75389A61D9BA}"/>
    <cellStyle name="Normal 5 4 9 4" xfId="19573" xr:uid="{F7734E78-9B41-428E-94F8-3A3E8F4A1BC3}"/>
    <cellStyle name="Normal 5 4 9 5" xfId="11125" xr:uid="{8FEAD8F2-B03C-41F0-8C3D-BD8051ADF982}"/>
    <cellStyle name="Normal 5 5" xfId="464" xr:uid="{00000000-0005-0000-0000-00004C1B0000}"/>
    <cellStyle name="Normal 5 5 10" xfId="25957" xr:uid="{19552D9A-7CFF-4434-BAD1-7B41AB3E50C6}"/>
    <cellStyle name="Normal 5 5 11" xfId="17516" xr:uid="{34A9BBB8-6915-488A-B256-04F5B4B31BF4}"/>
    <cellStyle name="Normal 5 5 12" xfId="9068" xr:uid="{78AA1AFE-921F-404C-BC1B-7A4F30A62095}"/>
    <cellStyle name="Normal 5 5 2" xfId="465" xr:uid="{00000000-0005-0000-0000-00004D1B0000}"/>
    <cellStyle name="Normal 5 5 2 10" xfId="17517" xr:uid="{E89FA54F-2BC2-4C82-9888-49656407E11D}"/>
    <cellStyle name="Normal 5 5 2 11" xfId="9069" xr:uid="{F92C9049-4DDB-4D7A-82D9-C47B67204BD1}"/>
    <cellStyle name="Normal 5 5 2 2" xfId="466" xr:uid="{00000000-0005-0000-0000-00004E1B0000}"/>
    <cellStyle name="Normal 5 5 2 2 10" xfId="9070" xr:uid="{D45FEAB1-BC83-49BB-A96F-BEE2CED4FAA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32735" xr:uid="{77EE2B61-0EAB-48E8-95A3-AAFB6D24CCE7}"/>
    <cellStyle name="Normal 5 5 2 2 2 2 2 3" xfId="24294" xr:uid="{65248B30-F38C-48A6-B38C-4598463888A2}"/>
    <cellStyle name="Normal 5 5 2 2 2 2 2 4" xfId="15846" xr:uid="{5FE0C993-DC1A-4B51-8F80-994B12B24EA2}"/>
    <cellStyle name="Normal 5 5 2 2 2 2 3" xfId="28517" xr:uid="{AC9D68BC-9F27-4EEB-968F-30E921944199}"/>
    <cellStyle name="Normal 5 5 2 2 2 2 4" xfId="20076" xr:uid="{7F891F7F-BB65-4D78-B7A0-347A83BD4547}"/>
    <cellStyle name="Normal 5 5 2 2 2 2 5" xfId="11628" xr:uid="{A9009E29-9475-48D5-9D7B-91CF2257CBAF}"/>
    <cellStyle name="Normal 5 5 2 2 2 3" xfId="5251" xr:uid="{00000000-0005-0000-0000-0000521B0000}"/>
    <cellStyle name="Normal 5 5 2 2 2 3 2" xfId="30590" xr:uid="{3CFAC098-24DE-4994-BCA5-5EA0FB01BE14}"/>
    <cellStyle name="Normal 5 5 2 2 2 3 3" xfId="22149" xr:uid="{6B0675CF-F4FB-46C1-AD8C-DC820E50E9C4}"/>
    <cellStyle name="Normal 5 5 2 2 2 3 4" xfId="13701" xr:uid="{433A1BAD-3504-4E29-9916-53F93B74CBF3}"/>
    <cellStyle name="Normal 5 5 2 2 2 4" xfId="26372" xr:uid="{E3D21F0F-7CAD-42C5-94D5-A7043543DA44}"/>
    <cellStyle name="Normal 5 5 2 2 2 5" xfId="17931" xr:uid="{22424226-3470-471C-B6A2-54E51C01AB80}"/>
    <cellStyle name="Normal 5 5 2 2 2 6" xfId="9483" xr:uid="{4303EAE1-206F-46CA-B471-57B0B6B433BF}"/>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33148" xr:uid="{D55E3A72-179B-404C-A071-712670C8F6F1}"/>
    <cellStyle name="Normal 5 5 2 2 3 2 2 3" xfId="24707" xr:uid="{2A22D88F-6135-4DBF-A3DB-7889711FD5F0}"/>
    <cellStyle name="Normal 5 5 2 2 3 2 2 4" xfId="16259" xr:uid="{1ED0C952-997A-429E-B093-E57E52224042}"/>
    <cellStyle name="Normal 5 5 2 2 3 2 3" xfId="28930" xr:uid="{107E698F-7DDC-460C-ABB1-A73440E9BB83}"/>
    <cellStyle name="Normal 5 5 2 2 3 2 4" xfId="20489" xr:uid="{6F9E3718-8A10-40DC-8BC8-B7D56690808B}"/>
    <cellStyle name="Normal 5 5 2 2 3 2 5" xfId="12041" xr:uid="{DB55211E-6434-4161-8540-EAA1F42E1CF1}"/>
    <cellStyle name="Normal 5 5 2 2 3 3" xfId="5664" xr:uid="{00000000-0005-0000-0000-0000561B0000}"/>
    <cellStyle name="Normal 5 5 2 2 3 3 2" xfId="31003" xr:uid="{0E022EB8-306B-4918-9EBB-7CD87CAB25BA}"/>
    <cellStyle name="Normal 5 5 2 2 3 3 3" xfId="22562" xr:uid="{49EF8FB6-8CCF-4058-8F70-D617FB018979}"/>
    <cellStyle name="Normal 5 5 2 2 3 3 4" xfId="14114" xr:uid="{99FF4A02-AF49-42E4-9FE3-5AE555C73C5A}"/>
    <cellStyle name="Normal 5 5 2 2 3 4" xfId="26785" xr:uid="{731CEC8F-A2C2-46C1-ABA0-630C4A30B664}"/>
    <cellStyle name="Normal 5 5 2 2 3 5" xfId="18344" xr:uid="{C92AA9F0-7499-4AE2-8756-46E8B72677E0}"/>
    <cellStyle name="Normal 5 5 2 2 3 6" xfId="9896" xr:uid="{186C9EA9-C83C-4B79-B197-E3D75E68CC79}"/>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33561" xr:uid="{7BE28576-DA44-44F9-8494-8237EE474AB2}"/>
    <cellStyle name="Normal 5 5 2 2 4 2 2 3" xfId="25120" xr:uid="{CAB5D7A7-CBF7-4A10-B96D-C94172D0D02A}"/>
    <cellStyle name="Normal 5 5 2 2 4 2 2 4" xfId="16672" xr:uid="{02959F01-97BC-456F-ADF8-1B27770FA046}"/>
    <cellStyle name="Normal 5 5 2 2 4 2 3" xfId="29343" xr:uid="{DBCD7FF8-16B6-4A8C-BABB-D06588A84506}"/>
    <cellStyle name="Normal 5 5 2 2 4 2 4" xfId="20902" xr:uid="{9E298116-59E6-4CAE-BB74-C6C94363A1C8}"/>
    <cellStyle name="Normal 5 5 2 2 4 2 5" xfId="12454" xr:uid="{2BB7D7AB-F30A-47E5-8374-E79CB3D8AC0A}"/>
    <cellStyle name="Normal 5 5 2 2 4 3" xfId="6077" xr:uid="{00000000-0005-0000-0000-00005A1B0000}"/>
    <cellStyle name="Normal 5 5 2 2 4 3 2" xfId="31416" xr:uid="{93A66498-8DBA-4DD8-81E9-F1899DF8B4A4}"/>
    <cellStyle name="Normal 5 5 2 2 4 3 3" xfId="22975" xr:uid="{FDE3EFEE-0A8C-469D-8CC5-1D631FAD3FF4}"/>
    <cellStyle name="Normal 5 5 2 2 4 3 4" xfId="14527" xr:uid="{A7DBCFFF-3436-4F4F-90D8-74866AD5069C}"/>
    <cellStyle name="Normal 5 5 2 2 4 4" xfId="27198" xr:uid="{5B12244C-0B6C-4B1C-9043-B9814498FDB0}"/>
    <cellStyle name="Normal 5 5 2 2 4 5" xfId="18757" xr:uid="{17C5A484-264D-4959-9C53-122897260FB7}"/>
    <cellStyle name="Normal 5 5 2 2 4 6" xfId="10309" xr:uid="{7D0DEAF2-0329-492C-9D27-58C2278C37FA}"/>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33974" xr:uid="{A661DC4A-8C74-4FC9-8693-84BDFAA6ABA2}"/>
    <cellStyle name="Normal 5 5 2 2 5 2 2 3" xfId="25533" xr:uid="{FE10582D-CECD-47C1-AB8F-6733BF3D1368}"/>
    <cellStyle name="Normal 5 5 2 2 5 2 2 4" xfId="17085" xr:uid="{DB975221-1FAF-4220-ADC3-6EE87391FD18}"/>
    <cellStyle name="Normal 5 5 2 2 5 2 3" xfId="29756" xr:uid="{297EF5D1-9B65-46E6-96B5-D6364733D5C9}"/>
    <cellStyle name="Normal 5 5 2 2 5 2 4" xfId="21315" xr:uid="{4C001A4B-C11D-4D8D-B8AB-9A8506F4CE77}"/>
    <cellStyle name="Normal 5 5 2 2 5 2 5" xfId="12867" xr:uid="{CA6E1C55-1C44-45C7-9E7B-771D56B23627}"/>
    <cellStyle name="Normal 5 5 2 2 5 3" xfId="6490" xr:uid="{00000000-0005-0000-0000-00005E1B0000}"/>
    <cellStyle name="Normal 5 5 2 2 5 3 2" xfId="31829" xr:uid="{8AD8BC50-08B5-49EF-83EE-A0A930DD14C5}"/>
    <cellStyle name="Normal 5 5 2 2 5 3 3" xfId="23388" xr:uid="{1C75E99F-A8D9-4724-BAB1-FF872ADAE5E6}"/>
    <cellStyle name="Normal 5 5 2 2 5 3 4" xfId="14940" xr:uid="{97F83FAE-12E2-496F-8632-BDD821FDF413}"/>
    <cellStyle name="Normal 5 5 2 2 5 4" xfId="27611" xr:uid="{80024A31-5DE2-429F-BC31-BE3E6988858F}"/>
    <cellStyle name="Normal 5 5 2 2 5 5" xfId="19170" xr:uid="{05FC6C9A-5B6C-4762-B765-355D79DDE821}"/>
    <cellStyle name="Normal 5 5 2 2 5 6" xfId="10722" xr:uid="{246AB854-7E49-4CE5-B6BC-7BD0C0B56FEA}"/>
    <cellStyle name="Normal 5 5 2 2 6" xfId="2620" xr:uid="{00000000-0005-0000-0000-00005F1B0000}"/>
    <cellStyle name="Normal 5 5 2 2 6 2" xfId="6903" xr:uid="{00000000-0005-0000-0000-0000601B0000}"/>
    <cellStyle name="Normal 5 5 2 2 6 2 2" xfId="32242" xr:uid="{5724018B-EC54-479F-8BF0-9E55A7D3BC87}"/>
    <cellStyle name="Normal 5 5 2 2 6 2 3" xfId="23801" xr:uid="{4288FAE9-B525-4009-8731-CCC9A73B4C43}"/>
    <cellStyle name="Normal 5 5 2 2 6 2 4" xfId="15353" xr:uid="{F9215965-8BA1-4EC5-B70F-EE090C9B830E}"/>
    <cellStyle name="Normal 5 5 2 2 6 3" xfId="28024" xr:uid="{C45486D8-FB74-4A9D-9ED9-8FA5F8C7724C}"/>
    <cellStyle name="Normal 5 5 2 2 6 4" xfId="19583" xr:uid="{55FD9D0C-BC04-4A93-A71A-979FA046D2D9}"/>
    <cellStyle name="Normal 5 5 2 2 6 5" xfId="11135" xr:uid="{7FA44FEF-C63A-44CC-A93B-3AC6C847A47B}"/>
    <cellStyle name="Normal 5 5 2 2 7" xfId="4838" xr:uid="{00000000-0005-0000-0000-0000611B0000}"/>
    <cellStyle name="Normal 5 5 2 2 7 2" xfId="30177" xr:uid="{0E7F9DED-2859-4D1C-A44E-E6EF58EF2180}"/>
    <cellStyle name="Normal 5 5 2 2 7 3" xfId="21736" xr:uid="{334FF68E-0D4E-4374-9B75-86672F00FCDF}"/>
    <cellStyle name="Normal 5 5 2 2 7 4" xfId="13288" xr:uid="{159D7CD8-8469-4C2C-8834-EC60C27EDAEA}"/>
    <cellStyle name="Normal 5 5 2 2 8" xfId="25959" xr:uid="{C3E966BE-37FF-4201-AE51-1FA5C1740D57}"/>
    <cellStyle name="Normal 5 5 2 2 9" xfId="17518" xr:uid="{3AB2223F-42D5-4A61-BDBD-94C7F3D09676}"/>
    <cellStyle name="Normal 5 5 2 3" xfId="939" xr:uid="{00000000-0005-0000-0000-0000621B0000}"/>
    <cellStyle name="Normal 5 5 2 3 2" xfId="3173" xr:uid="{00000000-0005-0000-0000-0000631B0000}"/>
    <cellStyle name="Normal 5 5 2 3 2 2" xfId="7395" xr:uid="{00000000-0005-0000-0000-0000641B0000}"/>
    <cellStyle name="Normal 5 5 2 3 2 2 2" xfId="32734" xr:uid="{580DF70F-4450-4DFC-874A-15A9B099F1AA}"/>
    <cellStyle name="Normal 5 5 2 3 2 2 3" xfId="24293" xr:uid="{118EEB0D-EF11-4378-BDD7-31CB2F5CCDCA}"/>
    <cellStyle name="Normal 5 5 2 3 2 2 4" xfId="15845" xr:uid="{C643387A-D6D0-4C12-A6D9-72A41A9A62AC}"/>
    <cellStyle name="Normal 5 5 2 3 2 3" xfId="28516" xr:uid="{E5FBB399-F170-4E96-8D5C-2CFFB193FDA6}"/>
    <cellStyle name="Normal 5 5 2 3 2 4" xfId="20075" xr:uid="{A32206B2-6B43-4DFA-B6C2-446C29F7B66A}"/>
    <cellStyle name="Normal 5 5 2 3 2 5" xfId="11627" xr:uid="{96E35B2A-5298-4A60-9BD8-5AA2745A03B2}"/>
    <cellStyle name="Normal 5 5 2 3 3" xfId="5250" xr:uid="{00000000-0005-0000-0000-0000651B0000}"/>
    <cellStyle name="Normal 5 5 2 3 3 2" xfId="30589" xr:uid="{72FFBCA5-A9F6-4C1D-8EAD-CED548858774}"/>
    <cellStyle name="Normal 5 5 2 3 3 3" xfId="22148" xr:uid="{3A1CFF93-FFC1-4394-9440-2B5059E6BA17}"/>
    <cellStyle name="Normal 5 5 2 3 3 4" xfId="13700" xr:uid="{350318CD-BACD-4001-B68E-AD86EA0C8FFA}"/>
    <cellStyle name="Normal 5 5 2 3 4" xfId="26371" xr:uid="{FF27B880-E30A-48BE-BA3C-108225A959E9}"/>
    <cellStyle name="Normal 5 5 2 3 5" xfId="17930" xr:uid="{8F3BA006-6EF1-48E5-A1FF-CFD4BECD56A7}"/>
    <cellStyle name="Normal 5 5 2 3 6" xfId="9482" xr:uid="{F806B2BD-227E-4D9E-8F9F-AD74F5CF497C}"/>
    <cellStyle name="Normal 5 5 2 4" xfId="1356" xr:uid="{00000000-0005-0000-0000-0000661B0000}"/>
    <cellStyle name="Normal 5 5 2 4 2" xfId="3586" xr:uid="{00000000-0005-0000-0000-0000671B0000}"/>
    <cellStyle name="Normal 5 5 2 4 2 2" xfId="7808" xr:uid="{00000000-0005-0000-0000-0000681B0000}"/>
    <cellStyle name="Normal 5 5 2 4 2 2 2" xfId="33147" xr:uid="{A7F51E69-E142-400A-80A7-D7386B8BB557}"/>
    <cellStyle name="Normal 5 5 2 4 2 2 3" xfId="24706" xr:uid="{C51F2B62-18B1-4ABB-ACB3-161B6DD0C0AC}"/>
    <cellStyle name="Normal 5 5 2 4 2 2 4" xfId="16258" xr:uid="{76205B68-6EDF-4863-AE83-B10F98934689}"/>
    <cellStyle name="Normal 5 5 2 4 2 3" xfId="28929" xr:uid="{92B4DDA7-42EF-46BF-BAA4-3B53075CB40E}"/>
    <cellStyle name="Normal 5 5 2 4 2 4" xfId="20488" xr:uid="{300B4A55-A823-4554-A426-E2877768F71D}"/>
    <cellStyle name="Normal 5 5 2 4 2 5" xfId="12040" xr:uid="{5656A274-82E1-4A87-AB81-2642D8E1A226}"/>
    <cellStyle name="Normal 5 5 2 4 3" xfId="5663" xr:uid="{00000000-0005-0000-0000-0000691B0000}"/>
    <cellStyle name="Normal 5 5 2 4 3 2" xfId="31002" xr:uid="{2C9EEEAA-4717-4BFC-BE41-112177BB0F63}"/>
    <cellStyle name="Normal 5 5 2 4 3 3" xfId="22561" xr:uid="{06F311B5-6646-4101-B89B-E02A4BFBC534}"/>
    <cellStyle name="Normal 5 5 2 4 3 4" xfId="14113" xr:uid="{941C9C7C-B254-413F-8482-3D4223FB5D13}"/>
    <cellStyle name="Normal 5 5 2 4 4" xfId="26784" xr:uid="{917B34BB-5D87-4407-9F9D-C1B956F36B47}"/>
    <cellStyle name="Normal 5 5 2 4 5" xfId="18343" xr:uid="{63E4BF2D-6478-4032-BA22-A3D8EA6EFBAA}"/>
    <cellStyle name="Normal 5 5 2 4 6" xfId="9895" xr:uid="{7A7FA154-749A-434B-8436-D7B0A9920309}"/>
    <cellStyle name="Normal 5 5 2 5" xfId="1769" xr:uid="{00000000-0005-0000-0000-00006A1B0000}"/>
    <cellStyle name="Normal 5 5 2 5 2" xfId="3999" xr:uid="{00000000-0005-0000-0000-00006B1B0000}"/>
    <cellStyle name="Normal 5 5 2 5 2 2" xfId="8221" xr:uid="{00000000-0005-0000-0000-00006C1B0000}"/>
    <cellStyle name="Normal 5 5 2 5 2 2 2" xfId="33560" xr:uid="{12F1EB7F-8DDC-4034-AA8F-0BAD6C511755}"/>
    <cellStyle name="Normal 5 5 2 5 2 2 3" xfId="25119" xr:uid="{B3FEEB84-AC4D-4F92-9444-E2570CE157A6}"/>
    <cellStyle name="Normal 5 5 2 5 2 2 4" xfId="16671" xr:uid="{B2F5E3D3-D110-4E7E-8613-C190C41BC095}"/>
    <cellStyle name="Normal 5 5 2 5 2 3" xfId="29342" xr:uid="{749063CF-ED00-497F-AE6C-D5DDF99306D5}"/>
    <cellStyle name="Normal 5 5 2 5 2 4" xfId="20901" xr:uid="{3AF168A6-EF8E-4802-A392-A5825907F213}"/>
    <cellStyle name="Normal 5 5 2 5 2 5" xfId="12453" xr:uid="{1DAEB652-6557-4607-A550-29BEC63CF200}"/>
    <cellStyle name="Normal 5 5 2 5 3" xfId="6076" xr:uid="{00000000-0005-0000-0000-00006D1B0000}"/>
    <cellStyle name="Normal 5 5 2 5 3 2" xfId="31415" xr:uid="{83510CD1-86BF-46E7-AD79-29DEEA910590}"/>
    <cellStyle name="Normal 5 5 2 5 3 3" xfId="22974" xr:uid="{B2193CC2-E1E6-4CED-8EEE-C0E5BFEB148C}"/>
    <cellStyle name="Normal 5 5 2 5 3 4" xfId="14526" xr:uid="{993D4A4D-B972-49E8-B8BC-B8106BFA12F2}"/>
    <cellStyle name="Normal 5 5 2 5 4" xfId="27197" xr:uid="{090F11B9-95EF-478C-BBB7-BA198B289BEC}"/>
    <cellStyle name="Normal 5 5 2 5 5" xfId="18756" xr:uid="{18B59340-A3A7-4473-8F4B-97C7A717E35A}"/>
    <cellStyle name="Normal 5 5 2 5 6" xfId="10308" xr:uid="{76CAAAB2-DDE7-419F-8EBF-DBAEC00025A7}"/>
    <cellStyle name="Normal 5 5 2 6" xfId="2183" xr:uid="{00000000-0005-0000-0000-00006E1B0000}"/>
    <cellStyle name="Normal 5 5 2 6 2" xfId="4412" xr:uid="{00000000-0005-0000-0000-00006F1B0000}"/>
    <cellStyle name="Normal 5 5 2 6 2 2" xfId="8634" xr:uid="{00000000-0005-0000-0000-0000701B0000}"/>
    <cellStyle name="Normal 5 5 2 6 2 2 2" xfId="33973" xr:uid="{66B9AF00-9388-428C-A236-79740FB11E58}"/>
    <cellStyle name="Normal 5 5 2 6 2 2 3" xfId="25532" xr:uid="{1589844B-087E-4F84-91BE-298BB391F17F}"/>
    <cellStyle name="Normal 5 5 2 6 2 2 4" xfId="17084" xr:uid="{418E5FF7-C5AB-4492-BFA4-A17229C8411F}"/>
    <cellStyle name="Normal 5 5 2 6 2 3" xfId="29755" xr:uid="{8F9403D5-FAD5-46A8-AF26-59F62C71D54C}"/>
    <cellStyle name="Normal 5 5 2 6 2 4" xfId="21314" xr:uid="{231C5F64-266B-4200-A742-6EDF59FA3797}"/>
    <cellStyle name="Normal 5 5 2 6 2 5" xfId="12866" xr:uid="{4B127322-666D-41E4-A825-0B46013928B4}"/>
    <cellStyle name="Normal 5 5 2 6 3" xfId="6489" xr:uid="{00000000-0005-0000-0000-0000711B0000}"/>
    <cellStyle name="Normal 5 5 2 6 3 2" xfId="31828" xr:uid="{3EA09377-98AB-41E2-AEFE-4D04EB06072E}"/>
    <cellStyle name="Normal 5 5 2 6 3 3" xfId="23387" xr:uid="{7C5B2249-11F1-4ABE-8F78-BC2C12D9FA1E}"/>
    <cellStyle name="Normal 5 5 2 6 3 4" xfId="14939" xr:uid="{5A6605E6-5E3D-4755-90F3-EAEA23BE1B19}"/>
    <cellStyle name="Normal 5 5 2 6 4" xfId="27610" xr:uid="{7331DE31-C641-4C97-BD77-47CE2E0F7792}"/>
    <cellStyle name="Normal 5 5 2 6 5" xfId="19169" xr:uid="{F8A7D710-6DD6-444D-9122-2B5CF953229D}"/>
    <cellStyle name="Normal 5 5 2 6 6" xfId="10721" xr:uid="{3E074880-C848-495C-8802-D00CA8F24A35}"/>
    <cellStyle name="Normal 5 5 2 7" xfId="2619" xr:uid="{00000000-0005-0000-0000-0000721B0000}"/>
    <cellStyle name="Normal 5 5 2 7 2" xfId="6902" xr:uid="{00000000-0005-0000-0000-0000731B0000}"/>
    <cellStyle name="Normal 5 5 2 7 2 2" xfId="32241" xr:uid="{E4429655-9BC1-4DD2-A260-38D27BAED3C1}"/>
    <cellStyle name="Normal 5 5 2 7 2 3" xfId="23800" xr:uid="{AC915F26-5A42-4996-B9D9-83B2259E5F5B}"/>
    <cellStyle name="Normal 5 5 2 7 2 4" xfId="15352" xr:uid="{AA280803-4D0B-4CF2-81CD-232E82DCFD5E}"/>
    <cellStyle name="Normal 5 5 2 7 3" xfId="28023" xr:uid="{CC414562-D6CD-423D-9818-95FC0E3A80A6}"/>
    <cellStyle name="Normal 5 5 2 7 4" xfId="19582" xr:uid="{5DCAF51B-EFA7-404F-BC07-950646653583}"/>
    <cellStyle name="Normal 5 5 2 7 5" xfId="11134" xr:uid="{803C7708-66A9-4557-8180-0C2F2C8D7312}"/>
    <cellStyle name="Normal 5 5 2 8" xfId="4837" xr:uid="{00000000-0005-0000-0000-0000741B0000}"/>
    <cellStyle name="Normal 5 5 2 8 2" xfId="30176" xr:uid="{B8FD6319-B04E-484D-BD4F-2DBEA3E49114}"/>
    <cellStyle name="Normal 5 5 2 8 3" xfId="21735" xr:uid="{5A3B551E-A2A2-44A1-82B8-273F05F2B040}"/>
    <cellStyle name="Normal 5 5 2 8 4" xfId="13287" xr:uid="{901AB31D-EB75-4C5C-8B80-F954B76810A7}"/>
    <cellStyle name="Normal 5 5 2 9" xfId="25958" xr:uid="{A26106B1-5C0B-445B-86A2-530D04D1423E}"/>
    <cellStyle name="Normal 5 5 3" xfId="467" xr:uid="{00000000-0005-0000-0000-0000751B0000}"/>
    <cellStyle name="Normal 5 5 3 10" xfId="9071" xr:uid="{7B29A96E-E57C-4B0B-B887-8D6D35DE52CD}"/>
    <cellStyle name="Normal 5 5 3 2" xfId="941" xr:uid="{00000000-0005-0000-0000-0000761B0000}"/>
    <cellStyle name="Normal 5 5 3 2 2" xfId="3175" xr:uid="{00000000-0005-0000-0000-0000771B0000}"/>
    <cellStyle name="Normal 5 5 3 2 2 2" xfId="7397" xr:uid="{00000000-0005-0000-0000-0000781B0000}"/>
    <cellStyle name="Normal 5 5 3 2 2 2 2" xfId="32736" xr:uid="{EDFE62E7-7817-421D-B121-404B6A02C676}"/>
    <cellStyle name="Normal 5 5 3 2 2 2 3" xfId="24295" xr:uid="{78AD765F-EA31-4481-828E-36F7738929FB}"/>
    <cellStyle name="Normal 5 5 3 2 2 2 4" xfId="15847" xr:uid="{8ED0C289-BC45-48F2-B629-51DF9E61ED74}"/>
    <cellStyle name="Normal 5 5 3 2 2 3" xfId="28518" xr:uid="{148ED4CB-EEBB-439D-ACF4-EA32A1CF1409}"/>
    <cellStyle name="Normal 5 5 3 2 2 4" xfId="20077" xr:uid="{A98E6D5E-4424-4A1C-88BB-3C4AAD03838E}"/>
    <cellStyle name="Normal 5 5 3 2 2 5" xfId="11629" xr:uid="{C1E5176A-4EEF-4F46-9414-21CA33708A05}"/>
    <cellStyle name="Normal 5 5 3 2 3" xfId="5252" xr:uid="{00000000-0005-0000-0000-0000791B0000}"/>
    <cellStyle name="Normal 5 5 3 2 3 2" xfId="30591" xr:uid="{DFD99A67-E73D-465C-A972-4E81B2317298}"/>
    <cellStyle name="Normal 5 5 3 2 3 3" xfId="22150" xr:uid="{5B796DA3-5B7A-4598-B5FF-8B997F265161}"/>
    <cellStyle name="Normal 5 5 3 2 3 4" xfId="13702" xr:uid="{0F2257AC-C28C-483E-BA05-E2338FE29FEB}"/>
    <cellStyle name="Normal 5 5 3 2 4" xfId="26373" xr:uid="{08D05073-4193-4FBE-94F9-CE61D619C8D7}"/>
    <cellStyle name="Normal 5 5 3 2 5" xfId="17932" xr:uid="{D206B153-62BC-42B7-9ED7-B8503F8EDB93}"/>
    <cellStyle name="Normal 5 5 3 2 6" xfId="9484" xr:uid="{C9F53FC5-D36A-40A8-A0BD-71F447F6C3FD}"/>
    <cellStyle name="Normal 5 5 3 3" xfId="1358" xr:uid="{00000000-0005-0000-0000-00007A1B0000}"/>
    <cellStyle name="Normal 5 5 3 3 2" xfId="3588" xr:uid="{00000000-0005-0000-0000-00007B1B0000}"/>
    <cellStyle name="Normal 5 5 3 3 2 2" xfId="7810" xr:uid="{00000000-0005-0000-0000-00007C1B0000}"/>
    <cellStyle name="Normal 5 5 3 3 2 2 2" xfId="33149" xr:uid="{BEB915B4-8AD0-484C-A69B-B7AE609EF302}"/>
    <cellStyle name="Normal 5 5 3 3 2 2 3" xfId="24708" xr:uid="{E099619C-0265-49EC-BE76-1490C9EE9107}"/>
    <cellStyle name="Normal 5 5 3 3 2 2 4" xfId="16260" xr:uid="{6C149491-0A96-4117-97CA-C6C2D06F61AF}"/>
    <cellStyle name="Normal 5 5 3 3 2 3" xfId="28931" xr:uid="{F8FF3C98-AD6C-41A6-B999-FBE40E257C4E}"/>
    <cellStyle name="Normal 5 5 3 3 2 4" xfId="20490" xr:uid="{AD7FEF8B-EE04-4FE9-A0D0-2FD64F94973F}"/>
    <cellStyle name="Normal 5 5 3 3 2 5" xfId="12042" xr:uid="{6B571825-FF36-438E-82EC-FE104E8A2ED9}"/>
    <cellStyle name="Normal 5 5 3 3 3" xfId="5665" xr:uid="{00000000-0005-0000-0000-00007D1B0000}"/>
    <cellStyle name="Normal 5 5 3 3 3 2" xfId="31004" xr:uid="{F8EF886B-D39D-4A11-BF1A-6FFD37520804}"/>
    <cellStyle name="Normal 5 5 3 3 3 3" xfId="22563" xr:uid="{55BC4141-AC0D-440C-AD0B-3A77344116EF}"/>
    <cellStyle name="Normal 5 5 3 3 3 4" xfId="14115" xr:uid="{DBE4F3C1-C9BF-47D0-83AB-BEE86FEDB725}"/>
    <cellStyle name="Normal 5 5 3 3 4" xfId="26786" xr:uid="{525BCC2F-FAEF-43FD-B501-779FAE4D9878}"/>
    <cellStyle name="Normal 5 5 3 3 5" xfId="18345" xr:uid="{BB5D5F82-3CE0-4089-B42A-B30C629B0AA6}"/>
    <cellStyle name="Normal 5 5 3 3 6" xfId="9897" xr:uid="{132AF28B-711C-49B9-9556-E18277BD0A49}"/>
    <cellStyle name="Normal 5 5 3 4" xfId="1771" xr:uid="{00000000-0005-0000-0000-00007E1B0000}"/>
    <cellStyle name="Normal 5 5 3 4 2" xfId="4001" xr:uid="{00000000-0005-0000-0000-00007F1B0000}"/>
    <cellStyle name="Normal 5 5 3 4 2 2" xfId="8223" xr:uid="{00000000-0005-0000-0000-0000801B0000}"/>
    <cellStyle name="Normal 5 5 3 4 2 2 2" xfId="33562" xr:uid="{16618E69-344D-4289-AD6D-19E26200E6DB}"/>
    <cellStyle name="Normal 5 5 3 4 2 2 3" xfId="25121" xr:uid="{6E92891F-8CAE-414F-825F-5463C7355388}"/>
    <cellStyle name="Normal 5 5 3 4 2 2 4" xfId="16673" xr:uid="{AE5D8214-7B9B-4072-9457-B80E6B148DF0}"/>
    <cellStyle name="Normal 5 5 3 4 2 3" xfId="29344" xr:uid="{43D870C6-EF2C-4644-8F70-2C22F9ABEA1C}"/>
    <cellStyle name="Normal 5 5 3 4 2 4" xfId="20903" xr:uid="{FB8A7B91-86DD-4A08-A1D9-389716A70B75}"/>
    <cellStyle name="Normal 5 5 3 4 2 5" xfId="12455" xr:uid="{B5ECFC6D-CA53-47CE-9637-88E42F706866}"/>
    <cellStyle name="Normal 5 5 3 4 3" xfId="6078" xr:uid="{00000000-0005-0000-0000-0000811B0000}"/>
    <cellStyle name="Normal 5 5 3 4 3 2" xfId="31417" xr:uid="{3BD5B03C-F192-4DFB-80F0-31FBB0B51E3D}"/>
    <cellStyle name="Normal 5 5 3 4 3 3" xfId="22976" xr:uid="{8245453E-5CE4-4CD1-8543-4B2A5B07850B}"/>
    <cellStyle name="Normal 5 5 3 4 3 4" xfId="14528" xr:uid="{56AD1C84-946A-425C-ADE0-F32BF476DAF3}"/>
    <cellStyle name="Normal 5 5 3 4 4" xfId="27199" xr:uid="{292D28FB-3293-4C9F-97DA-FE98BC904A35}"/>
    <cellStyle name="Normal 5 5 3 4 5" xfId="18758" xr:uid="{2F38F45F-11F6-4E56-B2EA-4ED19A7989CC}"/>
    <cellStyle name="Normal 5 5 3 4 6" xfId="10310" xr:uid="{FF849FE4-4B4B-4CE6-B902-E6F07863403C}"/>
    <cellStyle name="Normal 5 5 3 5" xfId="2185" xr:uid="{00000000-0005-0000-0000-0000821B0000}"/>
    <cellStyle name="Normal 5 5 3 5 2" xfId="4414" xr:uid="{00000000-0005-0000-0000-0000831B0000}"/>
    <cellStyle name="Normal 5 5 3 5 2 2" xfId="8636" xr:uid="{00000000-0005-0000-0000-0000841B0000}"/>
    <cellStyle name="Normal 5 5 3 5 2 2 2" xfId="33975" xr:uid="{107CC068-0ABE-4625-8465-83B59D310CF5}"/>
    <cellStyle name="Normal 5 5 3 5 2 2 3" xfId="25534" xr:uid="{D896D0FB-A2D5-4818-ABD8-1387FA607F79}"/>
    <cellStyle name="Normal 5 5 3 5 2 2 4" xfId="17086" xr:uid="{6ADFE684-8BAF-4581-A97F-FE2CA2EED2BC}"/>
    <cellStyle name="Normal 5 5 3 5 2 3" xfId="29757" xr:uid="{C218D2B1-2809-46FA-BBBC-540696496475}"/>
    <cellStyle name="Normal 5 5 3 5 2 4" xfId="21316" xr:uid="{B3C3054D-31FE-42C9-BC3C-E3BBA5CCC894}"/>
    <cellStyle name="Normal 5 5 3 5 2 5" xfId="12868" xr:uid="{BA65BA24-C1A5-42CE-9564-A4713CDFC203}"/>
    <cellStyle name="Normal 5 5 3 5 3" xfId="6491" xr:uid="{00000000-0005-0000-0000-0000851B0000}"/>
    <cellStyle name="Normal 5 5 3 5 3 2" xfId="31830" xr:uid="{CA727D70-A546-48FD-9ABA-A8EFC6B983E1}"/>
    <cellStyle name="Normal 5 5 3 5 3 3" xfId="23389" xr:uid="{A0BBB9B7-CC70-4521-93BE-406240100834}"/>
    <cellStyle name="Normal 5 5 3 5 3 4" xfId="14941" xr:uid="{E60C138D-4636-4109-99D6-64F9ACD106D0}"/>
    <cellStyle name="Normal 5 5 3 5 4" xfId="27612" xr:uid="{80B5BD9C-3D39-4370-9066-CB6790B12776}"/>
    <cellStyle name="Normal 5 5 3 5 5" xfId="19171" xr:uid="{19E68190-8DCB-44AE-82A3-183B9A0282B7}"/>
    <cellStyle name="Normal 5 5 3 5 6" xfId="10723" xr:uid="{1501E775-E672-4257-B234-EF006B2503AA}"/>
    <cellStyle name="Normal 5 5 3 6" xfId="2621" xr:uid="{00000000-0005-0000-0000-0000861B0000}"/>
    <cellStyle name="Normal 5 5 3 6 2" xfId="6904" xr:uid="{00000000-0005-0000-0000-0000871B0000}"/>
    <cellStyle name="Normal 5 5 3 6 2 2" xfId="32243" xr:uid="{2ECEF5E1-C698-4CC9-8021-3F7CAF14C5F3}"/>
    <cellStyle name="Normal 5 5 3 6 2 3" xfId="23802" xr:uid="{4D194C87-C618-4B4B-AFF3-7A6016A0178A}"/>
    <cellStyle name="Normal 5 5 3 6 2 4" xfId="15354" xr:uid="{4D72A273-7E23-42DC-8ADA-37F3A7B9E74C}"/>
    <cellStyle name="Normal 5 5 3 6 3" xfId="28025" xr:uid="{B19F72F5-ABDF-4C50-8B7D-F575AF310AC6}"/>
    <cellStyle name="Normal 5 5 3 6 4" xfId="19584" xr:uid="{73BCF784-6F48-44EF-A7C5-D1CB602D58AD}"/>
    <cellStyle name="Normal 5 5 3 6 5" xfId="11136" xr:uid="{546313BF-A7B7-4387-9713-DC57B800CE11}"/>
    <cellStyle name="Normal 5 5 3 7" xfId="4839" xr:uid="{00000000-0005-0000-0000-0000881B0000}"/>
    <cellStyle name="Normal 5 5 3 7 2" xfId="30178" xr:uid="{DAC6749D-B6E1-4CBC-9285-C04877BBBE5A}"/>
    <cellStyle name="Normal 5 5 3 7 3" xfId="21737" xr:uid="{887A3DF8-4AD8-4424-94B4-C606F090A09E}"/>
    <cellStyle name="Normal 5 5 3 7 4" xfId="13289" xr:uid="{E0F7C3EA-1376-4BC2-A055-E8B19C7C606E}"/>
    <cellStyle name="Normal 5 5 3 8" xfId="25960" xr:uid="{FE02E27C-354C-4A50-A793-ED7ACA2D69D7}"/>
    <cellStyle name="Normal 5 5 3 9" xfId="17519" xr:uid="{AF88F300-63DC-42CA-B9A4-4F0938BC4B9C}"/>
    <cellStyle name="Normal 5 5 4" xfId="938" xr:uid="{00000000-0005-0000-0000-0000891B0000}"/>
    <cellStyle name="Normal 5 5 4 2" xfId="3172" xr:uid="{00000000-0005-0000-0000-00008A1B0000}"/>
    <cellStyle name="Normal 5 5 4 2 2" xfId="7394" xr:uid="{00000000-0005-0000-0000-00008B1B0000}"/>
    <cellStyle name="Normal 5 5 4 2 2 2" xfId="32733" xr:uid="{F45CBE61-5306-4B04-9070-C9165EDED635}"/>
    <cellStyle name="Normal 5 5 4 2 2 3" xfId="24292" xr:uid="{9813DE21-5203-49A8-B264-64E94E210654}"/>
    <cellStyle name="Normal 5 5 4 2 2 4" xfId="15844" xr:uid="{E6EE062F-1DF4-4713-9295-1DEB134ADAF7}"/>
    <cellStyle name="Normal 5 5 4 2 3" xfId="28515" xr:uid="{30734FE0-F172-4A6B-8E8A-591DD6261582}"/>
    <cellStyle name="Normal 5 5 4 2 4" xfId="20074" xr:uid="{C4F1CBAC-141E-4B1E-802F-06DD7E4DCBCA}"/>
    <cellStyle name="Normal 5 5 4 2 5" xfId="11626" xr:uid="{47EA6589-52D4-405F-B494-7EE0AE9045B3}"/>
    <cellStyle name="Normal 5 5 4 3" xfId="5249" xr:uid="{00000000-0005-0000-0000-00008C1B0000}"/>
    <cellStyle name="Normal 5 5 4 3 2" xfId="30588" xr:uid="{248C8C0E-B713-4C5C-ABB3-AAAB2ACA8259}"/>
    <cellStyle name="Normal 5 5 4 3 3" xfId="22147" xr:uid="{F9EC5557-BCF7-4193-A9BA-B552B082DDE6}"/>
    <cellStyle name="Normal 5 5 4 3 4" xfId="13699" xr:uid="{E085BB21-3679-4E9D-898C-42271BC51C7C}"/>
    <cellStyle name="Normal 5 5 4 4" xfId="26370" xr:uid="{FD0AE956-2AF7-4D60-950A-C272F6F086DB}"/>
    <cellStyle name="Normal 5 5 4 5" xfId="17929" xr:uid="{9D674655-86F1-4232-AC79-14629BB90500}"/>
    <cellStyle name="Normal 5 5 4 6" xfId="9481" xr:uid="{9A5B19F1-E961-4B8A-B087-710F1587E201}"/>
    <cellStyle name="Normal 5 5 5" xfId="1355" xr:uid="{00000000-0005-0000-0000-00008D1B0000}"/>
    <cellStyle name="Normal 5 5 5 2" xfId="3585" xr:uid="{00000000-0005-0000-0000-00008E1B0000}"/>
    <cellStyle name="Normal 5 5 5 2 2" xfId="7807" xr:uid="{00000000-0005-0000-0000-00008F1B0000}"/>
    <cellStyle name="Normal 5 5 5 2 2 2" xfId="33146" xr:uid="{FBF95165-1625-4D8E-B1F2-E41610D6DA46}"/>
    <cellStyle name="Normal 5 5 5 2 2 3" xfId="24705" xr:uid="{823AF4E6-2BDB-4FBB-AF71-969525F03845}"/>
    <cellStyle name="Normal 5 5 5 2 2 4" xfId="16257" xr:uid="{E8934B14-F4E8-4477-B1AB-77546DD1F6D6}"/>
    <cellStyle name="Normal 5 5 5 2 3" xfId="28928" xr:uid="{61DD892D-9350-41F4-A853-1AB3112FD793}"/>
    <cellStyle name="Normal 5 5 5 2 4" xfId="20487" xr:uid="{AAEFC7AB-433C-4043-B386-D95C82976324}"/>
    <cellStyle name="Normal 5 5 5 2 5" xfId="12039" xr:uid="{D6C4EBB0-9FD6-4B28-B69D-DFB0FFD04736}"/>
    <cellStyle name="Normal 5 5 5 3" xfId="5662" xr:uid="{00000000-0005-0000-0000-0000901B0000}"/>
    <cellStyle name="Normal 5 5 5 3 2" xfId="31001" xr:uid="{4952C97E-B675-4585-B63F-0E663C159ED2}"/>
    <cellStyle name="Normal 5 5 5 3 3" xfId="22560" xr:uid="{BC540E7D-0A79-4391-B346-01328CE8215E}"/>
    <cellStyle name="Normal 5 5 5 3 4" xfId="14112" xr:uid="{95C47E2B-13E8-4211-918C-7F858F18A531}"/>
    <cellStyle name="Normal 5 5 5 4" xfId="26783" xr:uid="{DCD80032-0383-42CA-9845-D905FC11BB97}"/>
    <cellStyle name="Normal 5 5 5 5" xfId="18342" xr:uid="{7B5B39B4-1B77-411B-B1C2-D369A7EEE6F5}"/>
    <cellStyle name="Normal 5 5 5 6" xfId="9894" xr:uid="{454EA9F0-7859-435A-829C-70580977E449}"/>
    <cellStyle name="Normal 5 5 6" xfId="1768" xr:uid="{00000000-0005-0000-0000-0000911B0000}"/>
    <cellStyle name="Normal 5 5 6 2" xfId="3998" xr:uid="{00000000-0005-0000-0000-0000921B0000}"/>
    <cellStyle name="Normal 5 5 6 2 2" xfId="8220" xr:uid="{00000000-0005-0000-0000-0000931B0000}"/>
    <cellStyle name="Normal 5 5 6 2 2 2" xfId="33559" xr:uid="{029A9BD1-5A42-4BF0-98F7-81A7FFCB8A76}"/>
    <cellStyle name="Normal 5 5 6 2 2 3" xfId="25118" xr:uid="{774B4180-B385-4135-B8F2-4EB3E437C8B4}"/>
    <cellStyle name="Normal 5 5 6 2 2 4" xfId="16670" xr:uid="{CEE68CD1-9529-4805-92E5-F76EB0F21175}"/>
    <cellStyle name="Normal 5 5 6 2 3" xfId="29341" xr:uid="{CC996602-CB79-4DC9-B665-1DCBFA5C597A}"/>
    <cellStyle name="Normal 5 5 6 2 4" xfId="20900" xr:uid="{CB64283D-3AE4-40F1-9357-6AEEA62CDA87}"/>
    <cellStyle name="Normal 5 5 6 2 5" xfId="12452" xr:uid="{8E8A8B12-73EA-4713-A249-AA7C11343577}"/>
    <cellStyle name="Normal 5 5 6 3" xfId="6075" xr:uid="{00000000-0005-0000-0000-0000941B0000}"/>
    <cellStyle name="Normal 5 5 6 3 2" xfId="31414" xr:uid="{762BC0A4-F2B0-4E47-8075-2C15671A53F1}"/>
    <cellStyle name="Normal 5 5 6 3 3" xfId="22973" xr:uid="{50873524-BEE0-4CCE-B479-D8B8E6B10EE5}"/>
    <cellStyle name="Normal 5 5 6 3 4" xfId="14525" xr:uid="{CE355BBB-28E4-4171-850B-684D9600B269}"/>
    <cellStyle name="Normal 5 5 6 4" xfId="27196" xr:uid="{AE165DD9-D0C6-4BC9-A09B-BF4DF7AE9E0F}"/>
    <cellStyle name="Normal 5 5 6 5" xfId="18755" xr:uid="{92D9C090-E022-4151-B750-E30F7E75723D}"/>
    <cellStyle name="Normal 5 5 6 6" xfId="10307" xr:uid="{453870CA-2E79-40E4-AD9D-6910362E2081}"/>
    <cellStyle name="Normal 5 5 7" xfId="2182" xr:uid="{00000000-0005-0000-0000-0000951B0000}"/>
    <cellStyle name="Normal 5 5 7 2" xfId="4411" xr:uid="{00000000-0005-0000-0000-0000961B0000}"/>
    <cellStyle name="Normal 5 5 7 2 2" xfId="8633" xr:uid="{00000000-0005-0000-0000-0000971B0000}"/>
    <cellStyle name="Normal 5 5 7 2 2 2" xfId="33972" xr:uid="{D5D9F461-2979-4F34-987C-305238B94DE6}"/>
    <cellStyle name="Normal 5 5 7 2 2 3" xfId="25531" xr:uid="{ED582D42-2FE0-4CEC-B915-5357DEC45647}"/>
    <cellStyle name="Normal 5 5 7 2 2 4" xfId="17083" xr:uid="{BAAEB345-08A9-488C-97FB-88EAFA7D080E}"/>
    <cellStyle name="Normal 5 5 7 2 3" xfId="29754" xr:uid="{5C0E6F05-B3BE-4674-B0DC-4D104699839B}"/>
    <cellStyle name="Normal 5 5 7 2 4" xfId="21313" xr:uid="{4DAE0356-8264-4C3F-B885-99088E222449}"/>
    <cellStyle name="Normal 5 5 7 2 5" xfId="12865" xr:uid="{CBD9BF4B-E0DF-4D8B-8B1E-7C8AFFDDC9DF}"/>
    <cellStyle name="Normal 5 5 7 3" xfId="6488" xr:uid="{00000000-0005-0000-0000-0000981B0000}"/>
    <cellStyle name="Normal 5 5 7 3 2" xfId="31827" xr:uid="{D96B5ACA-90F1-4670-B233-0114EC24E454}"/>
    <cellStyle name="Normal 5 5 7 3 3" xfId="23386" xr:uid="{C58C4977-0B93-4B7D-B42E-65020C734905}"/>
    <cellStyle name="Normal 5 5 7 3 4" xfId="14938" xr:uid="{0E64134D-B409-4D9D-B69A-5C2609C17FC7}"/>
    <cellStyle name="Normal 5 5 7 4" xfId="27609" xr:uid="{27395238-15D8-447F-B958-C18C4AD07DC4}"/>
    <cellStyle name="Normal 5 5 7 5" xfId="19168" xr:uid="{993877F0-1FC7-496B-AD22-1806FB67DDF9}"/>
    <cellStyle name="Normal 5 5 7 6" xfId="10720" xr:uid="{E1F73F12-A646-4E14-B92F-FE490B2F55A7}"/>
    <cellStyle name="Normal 5 5 8" xfId="2618" xr:uid="{00000000-0005-0000-0000-0000991B0000}"/>
    <cellStyle name="Normal 5 5 8 2" xfId="6901" xr:uid="{00000000-0005-0000-0000-00009A1B0000}"/>
    <cellStyle name="Normal 5 5 8 2 2" xfId="32240" xr:uid="{7E0C5FD8-4B25-4FF9-AE8E-EAF13EA1111D}"/>
    <cellStyle name="Normal 5 5 8 2 3" xfId="23799" xr:uid="{F6B77F9D-2844-456A-8887-D762BE704458}"/>
    <cellStyle name="Normal 5 5 8 2 4" xfId="15351" xr:uid="{5E52D8FF-2A8D-4BCA-A9A1-E12D8B362109}"/>
    <cellStyle name="Normal 5 5 8 3" xfId="28022" xr:uid="{0CC0204F-A0B9-4D11-8C82-55654D953258}"/>
    <cellStyle name="Normal 5 5 8 4" xfId="19581" xr:uid="{3976F7FF-8E5E-4CAA-9006-16FE40D0E6C1}"/>
    <cellStyle name="Normal 5 5 8 5" xfId="11133" xr:uid="{39034DFD-7D58-4C91-8CA8-A61F5057E2DE}"/>
    <cellStyle name="Normal 5 5 9" xfId="4836" xr:uid="{00000000-0005-0000-0000-00009B1B0000}"/>
    <cellStyle name="Normal 5 5 9 2" xfId="30175" xr:uid="{1B708DC7-6286-41A5-936B-1D287E499E94}"/>
    <cellStyle name="Normal 5 5 9 3" xfId="21734" xr:uid="{56EE448F-284A-4049-83E6-A653616EC5C7}"/>
    <cellStyle name="Normal 5 5 9 4" xfId="13286" xr:uid="{71F6AB17-D615-4858-94D2-37F620D92D74}"/>
    <cellStyle name="Normal 5 6" xfId="468" xr:uid="{00000000-0005-0000-0000-00009C1B0000}"/>
    <cellStyle name="Normal 5 6 10" xfId="17520" xr:uid="{9611BD60-2875-469E-A45F-BE5A8148F225}"/>
    <cellStyle name="Normal 5 6 11" xfId="9072" xr:uid="{3BFBE82F-B600-4DF9-ADD1-F913B988F2BF}"/>
    <cellStyle name="Normal 5 6 2" xfId="469" xr:uid="{00000000-0005-0000-0000-00009D1B0000}"/>
    <cellStyle name="Normal 5 6 2 10" xfId="9073" xr:uid="{D296CA9E-F726-40E0-B5D5-95633E748D2B}"/>
    <cellStyle name="Normal 5 6 2 2" xfId="943" xr:uid="{00000000-0005-0000-0000-00009E1B0000}"/>
    <cellStyle name="Normal 5 6 2 2 2" xfId="3177" xr:uid="{00000000-0005-0000-0000-00009F1B0000}"/>
    <cellStyle name="Normal 5 6 2 2 2 2" xfId="7399" xr:uid="{00000000-0005-0000-0000-0000A01B0000}"/>
    <cellStyle name="Normal 5 6 2 2 2 2 2" xfId="32738" xr:uid="{936BA2A2-E61E-4FEA-BC23-253FA7558E21}"/>
    <cellStyle name="Normal 5 6 2 2 2 2 3" xfId="24297" xr:uid="{6A01CDD4-7BE2-4AEC-ACDF-5929E4163B15}"/>
    <cellStyle name="Normal 5 6 2 2 2 2 4" xfId="15849" xr:uid="{2B11565F-B6C4-4FD1-8612-F7E46985DBDF}"/>
    <cellStyle name="Normal 5 6 2 2 2 3" xfId="28520" xr:uid="{E54824E6-F39E-44E4-AB5B-FE8731B9B122}"/>
    <cellStyle name="Normal 5 6 2 2 2 4" xfId="20079" xr:uid="{49BC29A7-1E55-40C1-A64D-5147F41F5FA3}"/>
    <cellStyle name="Normal 5 6 2 2 2 5" xfId="11631" xr:uid="{7DD15B1D-B65F-41B7-B856-441E7B5EFD26}"/>
    <cellStyle name="Normal 5 6 2 2 3" xfId="5254" xr:uid="{00000000-0005-0000-0000-0000A11B0000}"/>
    <cellStyle name="Normal 5 6 2 2 3 2" xfId="30593" xr:uid="{1F0E0B68-33C8-470C-B6BE-B42A253A8ECF}"/>
    <cellStyle name="Normal 5 6 2 2 3 3" xfId="22152" xr:uid="{27A50C04-A768-479D-9C8C-B007FF791283}"/>
    <cellStyle name="Normal 5 6 2 2 3 4" xfId="13704" xr:uid="{B719E490-9E6C-40E3-AC42-26321AC88164}"/>
    <cellStyle name="Normal 5 6 2 2 4" xfId="26375" xr:uid="{4E853B3F-0FF3-4E5D-AC28-19B2F801AB98}"/>
    <cellStyle name="Normal 5 6 2 2 5" xfId="17934" xr:uid="{365E492C-00F2-44C8-B9FE-32BE46833314}"/>
    <cellStyle name="Normal 5 6 2 2 6" xfId="9486" xr:uid="{A1413951-C33E-4FA0-90D7-343CA8555186}"/>
    <cellStyle name="Normal 5 6 2 3" xfId="1360" xr:uid="{00000000-0005-0000-0000-0000A21B0000}"/>
    <cellStyle name="Normal 5 6 2 3 2" xfId="3590" xr:uid="{00000000-0005-0000-0000-0000A31B0000}"/>
    <cellStyle name="Normal 5 6 2 3 2 2" xfId="7812" xr:uid="{00000000-0005-0000-0000-0000A41B0000}"/>
    <cellStyle name="Normal 5 6 2 3 2 2 2" xfId="33151" xr:uid="{AD3246DE-EA8A-419E-8C0C-6CD884208476}"/>
    <cellStyle name="Normal 5 6 2 3 2 2 3" xfId="24710" xr:uid="{0D565310-4AD3-4C05-959A-5D9978DFF0C8}"/>
    <cellStyle name="Normal 5 6 2 3 2 2 4" xfId="16262" xr:uid="{2C779642-37FD-4295-BC48-9B370326F744}"/>
    <cellStyle name="Normal 5 6 2 3 2 3" xfId="28933" xr:uid="{226285E7-C706-49EF-94C7-D6603878B2D7}"/>
    <cellStyle name="Normal 5 6 2 3 2 4" xfId="20492" xr:uid="{86913B7B-0619-4517-9E73-9057D33F5B36}"/>
    <cellStyle name="Normal 5 6 2 3 2 5" xfId="12044" xr:uid="{5A7BA343-C26C-432E-9AC6-CDBD57B56E8E}"/>
    <cellStyle name="Normal 5 6 2 3 3" xfId="5667" xr:uid="{00000000-0005-0000-0000-0000A51B0000}"/>
    <cellStyle name="Normal 5 6 2 3 3 2" xfId="31006" xr:uid="{FFB7A2C0-D9C8-4676-90A2-C22DDE56904D}"/>
    <cellStyle name="Normal 5 6 2 3 3 3" xfId="22565" xr:uid="{17D039AA-E5C5-4680-949C-D455AE18CA1C}"/>
    <cellStyle name="Normal 5 6 2 3 3 4" xfId="14117" xr:uid="{C5B58E68-7FAD-46BE-995F-88AE00C9BF7C}"/>
    <cellStyle name="Normal 5 6 2 3 4" xfId="26788" xr:uid="{ED4B4CB6-45FB-44BE-BDA5-6309E92C03EB}"/>
    <cellStyle name="Normal 5 6 2 3 5" xfId="18347" xr:uid="{04A9A59E-BC49-40FA-98E9-7A6C217EB58F}"/>
    <cellStyle name="Normal 5 6 2 3 6" xfId="9899" xr:uid="{90ECDE86-396E-47B6-A75D-B9C6084CA5A2}"/>
    <cellStyle name="Normal 5 6 2 4" xfId="1773" xr:uid="{00000000-0005-0000-0000-0000A61B0000}"/>
    <cellStyle name="Normal 5 6 2 4 2" xfId="4003" xr:uid="{00000000-0005-0000-0000-0000A71B0000}"/>
    <cellStyle name="Normal 5 6 2 4 2 2" xfId="8225" xr:uid="{00000000-0005-0000-0000-0000A81B0000}"/>
    <cellStyle name="Normal 5 6 2 4 2 2 2" xfId="33564" xr:uid="{89F02CE8-4238-46EC-A4CF-C82726356E4C}"/>
    <cellStyle name="Normal 5 6 2 4 2 2 3" xfId="25123" xr:uid="{A047222D-5345-434E-A42E-65A6572EB660}"/>
    <cellStyle name="Normal 5 6 2 4 2 2 4" xfId="16675" xr:uid="{28C0143C-6296-455C-A37F-23E5EE6DFDF6}"/>
    <cellStyle name="Normal 5 6 2 4 2 3" xfId="29346" xr:uid="{9230FF3B-C70A-4BF7-AC71-547EDC8FABD3}"/>
    <cellStyle name="Normal 5 6 2 4 2 4" xfId="20905" xr:uid="{860B20F2-74EE-4756-AA10-5E6E0BD644D8}"/>
    <cellStyle name="Normal 5 6 2 4 2 5" xfId="12457" xr:uid="{BB67E2A9-63A6-4274-8EDD-F7F8EA418592}"/>
    <cellStyle name="Normal 5 6 2 4 3" xfId="6080" xr:uid="{00000000-0005-0000-0000-0000A91B0000}"/>
    <cellStyle name="Normal 5 6 2 4 3 2" xfId="31419" xr:uid="{6A65F3DB-15F9-478A-A61A-6E075CCB42F1}"/>
    <cellStyle name="Normal 5 6 2 4 3 3" xfId="22978" xr:uid="{E3A0ADD0-6C70-4C87-B46D-572CFC10C04A}"/>
    <cellStyle name="Normal 5 6 2 4 3 4" xfId="14530" xr:uid="{303D44AC-493B-49B5-BE20-5969B9D81AF9}"/>
    <cellStyle name="Normal 5 6 2 4 4" xfId="27201" xr:uid="{7BD64A8C-80AF-48D3-84DB-660E5FB0815C}"/>
    <cellStyle name="Normal 5 6 2 4 5" xfId="18760" xr:uid="{8E2D1BAE-EA65-4B4D-90C8-D1454F56BA6E}"/>
    <cellStyle name="Normal 5 6 2 4 6" xfId="10312" xr:uid="{C5F1C248-742B-4CDF-AEA7-1CE5EDBA8A1A}"/>
    <cellStyle name="Normal 5 6 2 5" xfId="2187" xr:uid="{00000000-0005-0000-0000-0000AA1B0000}"/>
    <cellStyle name="Normal 5 6 2 5 2" xfId="4416" xr:uid="{00000000-0005-0000-0000-0000AB1B0000}"/>
    <cellStyle name="Normal 5 6 2 5 2 2" xfId="8638" xr:uid="{00000000-0005-0000-0000-0000AC1B0000}"/>
    <cellStyle name="Normal 5 6 2 5 2 2 2" xfId="33977" xr:uid="{C06A8D6F-F1C9-4036-92AE-50FCF69C2FA7}"/>
    <cellStyle name="Normal 5 6 2 5 2 2 3" xfId="25536" xr:uid="{FF22923A-AC1E-4518-93C7-7F61DDF9D435}"/>
    <cellStyle name="Normal 5 6 2 5 2 2 4" xfId="17088" xr:uid="{5267665E-D59B-4356-B7A7-121E1D2C7D7E}"/>
    <cellStyle name="Normal 5 6 2 5 2 3" xfId="29759" xr:uid="{437D7015-4B36-4197-B4D2-98A881BF935A}"/>
    <cellStyle name="Normal 5 6 2 5 2 4" xfId="21318" xr:uid="{D1B905E8-B532-4FFA-936B-35768BA9D5C2}"/>
    <cellStyle name="Normal 5 6 2 5 2 5" xfId="12870" xr:uid="{2B941F34-966E-4783-BE94-5B75B9D6A4B6}"/>
    <cellStyle name="Normal 5 6 2 5 3" xfId="6493" xr:uid="{00000000-0005-0000-0000-0000AD1B0000}"/>
    <cellStyle name="Normal 5 6 2 5 3 2" xfId="31832" xr:uid="{A711CDFA-5843-4B2E-805B-E21C5908CF06}"/>
    <cellStyle name="Normal 5 6 2 5 3 3" xfId="23391" xr:uid="{5234C206-6F48-4BA1-80F2-EE97A94F62BA}"/>
    <cellStyle name="Normal 5 6 2 5 3 4" xfId="14943" xr:uid="{E3186CCC-A00A-4C0A-B8E8-F782BEFA3A47}"/>
    <cellStyle name="Normal 5 6 2 5 4" xfId="27614" xr:uid="{33E8762A-EE8C-4600-B435-CA23103F75F0}"/>
    <cellStyle name="Normal 5 6 2 5 5" xfId="19173" xr:uid="{AE765343-A408-4AA5-B41A-E602AF22D9CE}"/>
    <cellStyle name="Normal 5 6 2 5 6" xfId="10725" xr:uid="{F299925A-413D-45F5-8CB8-F70C5683BC53}"/>
    <cellStyle name="Normal 5 6 2 6" xfId="2623" xr:uid="{00000000-0005-0000-0000-0000AE1B0000}"/>
    <cellStyle name="Normal 5 6 2 6 2" xfId="6906" xr:uid="{00000000-0005-0000-0000-0000AF1B0000}"/>
    <cellStyle name="Normal 5 6 2 6 2 2" xfId="32245" xr:uid="{E8581EFD-8D1D-4D68-8642-962494299140}"/>
    <cellStyle name="Normal 5 6 2 6 2 3" xfId="23804" xr:uid="{9BF64A0F-C39F-4C29-806F-4EBBACBE727B}"/>
    <cellStyle name="Normal 5 6 2 6 2 4" xfId="15356" xr:uid="{DAD99D8E-C5BA-4236-9944-9524B4EEF22D}"/>
    <cellStyle name="Normal 5 6 2 6 3" xfId="28027" xr:uid="{0F445CC2-9AFE-45F7-8A97-A74308F9E55E}"/>
    <cellStyle name="Normal 5 6 2 6 4" xfId="19586" xr:uid="{2505A9CF-21EE-40C0-9ECE-E12B536DEF33}"/>
    <cellStyle name="Normal 5 6 2 6 5" xfId="11138" xr:uid="{D0719F22-A1A7-46A6-AE2F-960E4C9FADBF}"/>
    <cellStyle name="Normal 5 6 2 7" xfId="4841" xr:uid="{00000000-0005-0000-0000-0000B01B0000}"/>
    <cellStyle name="Normal 5 6 2 7 2" xfId="30180" xr:uid="{0470FA51-E369-4007-AB16-34127A68269A}"/>
    <cellStyle name="Normal 5 6 2 7 3" xfId="21739" xr:uid="{13355775-74B9-426B-9480-F7E5EF9DE468}"/>
    <cellStyle name="Normal 5 6 2 7 4" xfId="13291" xr:uid="{F834E68D-21B2-43CD-AA27-BCC79CE5FA2B}"/>
    <cellStyle name="Normal 5 6 2 8" xfId="25962" xr:uid="{72ADC0C4-6ED1-423F-A817-3DCFBA70FB7E}"/>
    <cellStyle name="Normal 5 6 2 9" xfId="17521" xr:uid="{511AAC8E-8F28-427F-B21D-7F7CA7B877E6}"/>
    <cellStyle name="Normal 5 6 3" xfId="942" xr:uid="{00000000-0005-0000-0000-0000B11B0000}"/>
    <cellStyle name="Normal 5 6 3 2" xfId="3176" xr:uid="{00000000-0005-0000-0000-0000B21B0000}"/>
    <cellStyle name="Normal 5 6 3 2 2" xfId="7398" xr:uid="{00000000-0005-0000-0000-0000B31B0000}"/>
    <cellStyle name="Normal 5 6 3 2 2 2" xfId="32737" xr:uid="{CAD24EC8-98F7-43B2-A7FA-E6EEBB028F9A}"/>
    <cellStyle name="Normal 5 6 3 2 2 3" xfId="24296" xr:uid="{AA9DD5CE-0EB3-43FA-AE07-1E609BC19AB3}"/>
    <cellStyle name="Normal 5 6 3 2 2 4" xfId="15848" xr:uid="{1676326F-976F-44DE-A363-CF643C0120EA}"/>
    <cellStyle name="Normal 5 6 3 2 3" xfId="28519" xr:uid="{A97FA071-BDB6-4B2F-9175-63A1066C2D5B}"/>
    <cellStyle name="Normal 5 6 3 2 4" xfId="20078" xr:uid="{5AB910CE-D01F-4885-94A5-20B258BE8FB4}"/>
    <cellStyle name="Normal 5 6 3 2 5" xfId="11630" xr:uid="{AE2B1608-33C7-472F-9A54-5AF4419127E6}"/>
    <cellStyle name="Normal 5 6 3 3" xfId="5253" xr:uid="{00000000-0005-0000-0000-0000B41B0000}"/>
    <cellStyle name="Normal 5 6 3 3 2" xfId="30592" xr:uid="{EA0CCE52-B432-4974-ADCD-F8FE05A8B86C}"/>
    <cellStyle name="Normal 5 6 3 3 3" xfId="22151" xr:uid="{42EB65E3-F92D-4A67-9D4B-143AA95AB050}"/>
    <cellStyle name="Normal 5 6 3 3 4" xfId="13703" xr:uid="{56FDBAD8-0D9D-40C8-A11A-83F221EAEF3B}"/>
    <cellStyle name="Normal 5 6 3 4" xfId="26374" xr:uid="{433460F1-F011-4B05-B939-6D2C9686A822}"/>
    <cellStyle name="Normal 5 6 3 5" xfId="17933" xr:uid="{2724E988-BABC-4920-ABBF-333FA65C8E98}"/>
    <cellStyle name="Normal 5 6 3 6" xfId="9485" xr:uid="{01B04042-42F8-4D36-B640-2585C149B4FA}"/>
    <cellStyle name="Normal 5 6 4" xfId="1359" xr:uid="{00000000-0005-0000-0000-0000B51B0000}"/>
    <cellStyle name="Normal 5 6 4 2" xfId="3589" xr:uid="{00000000-0005-0000-0000-0000B61B0000}"/>
    <cellStyle name="Normal 5 6 4 2 2" xfId="7811" xr:uid="{00000000-0005-0000-0000-0000B71B0000}"/>
    <cellStyle name="Normal 5 6 4 2 2 2" xfId="33150" xr:uid="{BB0FEB31-8B18-46D2-8B45-C7A2064F2A95}"/>
    <cellStyle name="Normal 5 6 4 2 2 3" xfId="24709" xr:uid="{3B0ADBAF-E577-446A-808E-735BB4B7DDE9}"/>
    <cellStyle name="Normal 5 6 4 2 2 4" xfId="16261" xr:uid="{D802252B-D64B-45C5-85C1-48B2CF25137F}"/>
    <cellStyle name="Normal 5 6 4 2 3" xfId="28932" xr:uid="{DDBBC3EF-2AB8-4C96-A066-0BFBD11385FC}"/>
    <cellStyle name="Normal 5 6 4 2 4" xfId="20491" xr:uid="{F29C39CA-19D2-4B20-8D1C-C7A6192D7079}"/>
    <cellStyle name="Normal 5 6 4 2 5" xfId="12043" xr:uid="{0E9D0899-5F16-4F6C-B259-FCC195BE682F}"/>
    <cellStyle name="Normal 5 6 4 3" xfId="5666" xr:uid="{00000000-0005-0000-0000-0000B81B0000}"/>
    <cellStyle name="Normal 5 6 4 3 2" xfId="31005" xr:uid="{F8CC1219-51B9-4CE6-AE3A-6A8C708CECBB}"/>
    <cellStyle name="Normal 5 6 4 3 3" xfId="22564" xr:uid="{E46DFC5E-EA19-4BB9-AB65-64E3CF1D3F88}"/>
    <cellStyle name="Normal 5 6 4 3 4" xfId="14116" xr:uid="{07C1278A-D588-4CAE-97CE-E1226D9C5637}"/>
    <cellStyle name="Normal 5 6 4 4" xfId="26787" xr:uid="{4E946CF9-616B-4572-BD85-E043248652B5}"/>
    <cellStyle name="Normal 5 6 4 5" xfId="18346" xr:uid="{4B2ECBF5-DAB3-43C3-93C2-ED5DD44828C2}"/>
    <cellStyle name="Normal 5 6 4 6" xfId="9898" xr:uid="{DDA918FF-C390-4C50-ADD3-9F3429A75094}"/>
    <cellStyle name="Normal 5 6 5" xfId="1772" xr:uid="{00000000-0005-0000-0000-0000B91B0000}"/>
    <cellStyle name="Normal 5 6 5 2" xfId="4002" xr:uid="{00000000-0005-0000-0000-0000BA1B0000}"/>
    <cellStyle name="Normal 5 6 5 2 2" xfId="8224" xr:uid="{00000000-0005-0000-0000-0000BB1B0000}"/>
    <cellStyle name="Normal 5 6 5 2 2 2" xfId="33563" xr:uid="{70057CE9-D28E-4632-81CB-DC7C3E9AEC00}"/>
    <cellStyle name="Normal 5 6 5 2 2 3" xfId="25122" xr:uid="{B6532EA1-7640-442D-BCD7-A8F886E59F80}"/>
    <cellStyle name="Normal 5 6 5 2 2 4" xfId="16674" xr:uid="{1D23DD59-04C2-4609-9A9D-9D76516906F3}"/>
    <cellStyle name="Normal 5 6 5 2 3" xfId="29345" xr:uid="{6B1A1C43-066B-4BB5-BF1C-E7D55228AA88}"/>
    <cellStyle name="Normal 5 6 5 2 4" xfId="20904" xr:uid="{87278688-EF61-40A9-8C1D-E7ACC5AF1508}"/>
    <cellStyle name="Normal 5 6 5 2 5" xfId="12456" xr:uid="{3616E509-E184-427E-A063-D91E0A68391A}"/>
    <cellStyle name="Normal 5 6 5 3" xfId="6079" xr:uid="{00000000-0005-0000-0000-0000BC1B0000}"/>
    <cellStyle name="Normal 5 6 5 3 2" xfId="31418" xr:uid="{AEB87708-0333-4E61-BC6C-A6C06523D117}"/>
    <cellStyle name="Normal 5 6 5 3 3" xfId="22977" xr:uid="{EE9DB722-C4C0-40F1-8041-A6DCA4F9FABC}"/>
    <cellStyle name="Normal 5 6 5 3 4" xfId="14529" xr:uid="{C657C54E-AAFF-4EE9-9B5C-2B530684BB4A}"/>
    <cellStyle name="Normal 5 6 5 4" xfId="27200" xr:uid="{EC4EBF56-1E4B-4FE1-A865-B40E23166A43}"/>
    <cellStyle name="Normal 5 6 5 5" xfId="18759" xr:uid="{51C7BC29-D0D8-47DC-989C-55FC20A85B78}"/>
    <cellStyle name="Normal 5 6 5 6" xfId="10311" xr:uid="{9EF69604-54D3-4D36-A762-BA35BA33453F}"/>
    <cellStyle name="Normal 5 6 6" xfId="2186" xr:uid="{00000000-0005-0000-0000-0000BD1B0000}"/>
    <cellStyle name="Normal 5 6 6 2" xfId="4415" xr:uid="{00000000-0005-0000-0000-0000BE1B0000}"/>
    <cellStyle name="Normal 5 6 6 2 2" xfId="8637" xr:uid="{00000000-0005-0000-0000-0000BF1B0000}"/>
    <cellStyle name="Normal 5 6 6 2 2 2" xfId="33976" xr:uid="{7CA8DE49-B462-4603-B799-D1DDF291BDF1}"/>
    <cellStyle name="Normal 5 6 6 2 2 3" xfId="25535" xr:uid="{5DAF0249-5D45-4F2B-8107-298E6E3F6EA4}"/>
    <cellStyle name="Normal 5 6 6 2 2 4" xfId="17087" xr:uid="{C9B12E19-00D5-43A8-AD5D-65CC658F9760}"/>
    <cellStyle name="Normal 5 6 6 2 3" xfId="29758" xr:uid="{F3042937-0852-48BA-B051-187D888C1ED9}"/>
    <cellStyle name="Normal 5 6 6 2 4" xfId="21317" xr:uid="{CC36D169-0F43-472E-BBF4-566357CB89FC}"/>
    <cellStyle name="Normal 5 6 6 2 5" xfId="12869" xr:uid="{69C7DBC5-C7C7-4865-9446-3C8174B90BF2}"/>
    <cellStyle name="Normal 5 6 6 3" xfId="6492" xr:uid="{00000000-0005-0000-0000-0000C01B0000}"/>
    <cellStyle name="Normal 5 6 6 3 2" xfId="31831" xr:uid="{B489239D-3D1E-47CA-8BD3-ECE7BE4ED280}"/>
    <cellStyle name="Normal 5 6 6 3 3" xfId="23390" xr:uid="{EDC1108F-7E4A-4A64-A923-29282C3BE2BC}"/>
    <cellStyle name="Normal 5 6 6 3 4" xfId="14942" xr:uid="{A5105C0F-D640-48FC-9404-567DDF70711C}"/>
    <cellStyle name="Normal 5 6 6 4" xfId="27613" xr:uid="{C78CBBF5-2552-437E-AE25-CB4213A0DF5B}"/>
    <cellStyle name="Normal 5 6 6 5" xfId="19172" xr:uid="{2E9DF030-E6A5-4224-B459-972213DB2539}"/>
    <cellStyle name="Normal 5 6 6 6" xfId="10724" xr:uid="{EDB3F2C0-3227-48C9-96D2-6729F49F5376}"/>
    <cellStyle name="Normal 5 6 7" xfId="2622" xr:uid="{00000000-0005-0000-0000-0000C11B0000}"/>
    <cellStyle name="Normal 5 6 7 2" xfId="6905" xr:uid="{00000000-0005-0000-0000-0000C21B0000}"/>
    <cellStyle name="Normal 5 6 7 2 2" xfId="32244" xr:uid="{251D5A23-9A6F-4323-BCC4-222A97AA1D6A}"/>
    <cellStyle name="Normal 5 6 7 2 3" xfId="23803" xr:uid="{D2D547F8-65C6-469A-BFAF-C60C2990316A}"/>
    <cellStyle name="Normal 5 6 7 2 4" xfId="15355" xr:uid="{112B49D4-0170-4119-9CA9-A5F75111FD1A}"/>
    <cellStyle name="Normal 5 6 7 3" xfId="28026" xr:uid="{163562D3-250B-4FFD-98EE-01C595490035}"/>
    <cellStyle name="Normal 5 6 7 4" xfId="19585" xr:uid="{B6DC19E9-163C-4069-9641-39E32E794425}"/>
    <cellStyle name="Normal 5 6 7 5" xfId="11137" xr:uid="{14FA14B5-01F8-4347-A15F-D79E76484ABB}"/>
    <cellStyle name="Normal 5 6 8" xfId="4840" xr:uid="{00000000-0005-0000-0000-0000C31B0000}"/>
    <cellStyle name="Normal 5 6 8 2" xfId="30179" xr:uid="{25918354-36DC-43B3-9F37-C4BECA4BE5C3}"/>
    <cellStyle name="Normal 5 6 8 3" xfId="21738" xr:uid="{24D6BCF8-F534-419C-A9B1-69617A79432C}"/>
    <cellStyle name="Normal 5 6 8 4" xfId="13290" xr:uid="{AD354CAD-CF3A-4034-B31C-D5F9DD36A65C}"/>
    <cellStyle name="Normal 5 6 9" xfId="25961" xr:uid="{A237EC56-1DCA-419D-AD0C-EA20C7387D3E}"/>
    <cellStyle name="Normal 5 7" xfId="470" xr:uid="{00000000-0005-0000-0000-0000C41B0000}"/>
    <cellStyle name="Normal 5 7 10" xfId="9074" xr:uid="{22F33792-D336-4ACA-8DC1-759C61B85C85}"/>
    <cellStyle name="Normal 5 7 2" xfId="944" xr:uid="{00000000-0005-0000-0000-0000C51B0000}"/>
    <cellStyle name="Normal 5 7 2 2" xfId="3178" xr:uid="{00000000-0005-0000-0000-0000C61B0000}"/>
    <cellStyle name="Normal 5 7 2 2 2" xfId="7400" xr:uid="{00000000-0005-0000-0000-0000C71B0000}"/>
    <cellStyle name="Normal 5 7 2 2 2 2" xfId="32739" xr:uid="{7B1867B7-8994-43A5-8FC0-15FEBE8E9F7B}"/>
    <cellStyle name="Normal 5 7 2 2 2 3" xfId="24298" xr:uid="{65C321C7-014C-48EA-A0D0-23829456B95F}"/>
    <cellStyle name="Normal 5 7 2 2 2 4" xfId="15850" xr:uid="{EABFF2ED-BDF5-40A9-B8DC-574BB9E1B773}"/>
    <cellStyle name="Normal 5 7 2 2 3" xfId="28521" xr:uid="{D5BFCC0F-5007-45D8-8F7F-0CC302BCFCB7}"/>
    <cellStyle name="Normal 5 7 2 2 4" xfId="20080" xr:uid="{914D689E-C9D8-4E65-8997-A2575EA14ADF}"/>
    <cellStyle name="Normal 5 7 2 2 5" xfId="11632" xr:uid="{F976E558-5595-4A99-872E-4783722BD3E3}"/>
    <cellStyle name="Normal 5 7 2 3" xfId="5255" xr:uid="{00000000-0005-0000-0000-0000C81B0000}"/>
    <cellStyle name="Normal 5 7 2 3 2" xfId="30594" xr:uid="{965AD7ED-669B-4E44-B987-34A8DBA18D78}"/>
    <cellStyle name="Normal 5 7 2 3 3" xfId="22153" xr:uid="{180B4FAB-1B99-40A3-B073-25345BAB0763}"/>
    <cellStyle name="Normal 5 7 2 3 4" xfId="13705" xr:uid="{280FDA2F-88A8-40B4-BC74-49315471471A}"/>
    <cellStyle name="Normal 5 7 2 4" xfId="26376" xr:uid="{5F115098-93F0-4533-9CC8-BC85AEEAA06E}"/>
    <cellStyle name="Normal 5 7 2 5" xfId="17935" xr:uid="{07B3DC6A-86BC-4158-8D79-66A13A2E698A}"/>
    <cellStyle name="Normal 5 7 2 6" xfId="9487" xr:uid="{0C5FDB66-9C70-4616-BA76-4F20680821CF}"/>
    <cellStyle name="Normal 5 7 3" xfId="1361" xr:uid="{00000000-0005-0000-0000-0000C91B0000}"/>
    <cellStyle name="Normal 5 7 3 2" xfId="3591" xr:uid="{00000000-0005-0000-0000-0000CA1B0000}"/>
    <cellStyle name="Normal 5 7 3 2 2" xfId="7813" xr:uid="{00000000-0005-0000-0000-0000CB1B0000}"/>
    <cellStyle name="Normal 5 7 3 2 2 2" xfId="33152" xr:uid="{4312D8E5-7A24-4E0F-AA78-D50101433C49}"/>
    <cellStyle name="Normal 5 7 3 2 2 3" xfId="24711" xr:uid="{350D7628-F6B8-4BB2-AC10-7C631C8FD08B}"/>
    <cellStyle name="Normal 5 7 3 2 2 4" xfId="16263" xr:uid="{A3490D6A-CB83-4C22-B6DB-D4B5541B38BD}"/>
    <cellStyle name="Normal 5 7 3 2 3" xfId="28934" xr:uid="{52F0E0A3-FF9E-417E-9DD3-02AB21346D30}"/>
    <cellStyle name="Normal 5 7 3 2 4" xfId="20493" xr:uid="{34A52574-504F-4C41-AD12-1BD31AF8C80C}"/>
    <cellStyle name="Normal 5 7 3 2 5" xfId="12045" xr:uid="{B0B04507-3182-41FE-82DD-56164F72632F}"/>
    <cellStyle name="Normal 5 7 3 3" xfId="5668" xr:uid="{00000000-0005-0000-0000-0000CC1B0000}"/>
    <cellStyle name="Normal 5 7 3 3 2" xfId="31007" xr:uid="{D5AFD7D6-76DF-4390-8E6A-2D871B34CCFA}"/>
    <cellStyle name="Normal 5 7 3 3 3" xfId="22566" xr:uid="{24DF79FE-7C36-4A27-B330-0DAA0D927363}"/>
    <cellStyle name="Normal 5 7 3 3 4" xfId="14118" xr:uid="{E6A3426E-8686-4B17-968B-7A4F6984369C}"/>
    <cellStyle name="Normal 5 7 3 4" xfId="26789" xr:uid="{570A91D1-E616-4F4A-A4B0-C5438F038F41}"/>
    <cellStyle name="Normal 5 7 3 5" xfId="18348" xr:uid="{5DEE0FB9-5EB6-48E6-B020-0D00D81DDC3D}"/>
    <cellStyle name="Normal 5 7 3 6" xfId="9900" xr:uid="{A57A05A0-8F93-4FE7-A827-5C2A953D3447}"/>
    <cellStyle name="Normal 5 7 4" xfId="1774" xr:uid="{00000000-0005-0000-0000-0000CD1B0000}"/>
    <cellStyle name="Normal 5 7 4 2" xfId="4004" xr:uid="{00000000-0005-0000-0000-0000CE1B0000}"/>
    <cellStyle name="Normal 5 7 4 2 2" xfId="8226" xr:uid="{00000000-0005-0000-0000-0000CF1B0000}"/>
    <cellStyle name="Normal 5 7 4 2 2 2" xfId="33565" xr:uid="{A8A5769E-23C3-47C3-91B3-A6000116A58C}"/>
    <cellStyle name="Normal 5 7 4 2 2 3" xfId="25124" xr:uid="{00A3B7AA-8B35-468C-958C-53A042F02F7E}"/>
    <cellStyle name="Normal 5 7 4 2 2 4" xfId="16676" xr:uid="{52E75D67-32A0-4805-B7DB-E87A87592E9C}"/>
    <cellStyle name="Normal 5 7 4 2 3" xfId="29347" xr:uid="{90EA7E0C-0871-4442-8B02-65C0725BDCED}"/>
    <cellStyle name="Normal 5 7 4 2 4" xfId="20906" xr:uid="{1C57180F-A367-4C5E-89C4-B96F20CD101C}"/>
    <cellStyle name="Normal 5 7 4 2 5" xfId="12458" xr:uid="{889FA901-57B5-4580-A3A8-BF27ACD398C2}"/>
    <cellStyle name="Normal 5 7 4 3" xfId="6081" xr:uid="{00000000-0005-0000-0000-0000D01B0000}"/>
    <cellStyle name="Normal 5 7 4 3 2" xfId="31420" xr:uid="{C581675F-253F-48F2-AD47-FADB9F96F937}"/>
    <cellStyle name="Normal 5 7 4 3 3" xfId="22979" xr:uid="{480A6213-A60B-4690-BB36-8FBB267F96CB}"/>
    <cellStyle name="Normal 5 7 4 3 4" xfId="14531" xr:uid="{2475935D-9B8C-4F1E-808B-217B965AAB47}"/>
    <cellStyle name="Normal 5 7 4 4" xfId="27202" xr:uid="{C5B043E8-8543-441D-986F-F711F2F6299A}"/>
    <cellStyle name="Normal 5 7 4 5" xfId="18761" xr:uid="{2E5EF197-8AAB-40FC-9154-81A1A71497C3}"/>
    <cellStyle name="Normal 5 7 4 6" xfId="10313" xr:uid="{D378C190-FCEA-40AE-B09D-7118057A98DC}"/>
    <cellStyle name="Normal 5 7 5" xfId="2188" xr:uid="{00000000-0005-0000-0000-0000D11B0000}"/>
    <cellStyle name="Normal 5 7 5 2" xfId="4417" xr:uid="{00000000-0005-0000-0000-0000D21B0000}"/>
    <cellStyle name="Normal 5 7 5 2 2" xfId="8639" xr:uid="{00000000-0005-0000-0000-0000D31B0000}"/>
    <cellStyle name="Normal 5 7 5 2 2 2" xfId="33978" xr:uid="{0533EA71-F312-4676-86BF-A31CB9659A92}"/>
    <cellStyle name="Normal 5 7 5 2 2 3" xfId="25537" xr:uid="{5E93AE20-E26E-4618-A9BF-E8AD2EA372C0}"/>
    <cellStyle name="Normal 5 7 5 2 2 4" xfId="17089" xr:uid="{A0ED0A3B-7227-4493-A19F-B289E801DED8}"/>
    <cellStyle name="Normal 5 7 5 2 3" xfId="29760" xr:uid="{E03453D0-AD0D-4B73-B289-451EFB029C15}"/>
    <cellStyle name="Normal 5 7 5 2 4" xfId="21319" xr:uid="{923A1BDE-0EA0-4FC0-B362-DB81E0536693}"/>
    <cellStyle name="Normal 5 7 5 2 5" xfId="12871" xr:uid="{7756614E-672E-4C6C-ABBF-88565170F37E}"/>
    <cellStyle name="Normal 5 7 5 3" xfId="6494" xr:uid="{00000000-0005-0000-0000-0000D41B0000}"/>
    <cellStyle name="Normal 5 7 5 3 2" xfId="31833" xr:uid="{467BA508-83EA-4818-A7D2-45AAAFD910F7}"/>
    <cellStyle name="Normal 5 7 5 3 3" xfId="23392" xr:uid="{0A53780E-25AD-498F-A780-297A3F3CD83F}"/>
    <cellStyle name="Normal 5 7 5 3 4" xfId="14944" xr:uid="{3E33AB42-B6B2-4A9B-890C-C14F4CA971B0}"/>
    <cellStyle name="Normal 5 7 5 4" xfId="27615" xr:uid="{6F180150-E22A-4642-B904-55C093370A0E}"/>
    <cellStyle name="Normal 5 7 5 5" xfId="19174" xr:uid="{B7E2738A-753F-47BD-849E-5ACE6EBE6EAB}"/>
    <cellStyle name="Normal 5 7 5 6" xfId="10726" xr:uid="{AC67FCC9-0852-4902-A1CA-66F38CA7E884}"/>
    <cellStyle name="Normal 5 7 6" xfId="2624" xr:uid="{00000000-0005-0000-0000-0000D51B0000}"/>
    <cellStyle name="Normal 5 7 6 2" xfId="6907" xr:uid="{00000000-0005-0000-0000-0000D61B0000}"/>
    <cellStyle name="Normal 5 7 6 2 2" xfId="32246" xr:uid="{BF9BCB9E-C7EC-4121-9072-A234E19BA45A}"/>
    <cellStyle name="Normal 5 7 6 2 3" xfId="23805" xr:uid="{40B2E8FC-04BE-4874-963D-DAB2E138ACC1}"/>
    <cellStyle name="Normal 5 7 6 2 4" xfId="15357" xr:uid="{32FE0D81-9AE4-4237-AD30-6155F83E73C7}"/>
    <cellStyle name="Normal 5 7 6 3" xfId="28028" xr:uid="{8312EAB5-7107-464A-B5D0-C4305E833F79}"/>
    <cellStyle name="Normal 5 7 6 4" xfId="19587" xr:uid="{04926DDD-BB54-4A75-B2AB-4492209E0F00}"/>
    <cellStyle name="Normal 5 7 6 5" xfId="11139" xr:uid="{5C229F7C-C5F3-4D7A-BC86-1A5F1EA139CC}"/>
    <cellStyle name="Normal 5 7 7" xfId="4842" xr:uid="{00000000-0005-0000-0000-0000D71B0000}"/>
    <cellStyle name="Normal 5 7 7 2" xfId="30181" xr:uid="{55F38C02-18CE-4728-B1A7-17946A4124EB}"/>
    <cellStyle name="Normal 5 7 7 3" xfId="21740" xr:uid="{04219BEC-C482-4EE2-B3B2-763033EEC00A}"/>
    <cellStyle name="Normal 5 7 7 4" xfId="13292" xr:uid="{8A78238C-8E4C-4F68-900B-79B160BECA4A}"/>
    <cellStyle name="Normal 5 7 8" xfId="25963" xr:uid="{2C2A2D6A-6B3C-4A9F-A78A-92D8DE52DEBD}"/>
    <cellStyle name="Normal 5 7 9" xfId="17522" xr:uid="{EE0560C8-E14A-40A5-8CAA-D6CA7FD19B53}"/>
    <cellStyle name="Normal 5 8" xfId="880" xr:uid="{00000000-0005-0000-0000-0000D81B0000}"/>
    <cellStyle name="Normal 5 8 2" xfId="3115" xr:uid="{00000000-0005-0000-0000-0000D91B0000}"/>
    <cellStyle name="Normal 5 8 2 2" xfId="7337" xr:uid="{00000000-0005-0000-0000-0000DA1B0000}"/>
    <cellStyle name="Normal 5 8 2 2 2" xfId="32676" xr:uid="{6D8B7FD2-7220-4C36-88AC-0242413CC26B}"/>
    <cellStyle name="Normal 5 8 2 2 3" xfId="24235" xr:uid="{01E84F3B-098D-46FB-8D53-F093078D1BDE}"/>
    <cellStyle name="Normal 5 8 2 2 4" xfId="15787" xr:uid="{DCFB9D5C-AF38-494A-8A31-1F0C5A8028E6}"/>
    <cellStyle name="Normal 5 8 2 3" xfId="28458" xr:uid="{043B5019-E04F-4CBC-A187-E60294875AC8}"/>
    <cellStyle name="Normal 5 8 2 4" xfId="20017" xr:uid="{FB3B6868-26ED-4929-B8AB-6C7E10A7766A}"/>
    <cellStyle name="Normal 5 8 2 5" xfId="11569" xr:uid="{C7170403-197A-4E4F-AAD0-5D455E670419}"/>
    <cellStyle name="Normal 5 8 3" xfId="5192" xr:uid="{00000000-0005-0000-0000-0000DB1B0000}"/>
    <cellStyle name="Normal 5 8 3 2" xfId="30531" xr:uid="{2FFE3ABB-F098-4915-8A83-92E2EE9D36A0}"/>
    <cellStyle name="Normal 5 8 3 3" xfId="22090" xr:uid="{E52EBD97-DA29-4AF4-91BD-A767AA07C241}"/>
    <cellStyle name="Normal 5 8 3 4" xfId="13642" xr:uid="{6793C91D-4725-4140-A082-A58F894F011B}"/>
    <cellStyle name="Normal 5 8 4" xfId="26313" xr:uid="{7C2B5C63-87FB-4DC6-B751-17EF2632B770}"/>
    <cellStyle name="Normal 5 8 5" xfId="17872" xr:uid="{EB5CE3C7-7924-41B0-92A0-FBB7AB45C07A}"/>
    <cellStyle name="Normal 5 8 6" xfId="9424" xr:uid="{476F2CDD-6444-4C88-B19E-C8A04D156487}"/>
    <cellStyle name="Normal 5 9" xfId="1298" xr:uid="{00000000-0005-0000-0000-0000DC1B0000}"/>
    <cellStyle name="Normal 5 9 2" xfId="3528" xr:uid="{00000000-0005-0000-0000-0000DD1B0000}"/>
    <cellStyle name="Normal 5 9 2 2" xfId="7750" xr:uid="{00000000-0005-0000-0000-0000DE1B0000}"/>
    <cellStyle name="Normal 5 9 2 2 2" xfId="33089" xr:uid="{230C989D-2FAE-4A4A-9249-DFF95DC76E92}"/>
    <cellStyle name="Normal 5 9 2 2 3" xfId="24648" xr:uid="{B512BDB6-13A4-40DD-9F27-7FD3F4EFB118}"/>
    <cellStyle name="Normal 5 9 2 2 4" xfId="16200" xr:uid="{FB94FD46-EBB2-465F-8C05-71DCC7C998AC}"/>
    <cellStyle name="Normal 5 9 2 3" xfId="28871" xr:uid="{18AE4930-30E7-4A72-9738-CFEB94049667}"/>
    <cellStyle name="Normal 5 9 2 4" xfId="20430" xr:uid="{AF55F072-959F-4563-9FF1-9F6A638ABEA8}"/>
    <cellStyle name="Normal 5 9 2 5" xfId="11982" xr:uid="{BE78EC5E-4A46-4ED4-86EB-666249DC3632}"/>
    <cellStyle name="Normal 5 9 3" xfId="5605" xr:uid="{00000000-0005-0000-0000-0000DF1B0000}"/>
    <cellStyle name="Normal 5 9 3 2" xfId="30944" xr:uid="{7202FDFC-0528-4671-966E-1760EDBDDA80}"/>
    <cellStyle name="Normal 5 9 3 3" xfId="22503" xr:uid="{AC37C480-16D2-410F-B292-111E8084AB20}"/>
    <cellStyle name="Normal 5 9 3 4" xfId="14055" xr:uid="{91C43020-E9A6-4DDF-AB4F-33431A447D4D}"/>
    <cellStyle name="Normal 5 9 4" xfId="26726" xr:uid="{03373220-0C2F-4940-98A7-13C7E66A4DFB}"/>
    <cellStyle name="Normal 5 9 5" xfId="18285" xr:uid="{17653BA8-13A7-4FD6-9C57-EE1FCDC82AE0}"/>
    <cellStyle name="Normal 5 9 6" xfId="9837" xr:uid="{8D26F14C-80D2-4171-B489-B3A8DE06AE04}"/>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33979" xr:uid="{F676DEAA-7303-47C3-9F74-893A9F95BE97}"/>
    <cellStyle name="Normal 8 10 2 2 3" xfId="25538" xr:uid="{B6CEB30C-9271-49E2-BE00-D41F36245FB3}"/>
    <cellStyle name="Normal 8 10 2 2 4" xfId="17090" xr:uid="{7FD0BBE9-8FBD-48B8-BF02-08ADF43F6F2E}"/>
    <cellStyle name="Normal 8 10 2 3" xfId="29761" xr:uid="{18AC7D9C-471A-472C-9654-948FE5F8076C}"/>
    <cellStyle name="Normal 8 10 2 4" xfId="21320" xr:uid="{5B911E91-06D0-4DA8-AA08-57C617C25CBA}"/>
    <cellStyle name="Normal 8 10 2 5" xfId="12872" xr:uid="{1FDF45E3-7098-44BF-89EA-3823EC9938E3}"/>
    <cellStyle name="Normal 8 10 3" xfId="6495" xr:uid="{00000000-0005-0000-0000-0000EB1B0000}"/>
    <cellStyle name="Normal 8 10 3 2" xfId="31834" xr:uid="{E6ECF55B-C2E2-4352-B52B-C1EA9A90A6FF}"/>
    <cellStyle name="Normal 8 10 3 3" xfId="23393" xr:uid="{F4C20DA1-A409-41BD-8B36-D5423E4A5B5E}"/>
    <cellStyle name="Normal 8 10 3 4" xfId="14945" xr:uid="{B00DD84B-9D0C-4EBB-9481-24A5CD2A6926}"/>
    <cellStyle name="Normal 8 10 4" xfId="27616" xr:uid="{2D9791E5-EF46-40F3-AF3D-3FC730392CA6}"/>
    <cellStyle name="Normal 8 10 5" xfId="19175" xr:uid="{C62702BC-9861-4696-92BA-7F5EC29D07A9}"/>
    <cellStyle name="Normal 8 10 6" xfId="10727" xr:uid="{C5C40FDD-F403-4F07-BF44-F6E830C6AD66}"/>
    <cellStyle name="Normal 8 11" xfId="2625" xr:uid="{00000000-0005-0000-0000-0000EC1B0000}"/>
    <cellStyle name="Normal 8 11 2" xfId="6908" xr:uid="{00000000-0005-0000-0000-0000ED1B0000}"/>
    <cellStyle name="Normal 8 11 2 2" xfId="32247" xr:uid="{4DC4055C-BECF-4A0F-8BC9-400B9CF63C38}"/>
    <cellStyle name="Normal 8 11 2 3" xfId="23806" xr:uid="{DCCE19DE-7E66-4B14-AA93-1FE11827E05A}"/>
    <cellStyle name="Normal 8 11 2 4" xfId="15358" xr:uid="{427A6872-694F-4FFA-8126-467E73718F35}"/>
    <cellStyle name="Normal 8 11 3" xfId="28029" xr:uid="{D18DDBD6-7EC3-45D7-89E1-80F42972EE19}"/>
    <cellStyle name="Normal 8 11 4" xfId="19588" xr:uid="{2CD2FACF-CE00-4CE4-BD03-5B1FEC613F05}"/>
    <cellStyle name="Normal 8 11 5" xfId="11140" xr:uid="{07466B62-951D-476D-8E16-3843BD47B252}"/>
    <cellStyle name="Normal 8 12" xfId="4843" xr:uid="{00000000-0005-0000-0000-0000EE1B0000}"/>
    <cellStyle name="Normal 8 12 2" xfId="30182" xr:uid="{0E9755F4-B0AE-4C45-805B-BACFAA557939}"/>
    <cellStyle name="Normal 8 12 3" xfId="21741" xr:uid="{47717A45-BF8A-40C3-A48C-AABFEF9BB835}"/>
    <cellStyle name="Normal 8 12 4" xfId="13293" xr:uid="{BFDD8C50-43A3-465E-8F81-3768BE305E6B}"/>
    <cellStyle name="Normal 8 13" xfId="25964" xr:uid="{217B44C3-F193-46C1-B1AB-87E69710E833}"/>
    <cellStyle name="Normal 8 14" xfId="17523" xr:uid="{77501704-E5A1-4BE9-AFF5-1A8EF4D23DD9}"/>
    <cellStyle name="Normal 8 15" xfId="9075" xr:uid="{D8C68387-6E1C-4B5B-A4E4-0E3A86540A78}"/>
    <cellStyle name="Normal 8 2" xfId="479" xr:uid="{00000000-0005-0000-0000-0000EF1B0000}"/>
    <cellStyle name="Normal 8 2 10" xfId="2626" xr:uid="{00000000-0005-0000-0000-0000F01B0000}"/>
    <cellStyle name="Normal 8 2 10 2" xfId="6909" xr:uid="{00000000-0005-0000-0000-0000F11B0000}"/>
    <cellStyle name="Normal 8 2 10 2 2" xfId="32248" xr:uid="{94E3C07B-E3BE-4AE9-8F24-184AE701C011}"/>
    <cellStyle name="Normal 8 2 10 2 3" xfId="23807" xr:uid="{3634C641-2237-4C93-80FC-6ED702DDF00C}"/>
    <cellStyle name="Normal 8 2 10 2 4" xfId="15359" xr:uid="{F9C9317B-9843-43CA-91C8-57426275329D}"/>
    <cellStyle name="Normal 8 2 10 3" xfId="28030" xr:uid="{A14755CF-A0DB-4758-9C12-A638C4D37313}"/>
    <cellStyle name="Normal 8 2 10 4" xfId="19589" xr:uid="{D5666E87-6378-4AAA-BB94-1DAC66F05FEA}"/>
    <cellStyle name="Normal 8 2 10 5" xfId="11141" xr:uid="{2DD850B4-700F-4E0B-8BE9-DE492793CBBF}"/>
    <cellStyle name="Normal 8 2 11" xfId="4844" xr:uid="{00000000-0005-0000-0000-0000F21B0000}"/>
    <cellStyle name="Normal 8 2 11 2" xfId="30183" xr:uid="{550B1B3E-1130-4CE5-9E37-28F3ED0ED039}"/>
    <cellStyle name="Normal 8 2 11 3" xfId="21742" xr:uid="{839281C6-2926-497A-8B85-47430C073E9C}"/>
    <cellStyle name="Normal 8 2 11 4" xfId="13294" xr:uid="{30ADCF62-FB84-4044-B66F-D8253B2ACEED}"/>
    <cellStyle name="Normal 8 2 12" xfId="25965" xr:uid="{60C9AB86-1CE5-4326-A506-2E3241AA370B}"/>
    <cellStyle name="Normal 8 2 13" xfId="17524" xr:uid="{A84A1E5B-0DFB-41F6-94A8-49FDD877F077}"/>
    <cellStyle name="Normal 8 2 14" xfId="9076" xr:uid="{37FC9EF9-D2B4-4A50-B3AB-0289E84EAA7D}"/>
    <cellStyle name="Normal 8 2 2" xfId="480" xr:uid="{00000000-0005-0000-0000-0000F31B0000}"/>
    <cellStyle name="Normal 8 2 2 10" xfId="4845" xr:uid="{00000000-0005-0000-0000-0000F41B0000}"/>
    <cellStyle name="Normal 8 2 2 10 2" xfId="30184" xr:uid="{1576CD13-C6DC-439F-A4B9-2407E6AB9D33}"/>
    <cellStyle name="Normal 8 2 2 10 3" xfId="21743" xr:uid="{A6A40D67-270E-4366-A2E6-D73E9FEE89D6}"/>
    <cellStyle name="Normal 8 2 2 10 4" xfId="13295" xr:uid="{3F89ABE8-8EA4-4D98-9F0C-355324092169}"/>
    <cellStyle name="Normal 8 2 2 11" xfId="25966" xr:uid="{0D503A17-9A60-49F9-9D41-653221A71FBC}"/>
    <cellStyle name="Normal 8 2 2 12" xfId="17525" xr:uid="{1AFBAE1F-870E-4F56-9181-0FEB2867493F}"/>
    <cellStyle name="Normal 8 2 2 13" xfId="9077" xr:uid="{C570A5ED-4653-4476-AA99-669DD676C073}"/>
    <cellStyle name="Normal 8 2 2 2" xfId="481" xr:uid="{00000000-0005-0000-0000-0000F51B0000}"/>
    <cellStyle name="Normal 8 2 2 2 10" xfId="25967" xr:uid="{2774D183-B5A5-41A2-A183-D95D8BD7435F}"/>
    <cellStyle name="Normal 8 2 2 2 11" xfId="17526" xr:uid="{CED0833C-6ADA-4313-872B-01EB47636E1E}"/>
    <cellStyle name="Normal 8 2 2 2 12" xfId="9078" xr:uid="{9EC2E952-746A-4008-8CCF-89320B570E1C}"/>
    <cellStyle name="Normal 8 2 2 2 2" xfId="482" xr:uid="{00000000-0005-0000-0000-0000F61B0000}"/>
    <cellStyle name="Normal 8 2 2 2 2 10" xfId="17527" xr:uid="{48ADE53F-B619-4BE8-A09D-DB2D823DA07B}"/>
    <cellStyle name="Normal 8 2 2 2 2 11" xfId="9079" xr:uid="{8DE2A269-5119-441E-8DA0-4D5DE126F84E}"/>
    <cellStyle name="Normal 8 2 2 2 2 2" xfId="483" xr:uid="{00000000-0005-0000-0000-0000F71B0000}"/>
    <cellStyle name="Normal 8 2 2 2 2 2 10" xfId="9080" xr:uid="{2010F96F-6379-4F17-8779-7CDEAC1442EC}"/>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32745" xr:uid="{AD40C6B9-584E-4B33-9B37-BA2DEA29F16D}"/>
    <cellStyle name="Normal 8 2 2 2 2 2 2 2 2 3" xfId="24304" xr:uid="{7CABE209-FC12-469C-9469-C8AD3AF6F353}"/>
    <cellStyle name="Normal 8 2 2 2 2 2 2 2 2 4" xfId="15856" xr:uid="{C8638444-EF04-4606-8C72-40969F3066F0}"/>
    <cellStyle name="Normal 8 2 2 2 2 2 2 2 3" xfId="28527" xr:uid="{3F28FD54-E3EF-4D61-AC78-F3165035511C}"/>
    <cellStyle name="Normal 8 2 2 2 2 2 2 2 4" xfId="20086" xr:uid="{AD372510-92B8-4F9D-9873-FD2F469E379E}"/>
    <cellStyle name="Normal 8 2 2 2 2 2 2 2 5" xfId="11638" xr:uid="{4CAF76FC-FB92-4484-848B-897B763964FC}"/>
    <cellStyle name="Normal 8 2 2 2 2 2 2 3" xfId="5261" xr:uid="{00000000-0005-0000-0000-0000FB1B0000}"/>
    <cellStyle name="Normal 8 2 2 2 2 2 2 3 2" xfId="30600" xr:uid="{D329F6E5-A695-4D28-A09A-A1723485CCA1}"/>
    <cellStyle name="Normal 8 2 2 2 2 2 2 3 3" xfId="22159" xr:uid="{70D4D411-9625-4574-AB36-959C6C65CAB9}"/>
    <cellStyle name="Normal 8 2 2 2 2 2 2 3 4" xfId="13711" xr:uid="{A1FDEB62-E47D-4DB8-BA56-24472A8550FD}"/>
    <cellStyle name="Normal 8 2 2 2 2 2 2 4" xfId="26382" xr:uid="{1E6E01C7-7522-40A6-B16C-1557FFB1B52B}"/>
    <cellStyle name="Normal 8 2 2 2 2 2 2 5" xfId="17941" xr:uid="{1D35882D-4110-495C-B246-0739C24F2336}"/>
    <cellStyle name="Normal 8 2 2 2 2 2 2 6" xfId="9493" xr:uid="{7BB67B7A-2A1D-4F01-9D09-0AA58008EBF4}"/>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33158" xr:uid="{7CF04CC4-FD12-4AA0-8B07-AF48FC8681EE}"/>
    <cellStyle name="Normal 8 2 2 2 2 2 3 2 2 3" xfId="24717" xr:uid="{B094DE17-A604-4B04-8EB0-AD913F0933C8}"/>
    <cellStyle name="Normal 8 2 2 2 2 2 3 2 2 4" xfId="16269" xr:uid="{E4E0832B-9D40-4694-9936-12F4DFF33DCB}"/>
    <cellStyle name="Normal 8 2 2 2 2 2 3 2 3" xfId="28940" xr:uid="{AE8A9DA2-EF0C-486A-91B6-3B76DFB66A87}"/>
    <cellStyle name="Normal 8 2 2 2 2 2 3 2 4" xfId="20499" xr:uid="{6DBB30B2-05D2-455A-853F-A581C3DC908F}"/>
    <cellStyle name="Normal 8 2 2 2 2 2 3 2 5" xfId="12051" xr:uid="{6B638E15-1E9B-48A6-8364-0E96B8ADEB06}"/>
    <cellStyle name="Normal 8 2 2 2 2 2 3 3" xfId="5674" xr:uid="{00000000-0005-0000-0000-0000FF1B0000}"/>
    <cellStyle name="Normal 8 2 2 2 2 2 3 3 2" xfId="31013" xr:uid="{952F0CFB-66C0-44BD-815B-3ECDD7BEFCF7}"/>
    <cellStyle name="Normal 8 2 2 2 2 2 3 3 3" xfId="22572" xr:uid="{FF3E7EE9-1570-4628-926D-A6CB6D682A2A}"/>
    <cellStyle name="Normal 8 2 2 2 2 2 3 3 4" xfId="14124" xr:uid="{48C3258F-3A6A-42DE-B34F-0A277AD4B7F2}"/>
    <cellStyle name="Normal 8 2 2 2 2 2 3 4" xfId="26795" xr:uid="{883D4222-46AB-4923-A96B-0FA357FC1DA3}"/>
    <cellStyle name="Normal 8 2 2 2 2 2 3 5" xfId="18354" xr:uid="{4CF4B341-F13E-40E8-BAE4-D36052730CBA}"/>
    <cellStyle name="Normal 8 2 2 2 2 2 3 6" xfId="9906" xr:uid="{09519EA8-855B-4C9A-AC47-0B3D7E425972}"/>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33571" xr:uid="{8B61CEBF-5EFA-48EC-80CD-A08A5749D575}"/>
    <cellStyle name="Normal 8 2 2 2 2 2 4 2 2 3" xfId="25130" xr:uid="{E5A23732-7E7D-4F93-8E6A-96EC57059AD4}"/>
    <cellStyle name="Normal 8 2 2 2 2 2 4 2 2 4" xfId="16682" xr:uid="{67C0BAF8-E9D1-4422-BC94-D5EFB79087B1}"/>
    <cellStyle name="Normal 8 2 2 2 2 2 4 2 3" xfId="29353" xr:uid="{90318EAB-7C8A-40CA-BB60-6483EF517518}"/>
    <cellStyle name="Normal 8 2 2 2 2 2 4 2 4" xfId="20912" xr:uid="{4389EA7F-116A-412F-92FF-DB17793B5FAB}"/>
    <cellStyle name="Normal 8 2 2 2 2 2 4 2 5" xfId="12464" xr:uid="{7EF7346A-D67D-43FA-A84B-9DCADC8F0A0A}"/>
    <cellStyle name="Normal 8 2 2 2 2 2 4 3" xfId="6087" xr:uid="{00000000-0005-0000-0000-0000031C0000}"/>
    <cellStyle name="Normal 8 2 2 2 2 2 4 3 2" xfId="31426" xr:uid="{D500F042-BCC2-44F5-BD34-B97F1968F5C0}"/>
    <cellStyle name="Normal 8 2 2 2 2 2 4 3 3" xfId="22985" xr:uid="{6B0264A2-2C7A-445F-B9D9-46B678EAC9FB}"/>
    <cellStyle name="Normal 8 2 2 2 2 2 4 3 4" xfId="14537" xr:uid="{97B8C7EE-DCBD-4630-BE10-55E5A15E65EA}"/>
    <cellStyle name="Normal 8 2 2 2 2 2 4 4" xfId="27208" xr:uid="{69130613-63AA-49F7-9AFC-2EB2373DC442}"/>
    <cellStyle name="Normal 8 2 2 2 2 2 4 5" xfId="18767" xr:uid="{43E97A31-C0BF-4C84-BCB1-E9A8CE838C6E}"/>
    <cellStyle name="Normal 8 2 2 2 2 2 4 6" xfId="10319" xr:uid="{12CE2483-6102-46D1-A7C1-4BDEA5BBA361}"/>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33984" xr:uid="{F7BE4F58-524D-4053-9BE4-20672FCE8928}"/>
    <cellStyle name="Normal 8 2 2 2 2 2 5 2 2 3" xfId="25543" xr:uid="{CA77A64B-92B3-4367-BE41-16FF32007C7F}"/>
    <cellStyle name="Normal 8 2 2 2 2 2 5 2 2 4" xfId="17095" xr:uid="{2204FABC-6552-49BE-A61E-2D2212C4C519}"/>
    <cellStyle name="Normal 8 2 2 2 2 2 5 2 3" xfId="29766" xr:uid="{1F61075B-9FDE-43A9-8312-A9FD99BFCE47}"/>
    <cellStyle name="Normal 8 2 2 2 2 2 5 2 4" xfId="21325" xr:uid="{A97C6B5E-DF81-4C5F-9166-649671764C04}"/>
    <cellStyle name="Normal 8 2 2 2 2 2 5 2 5" xfId="12877" xr:uid="{6EEADF8C-B951-48A0-BB3E-57A68BA85D22}"/>
    <cellStyle name="Normal 8 2 2 2 2 2 5 3" xfId="6500" xr:uid="{00000000-0005-0000-0000-0000071C0000}"/>
    <cellStyle name="Normal 8 2 2 2 2 2 5 3 2" xfId="31839" xr:uid="{96A325AA-CB02-4B06-BBC8-AF4663037B88}"/>
    <cellStyle name="Normal 8 2 2 2 2 2 5 3 3" xfId="23398" xr:uid="{5FB3EAC2-C7E4-472B-9AC0-816CEB39258B}"/>
    <cellStyle name="Normal 8 2 2 2 2 2 5 3 4" xfId="14950" xr:uid="{B6090D90-5311-4A87-BCA9-E3937D30A7C4}"/>
    <cellStyle name="Normal 8 2 2 2 2 2 5 4" xfId="27621" xr:uid="{CA68083C-E5BF-4D3C-B1F1-091363D369BB}"/>
    <cellStyle name="Normal 8 2 2 2 2 2 5 5" xfId="19180" xr:uid="{031F7954-AEA3-434D-9B67-93B90AEAAD0A}"/>
    <cellStyle name="Normal 8 2 2 2 2 2 5 6" xfId="10732" xr:uid="{62945427-5F95-4D6F-B721-E8DF38553846}"/>
    <cellStyle name="Normal 8 2 2 2 2 2 6" xfId="2630" xr:uid="{00000000-0005-0000-0000-0000081C0000}"/>
    <cellStyle name="Normal 8 2 2 2 2 2 6 2" xfId="6913" xr:uid="{00000000-0005-0000-0000-0000091C0000}"/>
    <cellStyle name="Normal 8 2 2 2 2 2 6 2 2" xfId="32252" xr:uid="{454C12B2-F3EB-4D1F-8949-A822B5B7868A}"/>
    <cellStyle name="Normal 8 2 2 2 2 2 6 2 3" xfId="23811" xr:uid="{51627FCB-9E70-40B9-9843-D682A74AA2F0}"/>
    <cellStyle name="Normal 8 2 2 2 2 2 6 2 4" xfId="15363" xr:uid="{1BAB77FB-CC0F-41AB-865A-A5779FA626A3}"/>
    <cellStyle name="Normal 8 2 2 2 2 2 6 3" xfId="28034" xr:uid="{8A5036E3-610F-40F3-B138-544D9543B971}"/>
    <cellStyle name="Normal 8 2 2 2 2 2 6 4" xfId="19593" xr:uid="{6C0D3B20-F2B3-4082-90EE-13AA287A88CE}"/>
    <cellStyle name="Normal 8 2 2 2 2 2 6 5" xfId="11145" xr:uid="{0CF6E769-6DC9-4F83-9C0F-0EAD572E10FA}"/>
    <cellStyle name="Normal 8 2 2 2 2 2 7" xfId="4848" xr:uid="{00000000-0005-0000-0000-00000A1C0000}"/>
    <cellStyle name="Normal 8 2 2 2 2 2 7 2" xfId="30187" xr:uid="{23FA78A9-0E55-474A-AEBE-1565328BE846}"/>
    <cellStyle name="Normal 8 2 2 2 2 2 7 3" xfId="21746" xr:uid="{637CEE81-1602-465A-A64B-B4C920E5C0E7}"/>
    <cellStyle name="Normal 8 2 2 2 2 2 7 4" xfId="13298" xr:uid="{328DA7C3-805A-4319-BBF1-3BE1AD2488E5}"/>
    <cellStyle name="Normal 8 2 2 2 2 2 8" xfId="25969" xr:uid="{1089D3EC-AEEA-40E3-9497-F726D2BDA418}"/>
    <cellStyle name="Normal 8 2 2 2 2 2 9" xfId="17528" xr:uid="{1F3BD2EF-A659-4D84-BECF-D17F85A43378}"/>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32744" xr:uid="{EE075ECF-44EF-4BEE-9010-86044791FE05}"/>
    <cellStyle name="Normal 8 2 2 2 2 3 2 2 3" xfId="24303" xr:uid="{8FB1FD46-2E9A-438A-BB88-603B82C3F7F1}"/>
    <cellStyle name="Normal 8 2 2 2 2 3 2 2 4" xfId="15855" xr:uid="{7F8559D2-82F8-4DBD-A989-C0588869837B}"/>
    <cellStyle name="Normal 8 2 2 2 2 3 2 3" xfId="28526" xr:uid="{D5D29D46-023E-436A-BEEF-0C691A9B03D6}"/>
    <cellStyle name="Normal 8 2 2 2 2 3 2 4" xfId="20085" xr:uid="{7E35BF1E-937F-4003-93CB-4317069A72FF}"/>
    <cellStyle name="Normal 8 2 2 2 2 3 2 5" xfId="11637" xr:uid="{2E1D6F25-5136-426A-B728-02503D130555}"/>
    <cellStyle name="Normal 8 2 2 2 2 3 3" xfId="5260" xr:uid="{00000000-0005-0000-0000-00000E1C0000}"/>
    <cellStyle name="Normal 8 2 2 2 2 3 3 2" xfId="30599" xr:uid="{73597587-7246-42FB-AC4E-FF179163BDC0}"/>
    <cellStyle name="Normal 8 2 2 2 2 3 3 3" xfId="22158" xr:uid="{90A0376C-6E3A-46D8-A547-BAAFAC2DFC21}"/>
    <cellStyle name="Normal 8 2 2 2 2 3 3 4" xfId="13710" xr:uid="{A6C9C8E2-C624-4E5F-8FD3-C49FDF55904E}"/>
    <cellStyle name="Normal 8 2 2 2 2 3 4" xfId="26381" xr:uid="{586D8450-DFF6-4727-A64D-5727A321F902}"/>
    <cellStyle name="Normal 8 2 2 2 2 3 5" xfId="17940" xr:uid="{0EF3854B-752E-457A-BE33-B708C1EDD818}"/>
    <cellStyle name="Normal 8 2 2 2 2 3 6" xfId="9492" xr:uid="{D3EAE687-B766-4874-8FEF-7ADF1634B81E}"/>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33157" xr:uid="{73A8EF6D-C21F-44ED-9A84-5B449D7D865C}"/>
    <cellStyle name="Normal 8 2 2 2 2 4 2 2 3" xfId="24716" xr:uid="{3141FAF1-1F0C-45BA-9ADD-BF5AC14FF22D}"/>
    <cellStyle name="Normal 8 2 2 2 2 4 2 2 4" xfId="16268" xr:uid="{F296C16F-CFCA-40A8-BD3F-FFE991D2FFA2}"/>
    <cellStyle name="Normal 8 2 2 2 2 4 2 3" xfId="28939" xr:uid="{B86DF431-3080-4D96-B460-CA0CE201D405}"/>
    <cellStyle name="Normal 8 2 2 2 2 4 2 4" xfId="20498" xr:uid="{0EB0788D-0DCC-4093-85E8-A0CC48D124A5}"/>
    <cellStyle name="Normal 8 2 2 2 2 4 2 5" xfId="12050" xr:uid="{29B4EBC4-D0A1-4B65-ACA3-4D9670EAF5EB}"/>
    <cellStyle name="Normal 8 2 2 2 2 4 3" xfId="5673" xr:uid="{00000000-0005-0000-0000-0000121C0000}"/>
    <cellStyle name="Normal 8 2 2 2 2 4 3 2" xfId="31012" xr:uid="{7349B6AE-57C8-442D-BEB3-8C3F61D0A58F}"/>
    <cellStyle name="Normal 8 2 2 2 2 4 3 3" xfId="22571" xr:uid="{90EFE679-C8C5-48B3-8552-657D3CE1DD5C}"/>
    <cellStyle name="Normal 8 2 2 2 2 4 3 4" xfId="14123" xr:uid="{7A15EFD0-561B-4A09-8804-C577ABDBA280}"/>
    <cellStyle name="Normal 8 2 2 2 2 4 4" xfId="26794" xr:uid="{B228B703-2852-4169-BA66-D169EF132DE3}"/>
    <cellStyle name="Normal 8 2 2 2 2 4 5" xfId="18353" xr:uid="{574A30B0-BA2A-48ED-B9FB-234B5E99CC5D}"/>
    <cellStyle name="Normal 8 2 2 2 2 4 6" xfId="9905" xr:uid="{301A62FF-C3F5-4E46-B513-5328F85D20E7}"/>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33570" xr:uid="{EE68CF14-9FD5-4540-9947-15EE8F43168A}"/>
    <cellStyle name="Normal 8 2 2 2 2 5 2 2 3" xfId="25129" xr:uid="{952E5B2B-1DDC-4F73-A8E7-792C4BAA5E3C}"/>
    <cellStyle name="Normal 8 2 2 2 2 5 2 2 4" xfId="16681" xr:uid="{CB370CF9-463E-4CDC-9454-EAAAF97FAE11}"/>
    <cellStyle name="Normal 8 2 2 2 2 5 2 3" xfId="29352" xr:uid="{686D90DC-A837-4239-9408-B4557B2A80C2}"/>
    <cellStyle name="Normal 8 2 2 2 2 5 2 4" xfId="20911" xr:uid="{73BDC862-73D1-443E-AF79-81877C4E36C3}"/>
    <cellStyle name="Normal 8 2 2 2 2 5 2 5" xfId="12463" xr:uid="{C2545FAF-655D-46BF-A1B4-E882387A422D}"/>
    <cellStyle name="Normal 8 2 2 2 2 5 3" xfId="6086" xr:uid="{00000000-0005-0000-0000-0000161C0000}"/>
    <cellStyle name="Normal 8 2 2 2 2 5 3 2" xfId="31425" xr:uid="{098E56CF-175A-4C80-908E-35D6062CF211}"/>
    <cellStyle name="Normal 8 2 2 2 2 5 3 3" xfId="22984" xr:uid="{16DD8023-8DA0-43D8-8B2E-3DC223261DE2}"/>
    <cellStyle name="Normal 8 2 2 2 2 5 3 4" xfId="14536" xr:uid="{56A0E190-7083-4ED9-9F08-D3288ED38259}"/>
    <cellStyle name="Normal 8 2 2 2 2 5 4" xfId="27207" xr:uid="{1A94BE99-786C-4CDE-9BF1-AE066E5C02C9}"/>
    <cellStyle name="Normal 8 2 2 2 2 5 5" xfId="18766" xr:uid="{DD1AA242-D6FD-45C4-9AAC-F8B81BA23D21}"/>
    <cellStyle name="Normal 8 2 2 2 2 5 6" xfId="10318" xr:uid="{BA54EF09-2FA3-43D8-A956-6D194A31BEAE}"/>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33983" xr:uid="{FD12BA25-614B-4D1B-8432-357E45458F6A}"/>
    <cellStyle name="Normal 8 2 2 2 2 6 2 2 3" xfId="25542" xr:uid="{F2C22F56-C023-43BA-9473-A757F5737D88}"/>
    <cellStyle name="Normal 8 2 2 2 2 6 2 2 4" xfId="17094" xr:uid="{F53C2DC5-1134-4717-A992-7235D0DEB3D4}"/>
    <cellStyle name="Normal 8 2 2 2 2 6 2 3" xfId="29765" xr:uid="{7541F44E-02C9-4A55-B346-6AAB856803C5}"/>
    <cellStyle name="Normal 8 2 2 2 2 6 2 4" xfId="21324" xr:uid="{1DE17D32-52BE-4234-96F9-76D0BF53DEEF}"/>
    <cellStyle name="Normal 8 2 2 2 2 6 2 5" xfId="12876" xr:uid="{1B3B5428-0FC2-4B10-9DFC-BAAFE621D06C}"/>
    <cellStyle name="Normal 8 2 2 2 2 6 3" xfId="6499" xr:uid="{00000000-0005-0000-0000-00001A1C0000}"/>
    <cellStyle name="Normal 8 2 2 2 2 6 3 2" xfId="31838" xr:uid="{FA092582-51DB-402C-9F50-F2699AD63A3F}"/>
    <cellStyle name="Normal 8 2 2 2 2 6 3 3" xfId="23397" xr:uid="{9E128E35-FAC4-4553-822A-9ECF4B3F1C99}"/>
    <cellStyle name="Normal 8 2 2 2 2 6 3 4" xfId="14949" xr:uid="{96B26077-7F3A-4B9D-887A-B4D2065BCA16}"/>
    <cellStyle name="Normal 8 2 2 2 2 6 4" xfId="27620" xr:uid="{70E1378B-46F7-4437-8F09-AAC5422FD5D6}"/>
    <cellStyle name="Normal 8 2 2 2 2 6 5" xfId="19179" xr:uid="{BEB2ABDC-DAE9-4E43-B44C-745C8321FB79}"/>
    <cellStyle name="Normal 8 2 2 2 2 6 6" xfId="10731" xr:uid="{C1696BDD-BEDE-4534-8D74-0C1554EC9E61}"/>
    <cellStyle name="Normal 8 2 2 2 2 7" xfId="2629" xr:uid="{00000000-0005-0000-0000-00001B1C0000}"/>
    <cellStyle name="Normal 8 2 2 2 2 7 2" xfId="6912" xr:uid="{00000000-0005-0000-0000-00001C1C0000}"/>
    <cellStyle name="Normal 8 2 2 2 2 7 2 2" xfId="32251" xr:uid="{36985CC2-B779-4483-80F4-780389959562}"/>
    <cellStyle name="Normal 8 2 2 2 2 7 2 3" xfId="23810" xr:uid="{E63EB348-E154-490A-BA78-30EA3CA2F42E}"/>
    <cellStyle name="Normal 8 2 2 2 2 7 2 4" xfId="15362" xr:uid="{4730A209-3240-41A4-980F-454A660933CA}"/>
    <cellStyle name="Normal 8 2 2 2 2 7 3" xfId="28033" xr:uid="{98CDEFFB-915F-458F-AB9B-1470D7D81E92}"/>
    <cellStyle name="Normal 8 2 2 2 2 7 4" xfId="19592" xr:uid="{16147577-64B0-4DBE-9CC1-70D9E7C82F64}"/>
    <cellStyle name="Normal 8 2 2 2 2 7 5" xfId="11144" xr:uid="{D5A96638-D31F-4654-A919-A00A63A005DA}"/>
    <cellStyle name="Normal 8 2 2 2 2 8" xfId="4847" xr:uid="{00000000-0005-0000-0000-00001D1C0000}"/>
    <cellStyle name="Normal 8 2 2 2 2 8 2" xfId="30186" xr:uid="{4CA02E0D-5727-4E34-B60C-457A28CDA84E}"/>
    <cellStyle name="Normal 8 2 2 2 2 8 3" xfId="21745" xr:uid="{32C49FF0-4317-40C4-B80B-21697AAEB2DC}"/>
    <cellStyle name="Normal 8 2 2 2 2 8 4" xfId="13297" xr:uid="{AC45BF84-D145-4591-A38C-85130DAC7B46}"/>
    <cellStyle name="Normal 8 2 2 2 2 9" xfId="25968" xr:uid="{A1F3A56D-EB0E-40C6-9241-DFA2D0810775}"/>
    <cellStyle name="Normal 8 2 2 2 3" xfId="484" xr:uid="{00000000-0005-0000-0000-00001E1C0000}"/>
    <cellStyle name="Normal 8 2 2 2 3 10" xfId="9081" xr:uid="{E5203427-39D4-4577-9638-D7FA9571CDB8}"/>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32746" xr:uid="{1DF1F08D-740E-4A82-B4B9-FFE80321674E}"/>
    <cellStyle name="Normal 8 2 2 2 3 2 2 2 3" xfId="24305" xr:uid="{F7B35764-012E-4CAE-9618-F3A94EB45177}"/>
    <cellStyle name="Normal 8 2 2 2 3 2 2 2 4" xfId="15857" xr:uid="{296AF964-EC84-497D-B645-7C5B36C303BA}"/>
    <cellStyle name="Normal 8 2 2 2 3 2 2 3" xfId="28528" xr:uid="{A5A8D7A6-564F-45A3-8437-C8047A83B11F}"/>
    <cellStyle name="Normal 8 2 2 2 3 2 2 4" xfId="20087" xr:uid="{C886BF47-65BC-4AF1-9AF3-46E6D5E82623}"/>
    <cellStyle name="Normal 8 2 2 2 3 2 2 5" xfId="11639" xr:uid="{35574D9F-B2BD-48F9-BE11-FA1F65278131}"/>
    <cellStyle name="Normal 8 2 2 2 3 2 3" xfId="5262" xr:uid="{00000000-0005-0000-0000-0000221C0000}"/>
    <cellStyle name="Normal 8 2 2 2 3 2 3 2" xfId="30601" xr:uid="{DB7EF003-ED22-49FE-9E02-93033A9027C3}"/>
    <cellStyle name="Normal 8 2 2 2 3 2 3 3" xfId="22160" xr:uid="{CEEF8771-CDB4-471F-AF65-C4E49BFC85E1}"/>
    <cellStyle name="Normal 8 2 2 2 3 2 3 4" xfId="13712" xr:uid="{52D6A206-583C-4111-B20E-3D2D241413CD}"/>
    <cellStyle name="Normal 8 2 2 2 3 2 4" xfId="26383" xr:uid="{6BF85405-B105-427C-98CF-C20BCF6284FF}"/>
    <cellStyle name="Normal 8 2 2 2 3 2 5" xfId="17942" xr:uid="{3F169BE0-C8FA-43DB-9798-EAB2CA0B3024}"/>
    <cellStyle name="Normal 8 2 2 2 3 2 6" xfId="9494" xr:uid="{0F4A97A6-2B44-47A6-AA03-579A192F16AD}"/>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33159" xr:uid="{765358B1-0295-442B-A53E-9F229814E4A0}"/>
    <cellStyle name="Normal 8 2 2 2 3 3 2 2 3" xfId="24718" xr:uid="{0D5C83F9-0D16-457B-9426-72E962645F81}"/>
    <cellStyle name="Normal 8 2 2 2 3 3 2 2 4" xfId="16270" xr:uid="{22E44EBB-7EAC-4557-A131-0D3DD6639C79}"/>
    <cellStyle name="Normal 8 2 2 2 3 3 2 3" xfId="28941" xr:uid="{9186972E-B7A4-4F47-A521-9E9BE39C05AC}"/>
    <cellStyle name="Normal 8 2 2 2 3 3 2 4" xfId="20500" xr:uid="{C118CC0A-0E59-4B9D-9E17-6483FF6A430C}"/>
    <cellStyle name="Normal 8 2 2 2 3 3 2 5" xfId="12052" xr:uid="{6C6E3521-D2DA-4932-B841-F917CAE3D672}"/>
    <cellStyle name="Normal 8 2 2 2 3 3 3" xfId="5675" xr:uid="{00000000-0005-0000-0000-0000261C0000}"/>
    <cellStyle name="Normal 8 2 2 2 3 3 3 2" xfId="31014" xr:uid="{E3289111-B1AB-43DD-AF29-11D1B6CFEDBF}"/>
    <cellStyle name="Normal 8 2 2 2 3 3 3 3" xfId="22573" xr:uid="{C7C1C50F-1DE8-4E0E-8290-DFDB646DCF25}"/>
    <cellStyle name="Normal 8 2 2 2 3 3 3 4" xfId="14125" xr:uid="{DACD1B76-3749-4DFC-9FC8-C91258819B10}"/>
    <cellStyle name="Normal 8 2 2 2 3 3 4" xfId="26796" xr:uid="{0057B30A-1CA4-4298-8992-E36670830AF8}"/>
    <cellStyle name="Normal 8 2 2 2 3 3 5" xfId="18355" xr:uid="{810274A3-6A02-4AE5-8675-99DE9C4204F1}"/>
    <cellStyle name="Normal 8 2 2 2 3 3 6" xfId="9907" xr:uid="{E02AD85A-636D-4F6C-9F18-CEB39BBCF3B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33572" xr:uid="{9061BE90-3E59-40D5-80B3-D09F0BBE659B}"/>
    <cellStyle name="Normal 8 2 2 2 3 4 2 2 3" xfId="25131" xr:uid="{52EFBC59-6ACC-4330-B8C2-3002862F473B}"/>
    <cellStyle name="Normal 8 2 2 2 3 4 2 2 4" xfId="16683" xr:uid="{1BD5D8AE-62B2-4AAD-9A41-78749B736D65}"/>
    <cellStyle name="Normal 8 2 2 2 3 4 2 3" xfId="29354" xr:uid="{D1793FD9-EA3A-493A-92AB-733729D3915E}"/>
    <cellStyle name="Normal 8 2 2 2 3 4 2 4" xfId="20913" xr:uid="{2C60E577-D2C7-46F7-A896-52B41134B5FE}"/>
    <cellStyle name="Normal 8 2 2 2 3 4 2 5" xfId="12465" xr:uid="{42885746-C859-476E-A7C7-EC8D3A7191C9}"/>
    <cellStyle name="Normal 8 2 2 2 3 4 3" xfId="6088" xr:uid="{00000000-0005-0000-0000-00002A1C0000}"/>
    <cellStyle name="Normal 8 2 2 2 3 4 3 2" xfId="31427" xr:uid="{E6DF4B74-AD7C-413F-AB4F-94188ACEAF19}"/>
    <cellStyle name="Normal 8 2 2 2 3 4 3 3" xfId="22986" xr:uid="{E8E14B59-7EFA-42F8-81A4-17221D28092E}"/>
    <cellStyle name="Normal 8 2 2 2 3 4 3 4" xfId="14538" xr:uid="{61321934-83EF-4E8E-B49C-B113FB91EF2A}"/>
    <cellStyle name="Normal 8 2 2 2 3 4 4" xfId="27209" xr:uid="{8A8146EC-C065-4A44-AA2D-42936B970CBB}"/>
    <cellStyle name="Normal 8 2 2 2 3 4 5" xfId="18768" xr:uid="{015366EF-2C1B-4F7E-B968-7A88E78A4BA9}"/>
    <cellStyle name="Normal 8 2 2 2 3 4 6" xfId="10320" xr:uid="{4C339D19-829D-4FA4-B838-F847B9E43DFE}"/>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33985" xr:uid="{C0EFC143-B075-4B91-84CE-5EDBCE0462A6}"/>
    <cellStyle name="Normal 8 2 2 2 3 5 2 2 3" xfId="25544" xr:uid="{F6F30CE1-D882-466B-806A-BD9D03B1A3DC}"/>
    <cellStyle name="Normal 8 2 2 2 3 5 2 2 4" xfId="17096" xr:uid="{AFBB6554-E280-4501-9285-AF9D5846F1E4}"/>
    <cellStyle name="Normal 8 2 2 2 3 5 2 3" xfId="29767" xr:uid="{BB2827B1-9729-4EE2-ABFB-5BFF69A0B45A}"/>
    <cellStyle name="Normal 8 2 2 2 3 5 2 4" xfId="21326" xr:uid="{2073F95D-871A-491F-BC96-C57A2CAB1E12}"/>
    <cellStyle name="Normal 8 2 2 2 3 5 2 5" xfId="12878" xr:uid="{177EB6B7-2664-4B77-A8BE-6AF181869BC2}"/>
    <cellStyle name="Normal 8 2 2 2 3 5 3" xfId="6501" xr:uid="{00000000-0005-0000-0000-00002E1C0000}"/>
    <cellStyle name="Normal 8 2 2 2 3 5 3 2" xfId="31840" xr:uid="{371F2758-1F00-4166-8AFF-737304A86DF7}"/>
    <cellStyle name="Normal 8 2 2 2 3 5 3 3" xfId="23399" xr:uid="{9539A337-E51B-4001-A4D6-C6367CA59AFF}"/>
    <cellStyle name="Normal 8 2 2 2 3 5 3 4" xfId="14951" xr:uid="{FC995A60-5E38-4DA8-9E00-D8D1ED389CBB}"/>
    <cellStyle name="Normal 8 2 2 2 3 5 4" xfId="27622" xr:uid="{C49C6CA8-004B-46FC-A11E-0B161C751267}"/>
    <cellStyle name="Normal 8 2 2 2 3 5 5" xfId="19181" xr:uid="{F797363F-30F9-4248-8DFC-70BF3CAF1F81}"/>
    <cellStyle name="Normal 8 2 2 2 3 5 6" xfId="10733" xr:uid="{1D8C997E-B1D4-4C13-8679-6480775BDEA6}"/>
    <cellStyle name="Normal 8 2 2 2 3 6" xfId="2631" xr:uid="{00000000-0005-0000-0000-00002F1C0000}"/>
    <cellStyle name="Normal 8 2 2 2 3 6 2" xfId="6914" xr:uid="{00000000-0005-0000-0000-0000301C0000}"/>
    <cellStyle name="Normal 8 2 2 2 3 6 2 2" xfId="32253" xr:uid="{C8E8995E-E2B6-48D6-82BB-078FC3110424}"/>
    <cellStyle name="Normal 8 2 2 2 3 6 2 3" xfId="23812" xr:uid="{FAED8C3C-B6A2-4E17-9E4E-2775A72E0CB6}"/>
    <cellStyle name="Normal 8 2 2 2 3 6 2 4" xfId="15364" xr:uid="{9D9BF962-B4CA-42CC-BFBE-7B6482D21D1A}"/>
    <cellStyle name="Normal 8 2 2 2 3 6 3" xfId="28035" xr:uid="{56B097D0-BE58-45EF-A30D-63821F027456}"/>
    <cellStyle name="Normal 8 2 2 2 3 6 4" xfId="19594" xr:uid="{A289A2FC-C099-460A-9D2F-7D67E54E9872}"/>
    <cellStyle name="Normal 8 2 2 2 3 6 5" xfId="11146" xr:uid="{B5C59165-2D12-4F13-8E41-87218880240D}"/>
    <cellStyle name="Normal 8 2 2 2 3 7" xfId="4849" xr:uid="{00000000-0005-0000-0000-0000311C0000}"/>
    <cellStyle name="Normal 8 2 2 2 3 7 2" xfId="30188" xr:uid="{C12B3364-DE65-406D-9AF4-8B004E8E2EE5}"/>
    <cellStyle name="Normal 8 2 2 2 3 7 3" xfId="21747" xr:uid="{DA6B914A-4892-4DA6-9C2F-B1B5DA8CE33F}"/>
    <cellStyle name="Normal 8 2 2 2 3 7 4" xfId="13299" xr:uid="{E5F4D9BE-D2B8-4047-9D22-0994B4D91119}"/>
    <cellStyle name="Normal 8 2 2 2 3 8" xfId="25970" xr:uid="{40F0D5B1-1A5A-47AC-9BEE-8C1575232D90}"/>
    <cellStyle name="Normal 8 2 2 2 3 9" xfId="17529" xr:uid="{2764CD34-E434-4D76-8200-DFFC8798457A}"/>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32743" xr:uid="{6EB459F2-DF07-46F1-A576-AFFC8DEC7488}"/>
    <cellStyle name="Normal 8 2 2 2 4 2 2 3" xfId="24302" xr:uid="{927DC6D0-F051-40A6-BEFF-BC0F1B11DCD3}"/>
    <cellStyle name="Normal 8 2 2 2 4 2 2 4" xfId="15854" xr:uid="{AC898DAC-0F4F-4410-BCC9-681928368FAE}"/>
    <cellStyle name="Normal 8 2 2 2 4 2 3" xfId="28525" xr:uid="{D556DAFF-D2BD-4B75-AEEE-80F5126B6172}"/>
    <cellStyle name="Normal 8 2 2 2 4 2 4" xfId="20084" xr:uid="{80F1AB1E-06C5-43D9-A9AF-DD038BE95293}"/>
    <cellStyle name="Normal 8 2 2 2 4 2 5" xfId="11636" xr:uid="{E0231B33-C90B-472B-9F5E-EBAFCDF17563}"/>
    <cellStyle name="Normal 8 2 2 2 4 3" xfId="5259" xr:uid="{00000000-0005-0000-0000-0000351C0000}"/>
    <cellStyle name="Normal 8 2 2 2 4 3 2" xfId="30598" xr:uid="{7F94FAEB-A592-4277-B517-73EAFE49E32E}"/>
    <cellStyle name="Normal 8 2 2 2 4 3 3" xfId="22157" xr:uid="{AE91D6B3-3429-4622-8C4C-C783417C031A}"/>
    <cellStyle name="Normal 8 2 2 2 4 3 4" xfId="13709" xr:uid="{84107A7F-3CCC-401E-B8BC-264581A723DC}"/>
    <cellStyle name="Normal 8 2 2 2 4 4" xfId="26380" xr:uid="{0C757AC4-7C1A-4B75-9192-AECEC7B523A1}"/>
    <cellStyle name="Normal 8 2 2 2 4 5" xfId="17939" xr:uid="{5D66E9C4-210A-4F38-9CE9-24A370B5B185}"/>
    <cellStyle name="Normal 8 2 2 2 4 6" xfId="9491" xr:uid="{E0C6752F-7F63-40E5-87DE-81BC0C747904}"/>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33156" xr:uid="{8A97F4D3-C81E-45DE-BF19-35294583F9CD}"/>
    <cellStyle name="Normal 8 2 2 2 5 2 2 3" xfId="24715" xr:uid="{0A12A380-F91E-442A-8DAB-9F5946077108}"/>
    <cellStyle name="Normal 8 2 2 2 5 2 2 4" xfId="16267" xr:uid="{A0D57433-90D6-4B13-B851-102C95878748}"/>
    <cellStyle name="Normal 8 2 2 2 5 2 3" xfId="28938" xr:uid="{48EE036D-1EF3-41BE-823C-622485D23E4D}"/>
    <cellStyle name="Normal 8 2 2 2 5 2 4" xfId="20497" xr:uid="{8F28440D-71C5-468C-A863-B1E10D067535}"/>
    <cellStyle name="Normal 8 2 2 2 5 2 5" xfId="12049" xr:uid="{89811333-710C-4141-96D4-EED09257C292}"/>
    <cellStyle name="Normal 8 2 2 2 5 3" xfId="5672" xr:uid="{00000000-0005-0000-0000-0000391C0000}"/>
    <cellStyle name="Normal 8 2 2 2 5 3 2" xfId="31011" xr:uid="{B7BFE593-1FC7-4B98-81AB-7439623DC8BF}"/>
    <cellStyle name="Normal 8 2 2 2 5 3 3" xfId="22570" xr:uid="{DDE0E7FD-0DAD-447B-A764-20294020BA23}"/>
    <cellStyle name="Normal 8 2 2 2 5 3 4" xfId="14122" xr:uid="{F6378C14-77F0-4B49-8137-82D1A897F6C1}"/>
    <cellStyle name="Normal 8 2 2 2 5 4" xfId="26793" xr:uid="{8C3943B6-0F0A-4AD5-96A6-0EA8A87403B6}"/>
    <cellStyle name="Normal 8 2 2 2 5 5" xfId="18352" xr:uid="{F01CD094-E12D-429A-AB58-BC2010B681C1}"/>
    <cellStyle name="Normal 8 2 2 2 5 6" xfId="9904" xr:uid="{4AE32097-1981-42FE-80D0-7A464DD6C79E}"/>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33569" xr:uid="{2B6A9D9A-6D26-4210-BF6E-FFCC20E75571}"/>
    <cellStyle name="Normal 8 2 2 2 6 2 2 3" xfId="25128" xr:uid="{6AE386F7-B3EC-47D0-A4BE-393DFA2B6639}"/>
    <cellStyle name="Normal 8 2 2 2 6 2 2 4" xfId="16680" xr:uid="{9448D177-0353-498C-889C-6F9FBD30C8AB}"/>
    <cellStyle name="Normal 8 2 2 2 6 2 3" xfId="29351" xr:uid="{9CEEA330-E7A5-4195-86DB-252A3B713776}"/>
    <cellStyle name="Normal 8 2 2 2 6 2 4" xfId="20910" xr:uid="{43B134D2-5112-42F5-A793-F6C48FD0D41E}"/>
    <cellStyle name="Normal 8 2 2 2 6 2 5" xfId="12462" xr:uid="{1423C01B-C691-4564-B25C-A17C43925B17}"/>
    <cellStyle name="Normal 8 2 2 2 6 3" xfId="6085" xr:uid="{00000000-0005-0000-0000-00003D1C0000}"/>
    <cellStyle name="Normal 8 2 2 2 6 3 2" xfId="31424" xr:uid="{6E56B1E9-91CF-4385-B963-70B71DD5298E}"/>
    <cellStyle name="Normal 8 2 2 2 6 3 3" xfId="22983" xr:uid="{F760252E-1731-4621-B2CC-DD9C0FE8C05B}"/>
    <cellStyle name="Normal 8 2 2 2 6 3 4" xfId="14535" xr:uid="{11276BA2-E6A8-40DC-83E0-4D66910234FD}"/>
    <cellStyle name="Normal 8 2 2 2 6 4" xfId="27206" xr:uid="{C7C81893-742A-4898-AAED-A32BE688F3BB}"/>
    <cellStyle name="Normal 8 2 2 2 6 5" xfId="18765" xr:uid="{DDA0C580-5331-44D5-8E85-087891DEEA29}"/>
    <cellStyle name="Normal 8 2 2 2 6 6" xfId="10317" xr:uid="{A2725134-A3DB-47FF-A350-D6670C82AF65}"/>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33982" xr:uid="{6EAEA0C3-FEED-4DF2-BAA0-2DFAF0F2FCC9}"/>
    <cellStyle name="Normal 8 2 2 2 7 2 2 3" xfId="25541" xr:uid="{72B4E5A3-DB15-4567-8B7C-90FCC6033DED}"/>
    <cellStyle name="Normal 8 2 2 2 7 2 2 4" xfId="17093" xr:uid="{EB189E05-3ACE-4DA6-946C-36CFC57E0BE8}"/>
    <cellStyle name="Normal 8 2 2 2 7 2 3" xfId="29764" xr:uid="{14C08B67-17C8-4557-9A67-D360508E5B9C}"/>
    <cellStyle name="Normal 8 2 2 2 7 2 4" xfId="21323" xr:uid="{D0641BAD-98B3-433C-A545-2D9D44891383}"/>
    <cellStyle name="Normal 8 2 2 2 7 2 5" xfId="12875" xr:uid="{C9827E5E-2514-4020-B47E-760715D3CC75}"/>
    <cellStyle name="Normal 8 2 2 2 7 3" xfId="6498" xr:uid="{00000000-0005-0000-0000-0000411C0000}"/>
    <cellStyle name="Normal 8 2 2 2 7 3 2" xfId="31837" xr:uid="{B5CFB90C-6F6B-4C51-B2F0-3E394199201D}"/>
    <cellStyle name="Normal 8 2 2 2 7 3 3" xfId="23396" xr:uid="{BDE0CAEE-84CA-4667-A25D-C5D63D9F910D}"/>
    <cellStyle name="Normal 8 2 2 2 7 3 4" xfId="14948" xr:uid="{4FD59944-180E-4A4B-A61B-BA17124B0E19}"/>
    <cellStyle name="Normal 8 2 2 2 7 4" xfId="27619" xr:uid="{A3DEE28B-C89A-42EA-9A5B-AE1EE3AEDB57}"/>
    <cellStyle name="Normal 8 2 2 2 7 5" xfId="19178" xr:uid="{19210796-91C1-451A-ACD3-A27609E938EF}"/>
    <cellStyle name="Normal 8 2 2 2 7 6" xfId="10730" xr:uid="{BDF59C96-AB7E-432D-9A80-B2C412DC3FF9}"/>
    <cellStyle name="Normal 8 2 2 2 8" xfId="2628" xr:uid="{00000000-0005-0000-0000-0000421C0000}"/>
    <cellStyle name="Normal 8 2 2 2 8 2" xfId="6911" xr:uid="{00000000-0005-0000-0000-0000431C0000}"/>
    <cellStyle name="Normal 8 2 2 2 8 2 2" xfId="32250" xr:uid="{AA7E568E-F9EB-45FE-86ED-633107E559FD}"/>
    <cellStyle name="Normal 8 2 2 2 8 2 3" xfId="23809" xr:uid="{4058988D-BC73-4057-8F67-7F8AE09C1603}"/>
    <cellStyle name="Normal 8 2 2 2 8 2 4" xfId="15361" xr:uid="{4BC24352-9251-48F9-951C-A2D554195D60}"/>
    <cellStyle name="Normal 8 2 2 2 8 3" xfId="28032" xr:uid="{15D4AA1F-0DE7-459C-9195-BECA1C964353}"/>
    <cellStyle name="Normal 8 2 2 2 8 4" xfId="19591" xr:uid="{5B0EB5A8-E80C-4BA3-9E38-23CACDB5C8F6}"/>
    <cellStyle name="Normal 8 2 2 2 8 5" xfId="11143" xr:uid="{FE53BF2C-6793-42A4-A6FA-F99563D44668}"/>
    <cellStyle name="Normal 8 2 2 2 9" xfId="4846" xr:uid="{00000000-0005-0000-0000-0000441C0000}"/>
    <cellStyle name="Normal 8 2 2 2 9 2" xfId="30185" xr:uid="{A2D52D49-B779-4F57-B8FC-27B73E248D4F}"/>
    <cellStyle name="Normal 8 2 2 2 9 3" xfId="21744" xr:uid="{9877EFAC-AEA6-449E-83A2-DDDBCFB45337}"/>
    <cellStyle name="Normal 8 2 2 2 9 4" xfId="13296" xr:uid="{2C61C1A4-75D1-45DB-8A84-29115B7887FA}"/>
    <cellStyle name="Normal 8 2 2 3" xfId="485" xr:uid="{00000000-0005-0000-0000-0000451C0000}"/>
    <cellStyle name="Normal 8 2 2 3 10" xfId="17530" xr:uid="{6EF3D607-BB40-4D4E-A0EE-ABEBD00D4C04}"/>
    <cellStyle name="Normal 8 2 2 3 11" xfId="9082" xr:uid="{ED7E3445-82D4-4AC7-B593-2CAEAEE89E56}"/>
    <cellStyle name="Normal 8 2 2 3 2" xfId="486" xr:uid="{00000000-0005-0000-0000-0000461C0000}"/>
    <cellStyle name="Normal 8 2 2 3 2 10" xfId="9083" xr:uid="{FAF36104-EDDF-493C-ABE2-4DC409FDAD86}"/>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32748" xr:uid="{9A05E5D2-4899-4771-A3A4-9A44CCAF5DCF}"/>
    <cellStyle name="Normal 8 2 2 3 2 2 2 2 3" xfId="24307" xr:uid="{05582136-8BDF-4161-ACFE-343CF52D9F13}"/>
    <cellStyle name="Normal 8 2 2 3 2 2 2 2 4" xfId="15859" xr:uid="{FB158373-22C0-4D11-A911-649E743BDBE6}"/>
    <cellStyle name="Normal 8 2 2 3 2 2 2 3" xfId="28530" xr:uid="{F5A5A3D2-4466-4174-8314-E3EFE3990C01}"/>
    <cellStyle name="Normal 8 2 2 3 2 2 2 4" xfId="20089" xr:uid="{7BCDEF38-25C7-48FE-AC3B-D935D8FDDAC1}"/>
    <cellStyle name="Normal 8 2 2 3 2 2 2 5" xfId="11641" xr:uid="{50281126-F6BC-4A79-9AE8-869CAEF30EFE}"/>
    <cellStyle name="Normal 8 2 2 3 2 2 3" xfId="5264" xr:uid="{00000000-0005-0000-0000-00004A1C0000}"/>
    <cellStyle name="Normal 8 2 2 3 2 2 3 2" xfId="30603" xr:uid="{A48FC5DA-7300-404F-BD79-341E9B929FAB}"/>
    <cellStyle name="Normal 8 2 2 3 2 2 3 3" xfId="22162" xr:uid="{087DC402-13D8-41D3-9568-40D3CD3A2480}"/>
    <cellStyle name="Normal 8 2 2 3 2 2 3 4" xfId="13714" xr:uid="{11259C62-63FA-4DA6-B2FB-B44D66929592}"/>
    <cellStyle name="Normal 8 2 2 3 2 2 4" xfId="26385" xr:uid="{4BE544E8-7CE8-4367-8A0E-50AEA46CE90F}"/>
    <cellStyle name="Normal 8 2 2 3 2 2 5" xfId="17944" xr:uid="{8D2D24DF-3384-4B57-94AC-FC4F2E58B4C0}"/>
    <cellStyle name="Normal 8 2 2 3 2 2 6" xfId="9496" xr:uid="{65A2BC0A-9A92-43BA-9513-0D7C1D0C3839}"/>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33161" xr:uid="{CD779794-F9A6-49AD-96D3-995A051A8C11}"/>
    <cellStyle name="Normal 8 2 2 3 2 3 2 2 3" xfId="24720" xr:uid="{1AA1EEE8-35F7-4315-BFB9-CAD0A83A42A2}"/>
    <cellStyle name="Normal 8 2 2 3 2 3 2 2 4" xfId="16272" xr:uid="{FB6921B2-6584-445F-9F9D-F7E51989100F}"/>
    <cellStyle name="Normal 8 2 2 3 2 3 2 3" xfId="28943" xr:uid="{E5F9DFC3-53EE-4044-8902-7319045CCD53}"/>
    <cellStyle name="Normal 8 2 2 3 2 3 2 4" xfId="20502" xr:uid="{14D9E97A-69C8-4C67-97FF-3957ADCB7FDF}"/>
    <cellStyle name="Normal 8 2 2 3 2 3 2 5" xfId="12054" xr:uid="{78B67A41-9862-4282-8112-500EE6EF7251}"/>
    <cellStyle name="Normal 8 2 2 3 2 3 3" xfId="5677" xr:uid="{00000000-0005-0000-0000-00004E1C0000}"/>
    <cellStyle name="Normal 8 2 2 3 2 3 3 2" xfId="31016" xr:uid="{6687BF1A-9413-46AC-BC20-A89862DBF056}"/>
    <cellStyle name="Normal 8 2 2 3 2 3 3 3" xfId="22575" xr:uid="{96EFE664-E2C1-49FA-BA3E-B75646B60747}"/>
    <cellStyle name="Normal 8 2 2 3 2 3 3 4" xfId="14127" xr:uid="{AD693AEE-E1EA-4A85-83D9-783D8C3B9230}"/>
    <cellStyle name="Normal 8 2 2 3 2 3 4" xfId="26798" xr:uid="{F2D962D4-84E9-4AF0-AB12-141C45591CC8}"/>
    <cellStyle name="Normal 8 2 2 3 2 3 5" xfId="18357" xr:uid="{D6645444-00CF-4053-A157-C9128AFE32A8}"/>
    <cellStyle name="Normal 8 2 2 3 2 3 6" xfId="9909" xr:uid="{6ED67DD9-8CF9-4EED-82AD-20F00B2104F8}"/>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33574" xr:uid="{EDC2DED4-C3E8-4454-9E86-4CC2AEA53AC4}"/>
    <cellStyle name="Normal 8 2 2 3 2 4 2 2 3" xfId="25133" xr:uid="{44552A44-3350-4756-95B4-E42526D78BE7}"/>
    <cellStyle name="Normal 8 2 2 3 2 4 2 2 4" xfId="16685" xr:uid="{D4B46027-9F6B-4295-A356-8AD8C8AA16A5}"/>
    <cellStyle name="Normal 8 2 2 3 2 4 2 3" xfId="29356" xr:uid="{A843A4F4-C11C-462B-BED7-C928A89E713A}"/>
    <cellStyle name="Normal 8 2 2 3 2 4 2 4" xfId="20915" xr:uid="{33BFA816-1D95-4B4D-86A5-B9EA5625BA3C}"/>
    <cellStyle name="Normal 8 2 2 3 2 4 2 5" xfId="12467" xr:uid="{581D1D0B-90E9-4F19-B555-1260BD253B33}"/>
    <cellStyle name="Normal 8 2 2 3 2 4 3" xfId="6090" xr:uid="{00000000-0005-0000-0000-0000521C0000}"/>
    <cellStyle name="Normal 8 2 2 3 2 4 3 2" xfId="31429" xr:uid="{A55EB8AB-F6CB-4D1D-BF79-304924D939FE}"/>
    <cellStyle name="Normal 8 2 2 3 2 4 3 3" xfId="22988" xr:uid="{A47E212D-7FBC-435C-AD26-F83BD595BF8C}"/>
    <cellStyle name="Normal 8 2 2 3 2 4 3 4" xfId="14540" xr:uid="{8A0C1F3C-EBE3-486F-A748-697D151BADEE}"/>
    <cellStyle name="Normal 8 2 2 3 2 4 4" xfId="27211" xr:uid="{A6F1B1B7-5749-49F5-A15C-DC7C140FA4D8}"/>
    <cellStyle name="Normal 8 2 2 3 2 4 5" xfId="18770" xr:uid="{DE5D5BB3-63B1-42B8-8D1E-72177B532AC4}"/>
    <cellStyle name="Normal 8 2 2 3 2 4 6" xfId="10322" xr:uid="{B6C7D6AB-E76F-43FC-969F-755CE1626DF2}"/>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33987" xr:uid="{1C2F2D6D-EF47-4A46-9B17-76F8200494CA}"/>
    <cellStyle name="Normal 8 2 2 3 2 5 2 2 3" xfId="25546" xr:uid="{38302FE4-5354-44C7-9B78-CCC06E7AD0E7}"/>
    <cellStyle name="Normal 8 2 2 3 2 5 2 2 4" xfId="17098" xr:uid="{1264A19B-CE2C-4421-9242-65B649B069BE}"/>
    <cellStyle name="Normal 8 2 2 3 2 5 2 3" xfId="29769" xr:uid="{B590FC50-3D12-4905-80BC-22A8536633F5}"/>
    <cellStyle name="Normal 8 2 2 3 2 5 2 4" xfId="21328" xr:uid="{015BC908-4292-498F-B679-A4558A70CCF2}"/>
    <cellStyle name="Normal 8 2 2 3 2 5 2 5" xfId="12880" xr:uid="{77DFEF30-32B1-400B-B2CA-9B4C43044669}"/>
    <cellStyle name="Normal 8 2 2 3 2 5 3" xfId="6503" xr:uid="{00000000-0005-0000-0000-0000561C0000}"/>
    <cellStyle name="Normal 8 2 2 3 2 5 3 2" xfId="31842" xr:uid="{D55653A6-FEC2-4828-8750-5A58AA69B921}"/>
    <cellStyle name="Normal 8 2 2 3 2 5 3 3" xfId="23401" xr:uid="{67976A1A-2C74-40B9-B0C9-82A4903CD21E}"/>
    <cellStyle name="Normal 8 2 2 3 2 5 3 4" xfId="14953" xr:uid="{56D3B5FE-A9D7-40BE-AA2B-6A95C0573E78}"/>
    <cellStyle name="Normal 8 2 2 3 2 5 4" xfId="27624" xr:uid="{A59F60E7-4C77-491E-BF33-CDCC6A80E1BF}"/>
    <cellStyle name="Normal 8 2 2 3 2 5 5" xfId="19183" xr:uid="{A839CCE8-AB53-41ED-AB8A-20023C52497D}"/>
    <cellStyle name="Normal 8 2 2 3 2 5 6" xfId="10735" xr:uid="{7D5673CB-446A-46BE-BA15-FF7959DBAF27}"/>
    <cellStyle name="Normal 8 2 2 3 2 6" xfId="2633" xr:uid="{00000000-0005-0000-0000-0000571C0000}"/>
    <cellStyle name="Normal 8 2 2 3 2 6 2" xfId="6916" xr:uid="{00000000-0005-0000-0000-0000581C0000}"/>
    <cellStyle name="Normal 8 2 2 3 2 6 2 2" xfId="32255" xr:uid="{5337E631-FAFB-42D8-BE6E-16EFE046EAE2}"/>
    <cellStyle name="Normal 8 2 2 3 2 6 2 3" xfId="23814" xr:uid="{23CE8810-A751-403E-9CD6-848955AF0F20}"/>
    <cellStyle name="Normal 8 2 2 3 2 6 2 4" xfId="15366" xr:uid="{FCF8D39C-8916-48FD-8858-21C09E786DAC}"/>
    <cellStyle name="Normal 8 2 2 3 2 6 3" xfId="28037" xr:uid="{A147CFC2-B94E-4B77-A7AC-5A49AC336F97}"/>
    <cellStyle name="Normal 8 2 2 3 2 6 4" xfId="19596" xr:uid="{87192780-E297-4AE0-ABFD-1683F5FBF740}"/>
    <cellStyle name="Normal 8 2 2 3 2 6 5" xfId="11148" xr:uid="{168D1BF0-3DA5-4385-90B1-D21D7F1B744E}"/>
    <cellStyle name="Normal 8 2 2 3 2 7" xfId="4851" xr:uid="{00000000-0005-0000-0000-0000591C0000}"/>
    <cellStyle name="Normal 8 2 2 3 2 7 2" xfId="30190" xr:uid="{E38779C6-6CC5-45AE-9E37-AA724F6C2031}"/>
    <cellStyle name="Normal 8 2 2 3 2 7 3" xfId="21749" xr:uid="{C086A908-3E69-4B9C-9446-D59828FC0465}"/>
    <cellStyle name="Normal 8 2 2 3 2 7 4" xfId="13301" xr:uid="{D8202F41-E34F-403C-8945-893F199AE850}"/>
    <cellStyle name="Normal 8 2 2 3 2 8" xfId="25972" xr:uid="{7C433ACB-76FE-4DDB-B4B3-873AE7268AFD}"/>
    <cellStyle name="Normal 8 2 2 3 2 9" xfId="17531" xr:uid="{3B844215-5168-45F8-818B-D1936D3E2E04}"/>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32747" xr:uid="{2CE5E08B-D8A9-41A8-88CB-F5A3FA1931B8}"/>
    <cellStyle name="Normal 8 2 2 3 3 2 2 3" xfId="24306" xr:uid="{B8176E75-F712-4830-8CDD-6F32D8361204}"/>
    <cellStyle name="Normal 8 2 2 3 3 2 2 4" xfId="15858" xr:uid="{ED72A569-3C25-4AB4-A75A-304EA3E4A9F4}"/>
    <cellStyle name="Normal 8 2 2 3 3 2 3" xfId="28529" xr:uid="{39CC9803-B7A8-4160-ADA2-93607C15E4A5}"/>
    <cellStyle name="Normal 8 2 2 3 3 2 4" xfId="20088" xr:uid="{84FA951E-914F-4E83-BCDE-9483184F86E2}"/>
    <cellStyle name="Normal 8 2 2 3 3 2 5" xfId="11640" xr:uid="{66A2FC12-1E40-4086-A8AF-7EC48C916D50}"/>
    <cellStyle name="Normal 8 2 2 3 3 3" xfId="5263" xr:uid="{00000000-0005-0000-0000-00005D1C0000}"/>
    <cellStyle name="Normal 8 2 2 3 3 3 2" xfId="30602" xr:uid="{86CFA916-BFFD-4E3A-AFE9-876B02895AE3}"/>
    <cellStyle name="Normal 8 2 2 3 3 3 3" xfId="22161" xr:uid="{06DB912C-9BC3-483D-9C35-3D21850F456D}"/>
    <cellStyle name="Normal 8 2 2 3 3 3 4" xfId="13713" xr:uid="{F25EA3D0-479E-490E-86E7-42FABE235A88}"/>
    <cellStyle name="Normal 8 2 2 3 3 4" xfId="26384" xr:uid="{06A046BA-D4F2-493A-9701-C20AFE5C772F}"/>
    <cellStyle name="Normal 8 2 2 3 3 5" xfId="17943" xr:uid="{C3B5253B-6919-4FC9-ACDA-F93B272169C2}"/>
    <cellStyle name="Normal 8 2 2 3 3 6" xfId="9495" xr:uid="{711015B1-18B2-4F87-92AA-C6C06039613F}"/>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33160" xr:uid="{A10AF945-CD93-4DDF-9A59-26C36F72C80A}"/>
    <cellStyle name="Normal 8 2 2 3 4 2 2 3" xfId="24719" xr:uid="{33439587-E7B3-4667-9AD8-41C20B939BFB}"/>
    <cellStyle name="Normal 8 2 2 3 4 2 2 4" xfId="16271" xr:uid="{6957DE04-BEEC-4BEE-8BB4-383B798E20EB}"/>
    <cellStyle name="Normal 8 2 2 3 4 2 3" xfId="28942" xr:uid="{DB09E6ED-E054-427C-BDA7-BAEEB5EFEED9}"/>
    <cellStyle name="Normal 8 2 2 3 4 2 4" xfId="20501" xr:uid="{32522009-F543-4979-9925-C9ECB4AC8DD7}"/>
    <cellStyle name="Normal 8 2 2 3 4 2 5" xfId="12053" xr:uid="{DD43A97D-70F7-4533-8C3E-BEAFE8635130}"/>
    <cellStyle name="Normal 8 2 2 3 4 3" xfId="5676" xr:uid="{00000000-0005-0000-0000-0000611C0000}"/>
    <cellStyle name="Normal 8 2 2 3 4 3 2" xfId="31015" xr:uid="{5A9C2698-139F-4965-B6F7-C2FAD874534D}"/>
    <cellStyle name="Normal 8 2 2 3 4 3 3" xfId="22574" xr:uid="{A4549E04-CB26-45C9-8871-2BBF3BC68BE5}"/>
    <cellStyle name="Normal 8 2 2 3 4 3 4" xfId="14126" xr:uid="{B9FF9A64-F75A-48CE-B12A-33D871884A8E}"/>
    <cellStyle name="Normal 8 2 2 3 4 4" xfId="26797" xr:uid="{D093E679-E9DC-416C-8CF0-8EA8F8EACD83}"/>
    <cellStyle name="Normal 8 2 2 3 4 5" xfId="18356" xr:uid="{8F137DC1-A498-4D77-9CC2-2E07048C8855}"/>
    <cellStyle name="Normal 8 2 2 3 4 6" xfId="9908" xr:uid="{EB7062D3-E60E-4A44-B8F7-5B7972F95CB4}"/>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33573" xr:uid="{399D7337-4F47-46CF-B94F-84C6E8D5737F}"/>
    <cellStyle name="Normal 8 2 2 3 5 2 2 3" xfId="25132" xr:uid="{BF0A7E5D-2768-4AE3-8CD7-D1AE1A2AF956}"/>
    <cellStyle name="Normal 8 2 2 3 5 2 2 4" xfId="16684" xr:uid="{52359235-EC30-42C8-88FB-92165F9B85A8}"/>
    <cellStyle name="Normal 8 2 2 3 5 2 3" xfId="29355" xr:uid="{40342089-36BB-41FC-805F-3B3AF243B461}"/>
    <cellStyle name="Normal 8 2 2 3 5 2 4" xfId="20914" xr:uid="{281964DB-8AFB-40DB-92C2-486103F8E480}"/>
    <cellStyle name="Normal 8 2 2 3 5 2 5" xfId="12466" xr:uid="{D11712EF-0F24-47D3-AB63-CBAFACE59665}"/>
    <cellStyle name="Normal 8 2 2 3 5 3" xfId="6089" xr:uid="{00000000-0005-0000-0000-0000651C0000}"/>
    <cellStyle name="Normal 8 2 2 3 5 3 2" xfId="31428" xr:uid="{5CCCCDED-E51F-49E6-9EBB-B33A811B0B9C}"/>
    <cellStyle name="Normal 8 2 2 3 5 3 3" xfId="22987" xr:uid="{872B8D16-4F36-4EAB-9823-1D31D96B0D07}"/>
    <cellStyle name="Normal 8 2 2 3 5 3 4" xfId="14539" xr:uid="{51119403-DC4A-4A87-8DF0-1B2DE8114B5D}"/>
    <cellStyle name="Normal 8 2 2 3 5 4" xfId="27210" xr:uid="{3515BFDE-A482-4750-A8A5-AC7F4EA4C4B3}"/>
    <cellStyle name="Normal 8 2 2 3 5 5" xfId="18769" xr:uid="{DC94895D-AA2E-4948-BD97-2AC7B7A5F96F}"/>
    <cellStyle name="Normal 8 2 2 3 5 6" xfId="10321" xr:uid="{F4A94261-A01D-4004-A5BE-CC6FC11F9BF3}"/>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33986" xr:uid="{40C3090F-3425-4CD1-9880-3099A88715C4}"/>
    <cellStyle name="Normal 8 2 2 3 6 2 2 3" xfId="25545" xr:uid="{39322C51-F18B-4B53-BE05-FA89AF7E19CC}"/>
    <cellStyle name="Normal 8 2 2 3 6 2 2 4" xfId="17097" xr:uid="{17B907BD-86D9-449A-9E42-7B28D86EA397}"/>
    <cellStyle name="Normal 8 2 2 3 6 2 3" xfId="29768" xr:uid="{5A33A175-9170-4C1C-B4AA-610B9A940649}"/>
    <cellStyle name="Normal 8 2 2 3 6 2 4" xfId="21327" xr:uid="{94FFC045-7AF0-4256-9726-31DA9BB54D7F}"/>
    <cellStyle name="Normal 8 2 2 3 6 2 5" xfId="12879" xr:uid="{F65B6384-8D42-4973-8AA7-695C3BED57D6}"/>
    <cellStyle name="Normal 8 2 2 3 6 3" xfId="6502" xr:uid="{00000000-0005-0000-0000-0000691C0000}"/>
    <cellStyle name="Normal 8 2 2 3 6 3 2" xfId="31841" xr:uid="{0D32CF2C-542F-443B-A1F2-92B593FF2686}"/>
    <cellStyle name="Normal 8 2 2 3 6 3 3" xfId="23400" xr:uid="{87116578-FC03-4A1F-A83B-7AF2514AD4E6}"/>
    <cellStyle name="Normal 8 2 2 3 6 3 4" xfId="14952" xr:uid="{FC507A85-92F4-4735-927D-25680628B7FC}"/>
    <cellStyle name="Normal 8 2 2 3 6 4" xfId="27623" xr:uid="{8FE054F8-C776-440E-90D8-127A69EC8FA0}"/>
    <cellStyle name="Normal 8 2 2 3 6 5" xfId="19182" xr:uid="{AE2743A6-8145-444B-A680-9AF5DC3C7E9D}"/>
    <cellStyle name="Normal 8 2 2 3 6 6" xfId="10734" xr:uid="{B01CAF76-EF5C-48CC-9668-B8930A1253EC}"/>
    <cellStyle name="Normal 8 2 2 3 7" xfId="2632" xr:uid="{00000000-0005-0000-0000-00006A1C0000}"/>
    <cellStyle name="Normal 8 2 2 3 7 2" xfId="6915" xr:uid="{00000000-0005-0000-0000-00006B1C0000}"/>
    <cellStyle name="Normal 8 2 2 3 7 2 2" xfId="32254" xr:uid="{98753702-D8CA-4AF5-8C05-53DBA8594FA2}"/>
    <cellStyle name="Normal 8 2 2 3 7 2 3" xfId="23813" xr:uid="{7031FFD4-2BE3-4C27-BFBA-A7C0D28D1F96}"/>
    <cellStyle name="Normal 8 2 2 3 7 2 4" xfId="15365" xr:uid="{D9247069-8DDF-4D4F-A8A4-9078C205C38D}"/>
    <cellStyle name="Normal 8 2 2 3 7 3" xfId="28036" xr:uid="{7EDFA701-70FF-4C94-9A50-9B1766F2C0EC}"/>
    <cellStyle name="Normal 8 2 2 3 7 4" xfId="19595" xr:uid="{24BD62F7-A5F9-4432-B2AD-5242A08DE94E}"/>
    <cellStyle name="Normal 8 2 2 3 7 5" xfId="11147" xr:uid="{4407E9EA-0597-41C6-8515-2C75F43046F7}"/>
    <cellStyle name="Normal 8 2 2 3 8" xfId="4850" xr:uid="{00000000-0005-0000-0000-00006C1C0000}"/>
    <cellStyle name="Normal 8 2 2 3 8 2" xfId="30189" xr:uid="{8FD6B180-92EC-4109-ABE1-116B0E36C46A}"/>
    <cellStyle name="Normal 8 2 2 3 8 3" xfId="21748" xr:uid="{5DECD036-E0D6-4ADB-A3B0-CCC862CBC654}"/>
    <cellStyle name="Normal 8 2 2 3 8 4" xfId="13300" xr:uid="{07B99BA1-D4E0-47AE-BD1E-BB6DECC69E3E}"/>
    <cellStyle name="Normal 8 2 2 3 9" xfId="25971" xr:uid="{694BDA0E-18E6-4A54-AD32-37B07C1F1F8F}"/>
    <cellStyle name="Normal 8 2 2 4" xfId="487" xr:uid="{00000000-0005-0000-0000-00006D1C0000}"/>
    <cellStyle name="Normal 8 2 2 4 10" xfId="9084" xr:uid="{F4DD973C-C118-4A62-9F0A-B2CC7DF87441}"/>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32749" xr:uid="{87221125-D9AA-45AE-ACF8-0AE38967526F}"/>
    <cellStyle name="Normal 8 2 2 4 2 2 2 3" xfId="24308" xr:uid="{85712B17-A5B3-480F-88B3-3860419D73F2}"/>
    <cellStyle name="Normal 8 2 2 4 2 2 2 4" xfId="15860" xr:uid="{ABBE95F5-9CAD-43C7-AE9D-8812C18B9C09}"/>
    <cellStyle name="Normal 8 2 2 4 2 2 3" xfId="28531" xr:uid="{CFE173B8-38E3-4274-AE66-C9AF8473037C}"/>
    <cellStyle name="Normal 8 2 2 4 2 2 4" xfId="20090" xr:uid="{5BD095C9-8640-4662-BEAD-45B9D6813108}"/>
    <cellStyle name="Normal 8 2 2 4 2 2 5" xfId="11642" xr:uid="{B8AFC6B8-51D9-4F20-85F3-4BBD4271BE7A}"/>
    <cellStyle name="Normal 8 2 2 4 2 3" xfId="5265" xr:uid="{00000000-0005-0000-0000-0000711C0000}"/>
    <cellStyle name="Normal 8 2 2 4 2 3 2" xfId="30604" xr:uid="{AFDC3594-D608-4C4A-83D6-AC524C9D8E7B}"/>
    <cellStyle name="Normal 8 2 2 4 2 3 3" xfId="22163" xr:uid="{A0AE8C33-0671-4EF8-B686-17523FADBBCB}"/>
    <cellStyle name="Normal 8 2 2 4 2 3 4" xfId="13715" xr:uid="{EA78CA1A-8D8B-459F-BD49-90776099CF90}"/>
    <cellStyle name="Normal 8 2 2 4 2 4" xfId="26386" xr:uid="{D17DC76B-CF7A-4C71-99F2-D5867EAF6871}"/>
    <cellStyle name="Normal 8 2 2 4 2 5" xfId="17945" xr:uid="{198828AE-B400-470C-B609-0616170C597C}"/>
    <cellStyle name="Normal 8 2 2 4 2 6" xfId="9497" xr:uid="{D93EA46D-9B7C-49CD-98A9-4B3214D8D1A6}"/>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33162" xr:uid="{4980EA83-4DEE-434B-B181-601A77DF01C0}"/>
    <cellStyle name="Normal 8 2 2 4 3 2 2 3" xfId="24721" xr:uid="{A283B0C3-C3DA-484C-979C-E5AFB75D2544}"/>
    <cellStyle name="Normal 8 2 2 4 3 2 2 4" xfId="16273" xr:uid="{AB59DD73-DC7F-48F5-BB8E-D3090C0D0640}"/>
    <cellStyle name="Normal 8 2 2 4 3 2 3" xfId="28944" xr:uid="{9C55F73E-9BAA-4A0C-B455-2D13D5C91E1D}"/>
    <cellStyle name="Normal 8 2 2 4 3 2 4" xfId="20503" xr:uid="{7A3D2A42-68E4-46A1-B522-EABAA2D0A161}"/>
    <cellStyle name="Normal 8 2 2 4 3 2 5" xfId="12055" xr:uid="{92B30F00-B6CC-4CCA-89B6-9F0F8219EFAD}"/>
    <cellStyle name="Normal 8 2 2 4 3 3" xfId="5678" xr:uid="{00000000-0005-0000-0000-0000751C0000}"/>
    <cellStyle name="Normal 8 2 2 4 3 3 2" xfId="31017" xr:uid="{088865DD-9246-41DF-9A5F-4F9C83B63E90}"/>
    <cellStyle name="Normal 8 2 2 4 3 3 3" xfId="22576" xr:uid="{F54D749A-B987-4627-B406-ED56A925AAD7}"/>
    <cellStyle name="Normal 8 2 2 4 3 3 4" xfId="14128" xr:uid="{E966C13A-E7F2-4522-A508-B6C994DCF3EF}"/>
    <cellStyle name="Normal 8 2 2 4 3 4" xfId="26799" xr:uid="{3C096A29-3680-419F-AE6F-848B987A6AA2}"/>
    <cellStyle name="Normal 8 2 2 4 3 5" xfId="18358" xr:uid="{540BB813-6F98-4555-9560-1DBE48C6A05D}"/>
    <cellStyle name="Normal 8 2 2 4 3 6" xfId="9910" xr:uid="{3CE09949-5CBE-4EF4-81FE-15AC021BF710}"/>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33575" xr:uid="{9AAEA811-FB52-44C4-B1C2-FC27FDD50502}"/>
    <cellStyle name="Normal 8 2 2 4 4 2 2 3" xfId="25134" xr:uid="{4106D6EA-FA8E-4427-8402-3BF103D421F4}"/>
    <cellStyle name="Normal 8 2 2 4 4 2 2 4" xfId="16686" xr:uid="{5DA5F21E-9F5D-4CCE-93B0-C4BF2907D7FA}"/>
    <cellStyle name="Normal 8 2 2 4 4 2 3" xfId="29357" xr:uid="{CFF09642-67E3-44CD-A46A-B18B49F6B68D}"/>
    <cellStyle name="Normal 8 2 2 4 4 2 4" xfId="20916" xr:uid="{B1371336-A0F4-48B9-A3EB-FE2BCF58BDDF}"/>
    <cellStyle name="Normal 8 2 2 4 4 2 5" xfId="12468" xr:uid="{58C8432C-27B0-48C5-B545-72AC6C3EC071}"/>
    <cellStyle name="Normal 8 2 2 4 4 3" xfId="6091" xr:uid="{00000000-0005-0000-0000-0000791C0000}"/>
    <cellStyle name="Normal 8 2 2 4 4 3 2" xfId="31430" xr:uid="{1A2CD38B-6CED-4FDB-97F9-E96942A96724}"/>
    <cellStyle name="Normal 8 2 2 4 4 3 3" xfId="22989" xr:uid="{9B9276EF-EFD8-40EF-8FF6-DA9D9716C5B4}"/>
    <cellStyle name="Normal 8 2 2 4 4 3 4" xfId="14541" xr:uid="{9760AA92-9771-4374-AFCD-8C10A9271817}"/>
    <cellStyle name="Normal 8 2 2 4 4 4" xfId="27212" xr:uid="{1D3975DF-55EB-49F3-89C7-8B80088D9800}"/>
    <cellStyle name="Normal 8 2 2 4 4 5" xfId="18771" xr:uid="{B7A2CFDA-C48E-4810-B547-040DF6E630B6}"/>
    <cellStyle name="Normal 8 2 2 4 4 6" xfId="10323" xr:uid="{9239EEC6-26AB-43C2-AF7A-097876551921}"/>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33988" xr:uid="{805E82C9-7251-4A51-806A-D6CA0967F493}"/>
    <cellStyle name="Normal 8 2 2 4 5 2 2 3" xfId="25547" xr:uid="{137F6FF3-8342-4BB6-B0F2-7BB7A9FAF793}"/>
    <cellStyle name="Normal 8 2 2 4 5 2 2 4" xfId="17099" xr:uid="{4D1782E5-1BF6-46AD-8EAC-9F3AC4980519}"/>
    <cellStyle name="Normal 8 2 2 4 5 2 3" xfId="29770" xr:uid="{9AE0D30F-D216-4F8F-B00B-0A1CDB28A20E}"/>
    <cellStyle name="Normal 8 2 2 4 5 2 4" xfId="21329" xr:uid="{ADFD8D63-3EF5-461F-95C2-0014FCDC4107}"/>
    <cellStyle name="Normal 8 2 2 4 5 2 5" xfId="12881" xr:uid="{33C81990-7E1C-484B-B727-BE147000A9A7}"/>
    <cellStyle name="Normal 8 2 2 4 5 3" xfId="6504" xr:uid="{00000000-0005-0000-0000-00007D1C0000}"/>
    <cellStyle name="Normal 8 2 2 4 5 3 2" xfId="31843" xr:uid="{09CFE3BE-D09B-4287-96F8-6EAB81B257A3}"/>
    <cellStyle name="Normal 8 2 2 4 5 3 3" xfId="23402" xr:uid="{D70B8E64-73A7-4581-9299-5206406045B0}"/>
    <cellStyle name="Normal 8 2 2 4 5 3 4" xfId="14954" xr:uid="{FD651085-AF59-49AE-B5F1-7838C60E6273}"/>
    <cellStyle name="Normal 8 2 2 4 5 4" xfId="27625" xr:uid="{44F809CE-90A9-4417-9855-DA2BB5EBF48F}"/>
    <cellStyle name="Normal 8 2 2 4 5 5" xfId="19184" xr:uid="{87A9DF5A-6A82-481B-A908-B87F154ECDB2}"/>
    <cellStyle name="Normal 8 2 2 4 5 6" xfId="10736" xr:uid="{5B6D9506-BA41-48BF-AB92-636BF5134EC0}"/>
    <cellStyle name="Normal 8 2 2 4 6" xfId="2634" xr:uid="{00000000-0005-0000-0000-00007E1C0000}"/>
    <cellStyle name="Normal 8 2 2 4 6 2" xfId="6917" xr:uid="{00000000-0005-0000-0000-00007F1C0000}"/>
    <cellStyle name="Normal 8 2 2 4 6 2 2" xfId="32256" xr:uid="{7D7480DD-7802-4693-BE30-5DD60189F4E0}"/>
    <cellStyle name="Normal 8 2 2 4 6 2 3" xfId="23815" xr:uid="{2979335B-0037-449B-A422-91912335F1AD}"/>
    <cellStyle name="Normal 8 2 2 4 6 2 4" xfId="15367" xr:uid="{BA0C8CCF-7E38-4119-A551-95E0DB54D2BB}"/>
    <cellStyle name="Normal 8 2 2 4 6 3" xfId="28038" xr:uid="{87D60113-3244-41C8-A98E-B41C23D20815}"/>
    <cellStyle name="Normal 8 2 2 4 6 4" xfId="19597" xr:uid="{AF933A84-AC5F-4095-A198-7496E6378F24}"/>
    <cellStyle name="Normal 8 2 2 4 6 5" xfId="11149" xr:uid="{7C1A39A5-EE4B-48D5-AC30-410BE8995998}"/>
    <cellStyle name="Normal 8 2 2 4 7" xfId="4852" xr:uid="{00000000-0005-0000-0000-0000801C0000}"/>
    <cellStyle name="Normal 8 2 2 4 7 2" xfId="30191" xr:uid="{8836FC1C-A1E3-43CE-BD62-91FC583FE4D3}"/>
    <cellStyle name="Normal 8 2 2 4 7 3" xfId="21750" xr:uid="{26864CA3-DE56-4237-B3B5-A0DC6DD64696}"/>
    <cellStyle name="Normal 8 2 2 4 7 4" xfId="13302" xr:uid="{98C30333-F581-423A-AA08-1EC0167D81DA}"/>
    <cellStyle name="Normal 8 2 2 4 8" xfId="25973" xr:uid="{577D1AE9-9251-4775-BAC9-244B29F04EE6}"/>
    <cellStyle name="Normal 8 2 2 4 9" xfId="17532" xr:uid="{4CBB98C1-845E-4272-9FBE-EE288A47B415}"/>
    <cellStyle name="Normal 8 2 2 5" xfId="947" xr:uid="{00000000-0005-0000-0000-0000811C0000}"/>
    <cellStyle name="Normal 8 2 2 5 2" xfId="3181" xr:uid="{00000000-0005-0000-0000-0000821C0000}"/>
    <cellStyle name="Normal 8 2 2 5 2 2" xfId="7403" xr:uid="{00000000-0005-0000-0000-0000831C0000}"/>
    <cellStyle name="Normal 8 2 2 5 2 2 2" xfId="32742" xr:uid="{3B403D8E-B62E-4964-90F0-E7B1BCC32E7B}"/>
    <cellStyle name="Normal 8 2 2 5 2 2 3" xfId="24301" xr:uid="{09A4ACD7-6EA5-4605-92CD-FE3559ACAFCB}"/>
    <cellStyle name="Normal 8 2 2 5 2 2 4" xfId="15853" xr:uid="{162852B6-A87D-499A-BC8D-56491B4DB1BD}"/>
    <cellStyle name="Normal 8 2 2 5 2 3" xfId="28524" xr:uid="{9F5484AE-7B12-49B0-8480-F20839DDB3A8}"/>
    <cellStyle name="Normal 8 2 2 5 2 4" xfId="20083" xr:uid="{3E0ABC32-2B1F-411F-8622-EF42215D5754}"/>
    <cellStyle name="Normal 8 2 2 5 2 5" xfId="11635" xr:uid="{C94A43A7-55B1-469A-AE6E-7744FEA2A09B}"/>
    <cellStyle name="Normal 8 2 2 5 3" xfId="5258" xr:uid="{00000000-0005-0000-0000-0000841C0000}"/>
    <cellStyle name="Normal 8 2 2 5 3 2" xfId="30597" xr:uid="{19648B9E-53C8-47ED-BE65-AF0097C1A542}"/>
    <cellStyle name="Normal 8 2 2 5 3 3" xfId="22156" xr:uid="{54893F98-073B-4C31-9520-CF3001317803}"/>
    <cellStyle name="Normal 8 2 2 5 3 4" xfId="13708" xr:uid="{C54AA239-59D4-41E3-9450-70C1EC59D33F}"/>
    <cellStyle name="Normal 8 2 2 5 4" xfId="26379" xr:uid="{1BF40085-0714-470C-A642-0642FAC19C5B}"/>
    <cellStyle name="Normal 8 2 2 5 5" xfId="17938" xr:uid="{DB161C55-5076-4084-BFB0-4E42E3472590}"/>
    <cellStyle name="Normal 8 2 2 5 6" xfId="9490" xr:uid="{92FA726B-7CF5-495D-A1F8-06332EEBA62D}"/>
    <cellStyle name="Normal 8 2 2 6" xfId="1364" xr:uid="{00000000-0005-0000-0000-0000851C0000}"/>
    <cellStyle name="Normal 8 2 2 6 2" xfId="3594" xr:uid="{00000000-0005-0000-0000-0000861C0000}"/>
    <cellStyle name="Normal 8 2 2 6 2 2" xfId="7816" xr:uid="{00000000-0005-0000-0000-0000871C0000}"/>
    <cellStyle name="Normal 8 2 2 6 2 2 2" xfId="33155" xr:uid="{FA907C47-4FB2-4A4B-AB0F-F31B3BDC7C9D}"/>
    <cellStyle name="Normal 8 2 2 6 2 2 3" xfId="24714" xr:uid="{3F8F8D8F-B9E1-4F30-93AD-FB4F66E8DCA4}"/>
    <cellStyle name="Normal 8 2 2 6 2 2 4" xfId="16266" xr:uid="{899D89AB-1354-4F57-8D3B-3122E2442C21}"/>
    <cellStyle name="Normal 8 2 2 6 2 3" xfId="28937" xr:uid="{556B597B-857C-4DF2-9EDB-ED2A20B0E656}"/>
    <cellStyle name="Normal 8 2 2 6 2 4" xfId="20496" xr:uid="{55BA8D86-ADFD-41A1-9BAF-D092230E43C1}"/>
    <cellStyle name="Normal 8 2 2 6 2 5" xfId="12048" xr:uid="{A38B2F9C-D7B6-4C3C-8A94-82FA5C2122D3}"/>
    <cellStyle name="Normal 8 2 2 6 3" xfId="5671" xr:uid="{00000000-0005-0000-0000-0000881C0000}"/>
    <cellStyle name="Normal 8 2 2 6 3 2" xfId="31010" xr:uid="{02DB6E8F-EB5A-4892-AEFF-2BB292E32525}"/>
    <cellStyle name="Normal 8 2 2 6 3 3" xfId="22569" xr:uid="{2ACF3AD2-B6D4-4537-9465-BC6AE527F8AF}"/>
    <cellStyle name="Normal 8 2 2 6 3 4" xfId="14121" xr:uid="{E5C78401-9006-4611-8955-6B1070EECF37}"/>
    <cellStyle name="Normal 8 2 2 6 4" xfId="26792" xr:uid="{779F0335-3EA4-4801-ABBA-7E77C7B84639}"/>
    <cellStyle name="Normal 8 2 2 6 5" xfId="18351" xr:uid="{2371C02C-B383-45D9-82B4-2E32DA057D31}"/>
    <cellStyle name="Normal 8 2 2 6 6" xfId="9903" xr:uid="{F495B1F0-736A-4626-933E-6C833FD0A79B}"/>
    <cellStyle name="Normal 8 2 2 7" xfId="1777" xr:uid="{00000000-0005-0000-0000-0000891C0000}"/>
    <cellStyle name="Normal 8 2 2 7 2" xfId="4007" xr:uid="{00000000-0005-0000-0000-00008A1C0000}"/>
    <cellStyle name="Normal 8 2 2 7 2 2" xfId="8229" xr:uid="{00000000-0005-0000-0000-00008B1C0000}"/>
    <cellStyle name="Normal 8 2 2 7 2 2 2" xfId="33568" xr:uid="{8CE7DF6A-43B7-4EE1-9B9F-B8D403ABAEA8}"/>
    <cellStyle name="Normal 8 2 2 7 2 2 3" xfId="25127" xr:uid="{1DD40743-F9EA-4147-B77C-E0D777EA2185}"/>
    <cellStyle name="Normal 8 2 2 7 2 2 4" xfId="16679" xr:uid="{A47E2339-257A-4234-AB1C-742AB320168C}"/>
    <cellStyle name="Normal 8 2 2 7 2 3" xfId="29350" xr:uid="{7DE27BCF-0C9C-420F-954B-99A78EA7A2CF}"/>
    <cellStyle name="Normal 8 2 2 7 2 4" xfId="20909" xr:uid="{B4FA86E8-9C63-4B84-96B4-CDDE92B648B5}"/>
    <cellStyle name="Normal 8 2 2 7 2 5" xfId="12461" xr:uid="{F5160EA9-AC37-4FEA-BE6E-6C191881CAE2}"/>
    <cellStyle name="Normal 8 2 2 7 3" xfId="6084" xr:uid="{00000000-0005-0000-0000-00008C1C0000}"/>
    <cellStyle name="Normal 8 2 2 7 3 2" xfId="31423" xr:uid="{9C9C0E56-80CB-491A-ADD1-CBFE2F127658}"/>
    <cellStyle name="Normal 8 2 2 7 3 3" xfId="22982" xr:uid="{59C2AD85-FE66-44AD-9C46-D7A1691656AE}"/>
    <cellStyle name="Normal 8 2 2 7 3 4" xfId="14534" xr:uid="{E9236CB5-85DE-48A1-8D48-ECEB67D88216}"/>
    <cellStyle name="Normal 8 2 2 7 4" xfId="27205" xr:uid="{B7EB3EBA-7823-4D0C-A14A-784A112818E8}"/>
    <cellStyle name="Normal 8 2 2 7 5" xfId="18764" xr:uid="{99B058C6-4122-4079-92F2-450B61DCF8CC}"/>
    <cellStyle name="Normal 8 2 2 7 6" xfId="10316" xr:uid="{69259086-0095-47D2-A125-4E48D0B875E2}"/>
    <cellStyle name="Normal 8 2 2 8" xfId="2191" xr:uid="{00000000-0005-0000-0000-00008D1C0000}"/>
    <cellStyle name="Normal 8 2 2 8 2" xfId="4420" xr:uid="{00000000-0005-0000-0000-00008E1C0000}"/>
    <cellStyle name="Normal 8 2 2 8 2 2" xfId="8642" xr:uid="{00000000-0005-0000-0000-00008F1C0000}"/>
    <cellStyle name="Normal 8 2 2 8 2 2 2" xfId="33981" xr:uid="{27FAAB3A-0B2F-4737-AE45-16CD9470CEDD}"/>
    <cellStyle name="Normal 8 2 2 8 2 2 3" xfId="25540" xr:uid="{EEEF69A5-5DC2-4645-84C4-02ACE51D5624}"/>
    <cellStyle name="Normal 8 2 2 8 2 2 4" xfId="17092" xr:uid="{680639BF-FB5F-4CB8-B6F9-E8E277AD775B}"/>
    <cellStyle name="Normal 8 2 2 8 2 3" xfId="29763" xr:uid="{A95DA277-9A24-44FB-A553-B2151E468931}"/>
    <cellStyle name="Normal 8 2 2 8 2 4" xfId="21322" xr:uid="{015920DB-383A-463B-BA2C-4E667CE74805}"/>
    <cellStyle name="Normal 8 2 2 8 2 5" xfId="12874" xr:uid="{FD501B33-3AEE-4C06-AE1C-43DA7F6509B2}"/>
    <cellStyle name="Normal 8 2 2 8 3" xfId="6497" xr:uid="{00000000-0005-0000-0000-0000901C0000}"/>
    <cellStyle name="Normal 8 2 2 8 3 2" xfId="31836" xr:uid="{091BD0E4-7565-40F3-A4AC-357E5C8F9FF9}"/>
    <cellStyle name="Normal 8 2 2 8 3 3" xfId="23395" xr:uid="{B00E9BDC-4D52-4594-AED9-747E8796F009}"/>
    <cellStyle name="Normal 8 2 2 8 3 4" xfId="14947" xr:uid="{CDDF41E6-1018-4C3C-B2A4-83CFED5A1CD4}"/>
    <cellStyle name="Normal 8 2 2 8 4" xfId="27618" xr:uid="{4C20E3DF-634E-47D0-92CD-B06B2AEB4ADB}"/>
    <cellStyle name="Normal 8 2 2 8 5" xfId="19177" xr:uid="{2E373742-5FC4-4953-B2A0-28A583D80E34}"/>
    <cellStyle name="Normal 8 2 2 8 6" xfId="10729" xr:uid="{76B8AA07-02AF-4061-9E1D-063D40096D56}"/>
    <cellStyle name="Normal 8 2 2 9" xfId="2627" xr:uid="{00000000-0005-0000-0000-0000911C0000}"/>
    <cellStyle name="Normal 8 2 2 9 2" xfId="6910" xr:uid="{00000000-0005-0000-0000-0000921C0000}"/>
    <cellStyle name="Normal 8 2 2 9 2 2" xfId="32249" xr:uid="{6C99EC15-A2C8-42EC-904A-2AD74ED2A3D9}"/>
    <cellStyle name="Normal 8 2 2 9 2 3" xfId="23808" xr:uid="{CE61D145-CD3C-4377-95BF-C7D94746B58C}"/>
    <cellStyle name="Normal 8 2 2 9 2 4" xfId="15360" xr:uid="{D2BE9E04-DB2D-4912-8214-7AA34FD57600}"/>
    <cellStyle name="Normal 8 2 2 9 3" xfId="28031" xr:uid="{510A64EA-059E-439D-BA9C-F83DFB1D7A87}"/>
    <cellStyle name="Normal 8 2 2 9 4" xfId="19590" xr:uid="{31230393-96B4-4D1A-9A4F-16B7E76A4591}"/>
    <cellStyle name="Normal 8 2 2 9 5" xfId="11142" xr:uid="{73620FDF-EA24-47DA-B94B-D0D4680ADDF2}"/>
    <cellStyle name="Normal 8 2 3" xfId="488" xr:uid="{00000000-0005-0000-0000-0000931C0000}"/>
    <cellStyle name="Normal 8 2 3 10" xfId="25974" xr:uid="{06B3F51A-0B91-4E09-A485-6D9BD0A6F6B4}"/>
    <cellStyle name="Normal 8 2 3 11" xfId="17533" xr:uid="{FF85A7F6-C96B-4CAE-BB69-9E52853EAA28}"/>
    <cellStyle name="Normal 8 2 3 12" xfId="9085" xr:uid="{F6A6690F-773C-4EDE-B702-64606AF9AC3E}"/>
    <cellStyle name="Normal 8 2 3 2" xfId="489" xr:uid="{00000000-0005-0000-0000-0000941C0000}"/>
    <cellStyle name="Normal 8 2 3 2 10" xfId="17534" xr:uid="{7C198A37-DDE4-4B90-A977-148497ED573F}"/>
    <cellStyle name="Normal 8 2 3 2 11" xfId="9086" xr:uid="{7AAEE1EF-3EA4-4430-BDAC-4B81F5DE44D1}"/>
    <cellStyle name="Normal 8 2 3 2 2" xfId="490" xr:uid="{00000000-0005-0000-0000-0000951C0000}"/>
    <cellStyle name="Normal 8 2 3 2 2 10" xfId="9087" xr:uid="{D0271828-02A6-403E-8148-D3CF33CB45D8}"/>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32752" xr:uid="{3A638256-350B-48D4-A923-E7FEF55E0109}"/>
    <cellStyle name="Normal 8 2 3 2 2 2 2 2 3" xfId="24311" xr:uid="{6615A0B5-8B69-4C80-B720-E5C8AAD0352E}"/>
    <cellStyle name="Normal 8 2 3 2 2 2 2 2 4" xfId="15863" xr:uid="{88FBC15A-60C4-46D2-8E06-527B1F8204C8}"/>
    <cellStyle name="Normal 8 2 3 2 2 2 2 3" xfId="28534" xr:uid="{76D21180-4543-47D6-9C80-07AB5355A24E}"/>
    <cellStyle name="Normal 8 2 3 2 2 2 2 4" xfId="20093" xr:uid="{371E51C6-F6FF-4E61-8C55-E3C51C7ABE84}"/>
    <cellStyle name="Normal 8 2 3 2 2 2 2 5" xfId="11645" xr:uid="{4BDED191-3941-4919-BB34-8109F7AEB231}"/>
    <cellStyle name="Normal 8 2 3 2 2 2 3" xfId="5268" xr:uid="{00000000-0005-0000-0000-0000991C0000}"/>
    <cellStyle name="Normal 8 2 3 2 2 2 3 2" xfId="30607" xr:uid="{CFB03056-EADF-49FD-A79B-BCCB21093678}"/>
    <cellStyle name="Normal 8 2 3 2 2 2 3 3" xfId="22166" xr:uid="{F5EBD1C4-F7FD-4BA7-B2F7-6ED20AB12455}"/>
    <cellStyle name="Normal 8 2 3 2 2 2 3 4" xfId="13718" xr:uid="{BCF543A0-E46D-4E53-A5E1-29987F53D9FC}"/>
    <cellStyle name="Normal 8 2 3 2 2 2 4" xfId="26389" xr:uid="{26274DB4-19DF-4BBF-9323-100155F797B7}"/>
    <cellStyle name="Normal 8 2 3 2 2 2 5" xfId="17948" xr:uid="{3EFAD414-1AEA-4F14-8487-4FC4594F239E}"/>
    <cellStyle name="Normal 8 2 3 2 2 2 6" xfId="9500" xr:uid="{A2D6566E-6D0F-400D-80F2-DBDC1650F92E}"/>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33165" xr:uid="{192A15EE-265F-4459-9522-6F430249975B}"/>
    <cellStyle name="Normal 8 2 3 2 2 3 2 2 3" xfId="24724" xr:uid="{3F57B57A-F276-4EA7-A5F9-B6CC3154C2A8}"/>
    <cellStyle name="Normal 8 2 3 2 2 3 2 2 4" xfId="16276" xr:uid="{0888CA13-FD24-46EE-A3E1-10D9BB342BCF}"/>
    <cellStyle name="Normal 8 2 3 2 2 3 2 3" xfId="28947" xr:uid="{F6D11ED3-6205-49D0-A914-0E9709378822}"/>
    <cellStyle name="Normal 8 2 3 2 2 3 2 4" xfId="20506" xr:uid="{5C156DF5-65F5-4FE0-AF27-2A8788E5A42B}"/>
    <cellStyle name="Normal 8 2 3 2 2 3 2 5" xfId="12058" xr:uid="{9EB3852E-D917-4294-9181-5D08932FCF72}"/>
    <cellStyle name="Normal 8 2 3 2 2 3 3" xfId="5681" xr:uid="{00000000-0005-0000-0000-00009D1C0000}"/>
    <cellStyle name="Normal 8 2 3 2 2 3 3 2" xfId="31020" xr:uid="{3183266C-5158-436D-BB06-36586A09DD30}"/>
    <cellStyle name="Normal 8 2 3 2 2 3 3 3" xfId="22579" xr:uid="{7CB3FD97-27C3-4D6E-9986-A69D5E44D867}"/>
    <cellStyle name="Normal 8 2 3 2 2 3 3 4" xfId="14131" xr:uid="{59484D37-29B7-4849-BCA9-A7B308BFE422}"/>
    <cellStyle name="Normal 8 2 3 2 2 3 4" xfId="26802" xr:uid="{F58AB76F-3E89-485F-B742-4781F345789E}"/>
    <cellStyle name="Normal 8 2 3 2 2 3 5" xfId="18361" xr:uid="{B5994B53-E92F-4C4D-B14F-4D3734ABD083}"/>
    <cellStyle name="Normal 8 2 3 2 2 3 6" xfId="9913" xr:uid="{5801056A-698B-4D6D-881C-5D39B39E83F3}"/>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33578" xr:uid="{0807C0D3-310E-42FE-B016-48A4EF9A4CBF}"/>
    <cellStyle name="Normal 8 2 3 2 2 4 2 2 3" xfId="25137" xr:uid="{8FB1EADC-3C7E-4247-9E21-5DFA4F24BCEC}"/>
    <cellStyle name="Normal 8 2 3 2 2 4 2 2 4" xfId="16689" xr:uid="{44836F52-854F-494D-879B-336ED25CB090}"/>
    <cellStyle name="Normal 8 2 3 2 2 4 2 3" xfId="29360" xr:uid="{65E0E226-01E1-4EB3-A3BE-F31B4DE904F7}"/>
    <cellStyle name="Normal 8 2 3 2 2 4 2 4" xfId="20919" xr:uid="{A539FE58-2BAF-4418-AF2D-67B1644BE856}"/>
    <cellStyle name="Normal 8 2 3 2 2 4 2 5" xfId="12471" xr:uid="{803A29C6-A50D-4A99-9B41-4A64D4F3E1A7}"/>
    <cellStyle name="Normal 8 2 3 2 2 4 3" xfId="6094" xr:uid="{00000000-0005-0000-0000-0000A11C0000}"/>
    <cellStyle name="Normal 8 2 3 2 2 4 3 2" xfId="31433" xr:uid="{F0019CFB-C335-4C2B-8F7B-C19010FAB71F}"/>
    <cellStyle name="Normal 8 2 3 2 2 4 3 3" xfId="22992" xr:uid="{511C31DF-E930-43DB-8DCB-E363AA10FF77}"/>
    <cellStyle name="Normal 8 2 3 2 2 4 3 4" xfId="14544" xr:uid="{36EA3460-8AF4-4E19-8A11-C1EB6B5122C2}"/>
    <cellStyle name="Normal 8 2 3 2 2 4 4" xfId="27215" xr:uid="{FB14EA13-E79B-423D-8D6B-82C8A8AE61EA}"/>
    <cellStyle name="Normal 8 2 3 2 2 4 5" xfId="18774" xr:uid="{53BB4186-BCF1-4824-9B1A-411F2CACACF4}"/>
    <cellStyle name="Normal 8 2 3 2 2 4 6" xfId="10326" xr:uid="{65A51F92-ACDD-41A9-84F2-EE5B6E7264BB}"/>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33991" xr:uid="{34689CA4-5D98-4BA1-B4D6-17CEF7A772DE}"/>
    <cellStyle name="Normal 8 2 3 2 2 5 2 2 3" xfId="25550" xr:uid="{12770CDF-F3A3-4867-8DD3-48ACB8399067}"/>
    <cellStyle name="Normal 8 2 3 2 2 5 2 2 4" xfId="17102" xr:uid="{FFD16E09-BC2A-4948-8F1F-D6DD0A413CA1}"/>
    <cellStyle name="Normal 8 2 3 2 2 5 2 3" xfId="29773" xr:uid="{D442C14A-88CE-485A-B334-21539086D9E0}"/>
    <cellStyle name="Normal 8 2 3 2 2 5 2 4" xfId="21332" xr:uid="{A1636932-6F02-4AD7-9B39-6AA720766E87}"/>
    <cellStyle name="Normal 8 2 3 2 2 5 2 5" xfId="12884" xr:uid="{E5666BCA-AF9F-47C0-95C6-E6695067B48D}"/>
    <cellStyle name="Normal 8 2 3 2 2 5 3" xfId="6507" xr:uid="{00000000-0005-0000-0000-0000A51C0000}"/>
    <cellStyle name="Normal 8 2 3 2 2 5 3 2" xfId="31846" xr:uid="{502C9CEF-E231-4391-AE99-5C26B6B53CD1}"/>
    <cellStyle name="Normal 8 2 3 2 2 5 3 3" xfId="23405" xr:uid="{00B23B8D-4CAA-4F59-BA0B-4EB1EC613A09}"/>
    <cellStyle name="Normal 8 2 3 2 2 5 3 4" xfId="14957" xr:uid="{A96EC94C-823A-49ED-8A6F-7CFC90D5E626}"/>
    <cellStyle name="Normal 8 2 3 2 2 5 4" xfId="27628" xr:uid="{887AC50B-51E4-46B4-9F57-341F59E9FD9C}"/>
    <cellStyle name="Normal 8 2 3 2 2 5 5" xfId="19187" xr:uid="{71723856-1AA1-4BE2-B99E-4435E70D0C05}"/>
    <cellStyle name="Normal 8 2 3 2 2 5 6" xfId="10739" xr:uid="{344EF432-2CC9-4CC4-AEF9-56DBC4D95A84}"/>
    <cellStyle name="Normal 8 2 3 2 2 6" xfId="2637" xr:uid="{00000000-0005-0000-0000-0000A61C0000}"/>
    <cellStyle name="Normal 8 2 3 2 2 6 2" xfId="6920" xr:uid="{00000000-0005-0000-0000-0000A71C0000}"/>
    <cellStyle name="Normal 8 2 3 2 2 6 2 2" xfId="32259" xr:uid="{1A9AFF8B-355D-4131-805A-F79EEF716373}"/>
    <cellStyle name="Normal 8 2 3 2 2 6 2 3" xfId="23818" xr:uid="{B3314284-561B-4A90-849E-DC52C51E59D5}"/>
    <cellStyle name="Normal 8 2 3 2 2 6 2 4" xfId="15370" xr:uid="{3AF3688F-1B15-4210-A54C-55326F259D07}"/>
    <cellStyle name="Normal 8 2 3 2 2 6 3" xfId="28041" xr:uid="{2E108CDE-D597-4CCA-8BB8-54CE957DC177}"/>
    <cellStyle name="Normal 8 2 3 2 2 6 4" xfId="19600" xr:uid="{B4EFD95E-D8D2-4C62-84F6-36AFCF406A41}"/>
    <cellStyle name="Normal 8 2 3 2 2 6 5" xfId="11152" xr:uid="{5A11C010-EF90-4639-B286-AE7B693D9EA6}"/>
    <cellStyle name="Normal 8 2 3 2 2 7" xfId="4855" xr:uid="{00000000-0005-0000-0000-0000A81C0000}"/>
    <cellStyle name="Normal 8 2 3 2 2 7 2" xfId="30194" xr:uid="{104FEAE6-7DE4-48A8-814F-1D888375B011}"/>
    <cellStyle name="Normal 8 2 3 2 2 7 3" xfId="21753" xr:uid="{A072475B-A7FA-42BE-BCF9-66EDDF634E15}"/>
    <cellStyle name="Normal 8 2 3 2 2 7 4" xfId="13305" xr:uid="{37EF0821-719A-4290-BCAF-DF1F4E1B9363}"/>
    <cellStyle name="Normal 8 2 3 2 2 8" xfId="25976" xr:uid="{241ED98B-7562-41AE-8236-28EE9A158C88}"/>
    <cellStyle name="Normal 8 2 3 2 2 9" xfId="17535" xr:uid="{A6DF504C-2A9F-4CBE-83C7-86C62BF931D5}"/>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32751" xr:uid="{A3AD64A2-62FC-4D31-9446-A31A72CDC418}"/>
    <cellStyle name="Normal 8 2 3 2 3 2 2 3" xfId="24310" xr:uid="{F8901AC9-2E46-4B9E-9E11-69AFFDFA4BE6}"/>
    <cellStyle name="Normal 8 2 3 2 3 2 2 4" xfId="15862" xr:uid="{13ABC362-484B-4AA8-9CCC-AAE06A82F03C}"/>
    <cellStyle name="Normal 8 2 3 2 3 2 3" xfId="28533" xr:uid="{E6663EAC-9BA7-4838-BF20-9143EC99BF82}"/>
    <cellStyle name="Normal 8 2 3 2 3 2 4" xfId="20092" xr:uid="{8290A633-3EE8-4051-A559-F47E163F8722}"/>
    <cellStyle name="Normal 8 2 3 2 3 2 5" xfId="11644" xr:uid="{0E2471C9-458A-4E92-B89C-401BD1410E80}"/>
    <cellStyle name="Normal 8 2 3 2 3 3" xfId="5267" xr:uid="{00000000-0005-0000-0000-0000AC1C0000}"/>
    <cellStyle name="Normal 8 2 3 2 3 3 2" xfId="30606" xr:uid="{A46CF604-E404-4DFB-9E87-BEFEEE98C559}"/>
    <cellStyle name="Normal 8 2 3 2 3 3 3" xfId="22165" xr:uid="{06F25E46-62FD-409E-97D4-E59EE918EF39}"/>
    <cellStyle name="Normal 8 2 3 2 3 3 4" xfId="13717" xr:uid="{F4FD6507-FE74-4F27-878E-B321B5CD5164}"/>
    <cellStyle name="Normal 8 2 3 2 3 4" xfId="26388" xr:uid="{A7BD703E-6E6F-4A14-9F70-BFD939D17924}"/>
    <cellStyle name="Normal 8 2 3 2 3 5" xfId="17947" xr:uid="{5E0D8FAE-F7A7-4543-AFC9-E37AA773BE7A}"/>
    <cellStyle name="Normal 8 2 3 2 3 6" xfId="9499" xr:uid="{49F6ECFA-4834-4321-A6E6-7B3674096FA7}"/>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33164" xr:uid="{839A9306-3712-44B4-8AE0-4166CCF8E4F5}"/>
    <cellStyle name="Normal 8 2 3 2 4 2 2 3" xfId="24723" xr:uid="{4D173560-CC88-4E12-9030-427B31ABE7C3}"/>
    <cellStyle name="Normal 8 2 3 2 4 2 2 4" xfId="16275" xr:uid="{81AAC8BD-0A58-4340-8A72-F40448E550F4}"/>
    <cellStyle name="Normal 8 2 3 2 4 2 3" xfId="28946" xr:uid="{B4A3F06B-2F11-47C3-9680-837C2CA18742}"/>
    <cellStyle name="Normal 8 2 3 2 4 2 4" xfId="20505" xr:uid="{559CA942-4D8D-43DB-8FFB-818B1C86AA57}"/>
    <cellStyle name="Normal 8 2 3 2 4 2 5" xfId="12057" xr:uid="{9CBB86C7-3E40-4DEA-B8F4-97B6D3B7D52C}"/>
    <cellStyle name="Normal 8 2 3 2 4 3" xfId="5680" xr:uid="{00000000-0005-0000-0000-0000B01C0000}"/>
    <cellStyle name="Normal 8 2 3 2 4 3 2" xfId="31019" xr:uid="{018ABCA9-E8F6-480C-9358-50D93DC45E35}"/>
    <cellStyle name="Normal 8 2 3 2 4 3 3" xfId="22578" xr:uid="{CE09C83B-A4B3-4855-B587-ED356026DE4F}"/>
    <cellStyle name="Normal 8 2 3 2 4 3 4" xfId="14130" xr:uid="{6C561945-D65E-46F3-8399-01BD820B2D98}"/>
    <cellStyle name="Normal 8 2 3 2 4 4" xfId="26801" xr:uid="{C49200EB-D4EE-476F-8B99-9E126084B8CD}"/>
    <cellStyle name="Normal 8 2 3 2 4 5" xfId="18360" xr:uid="{176E0AAD-EE9B-461A-A3FF-0B818AFC0D86}"/>
    <cellStyle name="Normal 8 2 3 2 4 6" xfId="9912" xr:uid="{6CE8F22B-520C-4C1D-A383-18F34D835DB3}"/>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33577" xr:uid="{5DE212FB-1D25-4A27-962F-E569F8BFE5E9}"/>
    <cellStyle name="Normal 8 2 3 2 5 2 2 3" xfId="25136" xr:uid="{98085905-B006-4B99-B165-78EE3BAC5CB7}"/>
    <cellStyle name="Normal 8 2 3 2 5 2 2 4" xfId="16688" xr:uid="{02C9CC92-8D01-4C56-AD82-94693A714F06}"/>
    <cellStyle name="Normal 8 2 3 2 5 2 3" xfId="29359" xr:uid="{E019CB87-FCA4-4B4D-8FE6-1124971DE455}"/>
    <cellStyle name="Normal 8 2 3 2 5 2 4" xfId="20918" xr:uid="{1F9B7D7C-92F6-4D4F-AFCA-3E6652A4C37B}"/>
    <cellStyle name="Normal 8 2 3 2 5 2 5" xfId="12470" xr:uid="{0472B68E-034D-4D3C-B008-80F0B4857D41}"/>
    <cellStyle name="Normal 8 2 3 2 5 3" xfId="6093" xr:uid="{00000000-0005-0000-0000-0000B41C0000}"/>
    <cellStyle name="Normal 8 2 3 2 5 3 2" xfId="31432" xr:uid="{F3E3ECD6-9C1F-409F-AA30-B3A580303F43}"/>
    <cellStyle name="Normal 8 2 3 2 5 3 3" xfId="22991" xr:uid="{44BC0B54-F073-4A0B-87AB-9A194C52DF62}"/>
    <cellStyle name="Normal 8 2 3 2 5 3 4" xfId="14543" xr:uid="{00A697D8-EA88-41A2-BF39-CCBA422DA119}"/>
    <cellStyle name="Normal 8 2 3 2 5 4" xfId="27214" xr:uid="{01B4383A-6A4D-4C2F-90A1-5968756881EF}"/>
    <cellStyle name="Normal 8 2 3 2 5 5" xfId="18773" xr:uid="{16C169C0-6CC2-4F73-B113-35FA0F67E39B}"/>
    <cellStyle name="Normal 8 2 3 2 5 6" xfId="10325" xr:uid="{60E65283-52C7-4633-8870-3BA30E4D64D1}"/>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33990" xr:uid="{3004A1BB-A148-416D-B833-1B36C8CCA430}"/>
    <cellStyle name="Normal 8 2 3 2 6 2 2 3" xfId="25549" xr:uid="{E7B04FBD-7776-4A3E-BC9B-A89E159C5FAF}"/>
    <cellStyle name="Normal 8 2 3 2 6 2 2 4" xfId="17101" xr:uid="{FB799A41-87B2-4B74-AF79-EDDF6228AB64}"/>
    <cellStyle name="Normal 8 2 3 2 6 2 3" xfId="29772" xr:uid="{18636A6A-C1D4-4815-A293-1631B3BDAE47}"/>
    <cellStyle name="Normal 8 2 3 2 6 2 4" xfId="21331" xr:uid="{1D4EEE18-D6CA-459B-BC92-2CCDBD051D79}"/>
    <cellStyle name="Normal 8 2 3 2 6 2 5" xfId="12883" xr:uid="{33CD89AB-CDD9-4E39-A91C-D355902EE92B}"/>
    <cellStyle name="Normal 8 2 3 2 6 3" xfId="6506" xr:uid="{00000000-0005-0000-0000-0000B81C0000}"/>
    <cellStyle name="Normal 8 2 3 2 6 3 2" xfId="31845" xr:uid="{5C24A5D3-B4AB-42D8-B88B-F9D6DB0A7932}"/>
    <cellStyle name="Normal 8 2 3 2 6 3 3" xfId="23404" xr:uid="{E94D6C6F-AA2A-4D3D-9A3A-047ED92CAB79}"/>
    <cellStyle name="Normal 8 2 3 2 6 3 4" xfId="14956" xr:uid="{FD6A7983-A2B0-4C75-B68E-D1A9235D8D68}"/>
    <cellStyle name="Normal 8 2 3 2 6 4" xfId="27627" xr:uid="{944E495D-B862-4D6D-B4C7-955DF655C9A0}"/>
    <cellStyle name="Normal 8 2 3 2 6 5" xfId="19186" xr:uid="{886399EE-9FBF-44AC-9FE1-CD6C869B00E6}"/>
    <cellStyle name="Normal 8 2 3 2 6 6" xfId="10738" xr:uid="{44179BB3-3F70-4FF2-B18C-C8CE6D032266}"/>
    <cellStyle name="Normal 8 2 3 2 7" xfId="2636" xr:uid="{00000000-0005-0000-0000-0000B91C0000}"/>
    <cellStyle name="Normal 8 2 3 2 7 2" xfId="6919" xr:uid="{00000000-0005-0000-0000-0000BA1C0000}"/>
    <cellStyle name="Normal 8 2 3 2 7 2 2" xfId="32258" xr:uid="{4206F0DB-0FFD-44A4-92AF-9AD71858EF5B}"/>
    <cellStyle name="Normal 8 2 3 2 7 2 3" xfId="23817" xr:uid="{D93E17F9-3B78-4E34-A2A7-BD4BE51D8588}"/>
    <cellStyle name="Normal 8 2 3 2 7 2 4" xfId="15369" xr:uid="{159AE740-19C1-4AB9-84AB-5651B69CE318}"/>
    <cellStyle name="Normal 8 2 3 2 7 3" xfId="28040" xr:uid="{23A457F5-A4FE-4054-81D2-7318B2941040}"/>
    <cellStyle name="Normal 8 2 3 2 7 4" xfId="19599" xr:uid="{597354F2-8A06-451C-BF37-09AEB6F882D6}"/>
    <cellStyle name="Normal 8 2 3 2 7 5" xfId="11151" xr:uid="{61474973-6C62-4C06-8573-BF1766A1BAEE}"/>
    <cellStyle name="Normal 8 2 3 2 8" xfId="4854" xr:uid="{00000000-0005-0000-0000-0000BB1C0000}"/>
    <cellStyle name="Normal 8 2 3 2 8 2" xfId="30193" xr:uid="{6A15E255-C752-4BB7-BF98-1D2CF2B5FFAB}"/>
    <cellStyle name="Normal 8 2 3 2 8 3" xfId="21752" xr:uid="{55E39EB3-478D-4EB4-A3CA-7B93483AE32B}"/>
    <cellStyle name="Normal 8 2 3 2 8 4" xfId="13304" xr:uid="{E2E59FF2-80E3-4DFD-B5E4-D2DD38CC5E27}"/>
    <cellStyle name="Normal 8 2 3 2 9" xfId="25975" xr:uid="{1DCE00FD-2EFE-46A2-BBDC-9C94CE8110DF}"/>
    <cellStyle name="Normal 8 2 3 3" xfId="491" xr:uid="{00000000-0005-0000-0000-0000BC1C0000}"/>
    <cellStyle name="Normal 8 2 3 3 10" xfId="9088" xr:uid="{8E0CED2C-B34C-468D-A21F-D250416CADA7}"/>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32753" xr:uid="{2CF20855-5638-415E-9858-3ACC5EF79AB8}"/>
    <cellStyle name="Normal 8 2 3 3 2 2 2 3" xfId="24312" xr:uid="{506C907A-7400-4933-B08A-B8E8929DD294}"/>
    <cellStyle name="Normal 8 2 3 3 2 2 2 4" xfId="15864" xr:uid="{B20467E5-C518-4E83-9962-E77347844B39}"/>
    <cellStyle name="Normal 8 2 3 3 2 2 3" xfId="28535" xr:uid="{7147B45C-C11C-4B72-A698-ECE84C76DD8C}"/>
    <cellStyle name="Normal 8 2 3 3 2 2 4" xfId="20094" xr:uid="{1BE0D835-1B03-4EC2-A657-E8AFF27F49A6}"/>
    <cellStyle name="Normal 8 2 3 3 2 2 5" xfId="11646" xr:uid="{92CAF4C7-39E2-41D5-A3E5-7008CA541952}"/>
    <cellStyle name="Normal 8 2 3 3 2 3" xfId="5269" xr:uid="{00000000-0005-0000-0000-0000C01C0000}"/>
    <cellStyle name="Normal 8 2 3 3 2 3 2" xfId="30608" xr:uid="{7927921A-824B-4B31-B08B-20337CC4FA8C}"/>
    <cellStyle name="Normal 8 2 3 3 2 3 3" xfId="22167" xr:uid="{1F599C2E-8F41-4972-9160-D5EC0C167AD6}"/>
    <cellStyle name="Normal 8 2 3 3 2 3 4" xfId="13719" xr:uid="{B24DE9D6-9633-463E-B9B7-3E7D8F3A5144}"/>
    <cellStyle name="Normal 8 2 3 3 2 4" xfId="26390" xr:uid="{7596BAF6-189F-45BC-94C9-CF48BA1CCF3A}"/>
    <cellStyle name="Normal 8 2 3 3 2 5" xfId="17949" xr:uid="{FC267DE7-3145-447D-8C11-BC7EDDA0DAEC}"/>
    <cellStyle name="Normal 8 2 3 3 2 6" xfId="9501" xr:uid="{E9FC1CF8-C465-4BC1-AF6A-CAF5F3A34FFD}"/>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33166" xr:uid="{C88DD163-A15D-45CE-BA9D-7BB3305688D7}"/>
    <cellStyle name="Normal 8 2 3 3 3 2 2 3" xfId="24725" xr:uid="{E2E1AAF3-F8FC-4908-A2D9-05EFD22E8AC5}"/>
    <cellStyle name="Normal 8 2 3 3 3 2 2 4" xfId="16277" xr:uid="{8A231727-D9E0-4ECC-A48F-30650B8FA4EC}"/>
    <cellStyle name="Normal 8 2 3 3 3 2 3" xfId="28948" xr:uid="{7902C941-F086-4AA7-8A37-79780E293F49}"/>
    <cellStyle name="Normal 8 2 3 3 3 2 4" xfId="20507" xr:uid="{BE48762F-2FDD-48EB-9DF3-74F70702621D}"/>
    <cellStyle name="Normal 8 2 3 3 3 2 5" xfId="12059" xr:uid="{E97C7397-1755-4260-A20D-E30D89B43D68}"/>
    <cellStyle name="Normal 8 2 3 3 3 3" xfId="5682" xr:uid="{00000000-0005-0000-0000-0000C41C0000}"/>
    <cellStyle name="Normal 8 2 3 3 3 3 2" xfId="31021" xr:uid="{69936A99-9F92-49CE-A115-CB608D7D198E}"/>
    <cellStyle name="Normal 8 2 3 3 3 3 3" xfId="22580" xr:uid="{BE236246-F3A6-465B-891E-5722A1E25611}"/>
    <cellStyle name="Normal 8 2 3 3 3 3 4" xfId="14132" xr:uid="{C942A384-0D0E-4CE9-B2B4-5C222B5E583B}"/>
    <cellStyle name="Normal 8 2 3 3 3 4" xfId="26803" xr:uid="{73AA6830-05BD-4171-A90F-CED0B4D5FDC0}"/>
    <cellStyle name="Normal 8 2 3 3 3 5" xfId="18362" xr:uid="{C46344CA-1513-4E56-96CF-1B5CEC962183}"/>
    <cellStyle name="Normal 8 2 3 3 3 6" xfId="9914" xr:uid="{41C6E289-1D45-4AC0-89AC-3FC1D2602AEF}"/>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33579" xr:uid="{908C1CC7-453F-447A-8FC2-35122C45AF90}"/>
    <cellStyle name="Normal 8 2 3 3 4 2 2 3" xfId="25138" xr:uid="{B623F12F-32C9-4AB9-AD9A-561D762C89B3}"/>
    <cellStyle name="Normal 8 2 3 3 4 2 2 4" xfId="16690" xr:uid="{E8C71506-9D15-4180-A8A9-EC6B1B62598A}"/>
    <cellStyle name="Normal 8 2 3 3 4 2 3" xfId="29361" xr:uid="{D536357A-66A3-4CAE-9A3F-7AC2BBBB3F8C}"/>
    <cellStyle name="Normal 8 2 3 3 4 2 4" xfId="20920" xr:uid="{AC43D6C4-EB39-4E69-AB57-66B6EC629A27}"/>
    <cellStyle name="Normal 8 2 3 3 4 2 5" xfId="12472" xr:uid="{4A5D8E7A-3AF5-4214-9C3A-AFAA0C4A15FF}"/>
    <cellStyle name="Normal 8 2 3 3 4 3" xfId="6095" xr:uid="{00000000-0005-0000-0000-0000C81C0000}"/>
    <cellStyle name="Normal 8 2 3 3 4 3 2" xfId="31434" xr:uid="{E33F6888-4717-4963-BB52-047E71105B72}"/>
    <cellStyle name="Normal 8 2 3 3 4 3 3" xfId="22993" xr:uid="{AE5FD7E3-C93E-4BD1-A6E4-B387475A0D1F}"/>
    <cellStyle name="Normal 8 2 3 3 4 3 4" xfId="14545" xr:uid="{2EDFED36-3E9F-4E70-B2DC-603761F47FB0}"/>
    <cellStyle name="Normal 8 2 3 3 4 4" xfId="27216" xr:uid="{E51F2A30-B726-418F-BE51-9F2C149A7159}"/>
    <cellStyle name="Normal 8 2 3 3 4 5" xfId="18775" xr:uid="{3B3A1AFB-30F9-4B80-93A7-0DD7D2878F2B}"/>
    <cellStyle name="Normal 8 2 3 3 4 6" xfId="10327" xr:uid="{48652411-A2EC-43E3-8CAB-57BC5790E179}"/>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33992" xr:uid="{4AEC712E-C75D-4BA0-A19F-1D69EB17AF66}"/>
    <cellStyle name="Normal 8 2 3 3 5 2 2 3" xfId="25551" xr:uid="{3A8D60F3-5801-4B7D-A20F-B03BF97FFFE8}"/>
    <cellStyle name="Normal 8 2 3 3 5 2 2 4" xfId="17103" xr:uid="{C6143A95-A999-4208-BF2D-4D2705E5AB13}"/>
    <cellStyle name="Normal 8 2 3 3 5 2 3" xfId="29774" xr:uid="{33674931-1C44-4B0F-9697-746F0A81119C}"/>
    <cellStyle name="Normal 8 2 3 3 5 2 4" xfId="21333" xr:uid="{F2746AAB-33CB-439B-A383-E1E15DE5A2CA}"/>
    <cellStyle name="Normal 8 2 3 3 5 2 5" xfId="12885" xr:uid="{4EC5B0D5-F504-4968-929A-5355AABC4FE7}"/>
    <cellStyle name="Normal 8 2 3 3 5 3" xfId="6508" xr:uid="{00000000-0005-0000-0000-0000CC1C0000}"/>
    <cellStyle name="Normal 8 2 3 3 5 3 2" xfId="31847" xr:uid="{8C8A9B01-8718-4807-AD17-2EBD1DB2B27D}"/>
    <cellStyle name="Normal 8 2 3 3 5 3 3" xfId="23406" xr:uid="{2F43CE54-A730-4103-8F16-A3EBF3F2DB85}"/>
    <cellStyle name="Normal 8 2 3 3 5 3 4" xfId="14958" xr:uid="{03A4C831-9991-49E2-B92F-C8D2FAFAB594}"/>
    <cellStyle name="Normal 8 2 3 3 5 4" xfId="27629" xr:uid="{31A69AD6-19E8-4FF3-9226-49FD2CE804FC}"/>
    <cellStyle name="Normal 8 2 3 3 5 5" xfId="19188" xr:uid="{3BE23900-D146-4911-95DA-9825FFAFC0A7}"/>
    <cellStyle name="Normal 8 2 3 3 5 6" xfId="10740" xr:uid="{4A47FA78-D1C2-48AA-AAAB-3C21958860FF}"/>
    <cellStyle name="Normal 8 2 3 3 6" xfId="2638" xr:uid="{00000000-0005-0000-0000-0000CD1C0000}"/>
    <cellStyle name="Normal 8 2 3 3 6 2" xfId="6921" xr:uid="{00000000-0005-0000-0000-0000CE1C0000}"/>
    <cellStyle name="Normal 8 2 3 3 6 2 2" xfId="32260" xr:uid="{2300C523-72BA-4538-A3D5-1B93CC29F87C}"/>
    <cellStyle name="Normal 8 2 3 3 6 2 3" xfId="23819" xr:uid="{623F26C4-BC5B-49E6-B3F0-0958A6312797}"/>
    <cellStyle name="Normal 8 2 3 3 6 2 4" xfId="15371" xr:uid="{1A8CEA8C-C7FC-477D-9CC0-234B6668C603}"/>
    <cellStyle name="Normal 8 2 3 3 6 3" xfId="28042" xr:uid="{D92C79B3-92BF-4511-998B-5E30C1BB7B70}"/>
    <cellStyle name="Normal 8 2 3 3 6 4" xfId="19601" xr:uid="{9A98FA29-D49B-454F-8857-86EA026D94DA}"/>
    <cellStyle name="Normal 8 2 3 3 6 5" xfId="11153" xr:uid="{5CA8F2C1-52E4-425F-8C6B-EE226BBA1AD8}"/>
    <cellStyle name="Normal 8 2 3 3 7" xfId="4856" xr:uid="{00000000-0005-0000-0000-0000CF1C0000}"/>
    <cellStyle name="Normal 8 2 3 3 7 2" xfId="30195" xr:uid="{C5F779A9-D83A-4482-8EF4-2D87A204448A}"/>
    <cellStyle name="Normal 8 2 3 3 7 3" xfId="21754" xr:uid="{6B69F0C2-AA52-43F7-9B25-40B84CFAB48E}"/>
    <cellStyle name="Normal 8 2 3 3 7 4" xfId="13306" xr:uid="{61F613C0-B7E2-4B1C-873A-AC1F0A8B1E79}"/>
    <cellStyle name="Normal 8 2 3 3 8" xfId="25977" xr:uid="{6C044053-08D8-48DB-BA31-FEBA47E754AF}"/>
    <cellStyle name="Normal 8 2 3 3 9" xfId="17536" xr:uid="{4317E729-BA55-416C-8D14-FE0A8EA4FE96}"/>
    <cellStyle name="Normal 8 2 3 4" xfId="955" xr:uid="{00000000-0005-0000-0000-0000D01C0000}"/>
    <cellStyle name="Normal 8 2 3 4 2" xfId="3189" xr:uid="{00000000-0005-0000-0000-0000D11C0000}"/>
    <cellStyle name="Normal 8 2 3 4 2 2" xfId="7411" xr:uid="{00000000-0005-0000-0000-0000D21C0000}"/>
    <cellStyle name="Normal 8 2 3 4 2 2 2" xfId="32750" xr:uid="{FBAFDDF9-255E-49C7-BE0F-4A472967B3D6}"/>
    <cellStyle name="Normal 8 2 3 4 2 2 3" xfId="24309" xr:uid="{4D4E7281-B7B3-4F62-ABDF-CF1FEE5E277D}"/>
    <cellStyle name="Normal 8 2 3 4 2 2 4" xfId="15861" xr:uid="{9924FA5C-5B33-438B-8D4B-4E0762E03AD1}"/>
    <cellStyle name="Normal 8 2 3 4 2 3" xfId="28532" xr:uid="{45A3B2D8-22E8-4810-BD68-575E3DF23664}"/>
    <cellStyle name="Normal 8 2 3 4 2 4" xfId="20091" xr:uid="{184F882C-8CF4-4E8B-9135-1BBB65903E3A}"/>
    <cellStyle name="Normal 8 2 3 4 2 5" xfId="11643" xr:uid="{5FA218BA-0504-4D2D-8E84-E27F3DA13C4E}"/>
    <cellStyle name="Normal 8 2 3 4 3" xfId="5266" xr:uid="{00000000-0005-0000-0000-0000D31C0000}"/>
    <cellStyle name="Normal 8 2 3 4 3 2" xfId="30605" xr:uid="{E2ECAED8-0DE7-4B75-9EEF-7D51180CF575}"/>
    <cellStyle name="Normal 8 2 3 4 3 3" xfId="22164" xr:uid="{E65B7488-8AA7-417F-B103-C3637D396ED5}"/>
    <cellStyle name="Normal 8 2 3 4 3 4" xfId="13716" xr:uid="{4E69A5C4-B89D-433E-ABE4-2EBF5C62CCB8}"/>
    <cellStyle name="Normal 8 2 3 4 4" xfId="26387" xr:uid="{B391C707-2F9B-4B97-9212-1EA42181F87C}"/>
    <cellStyle name="Normal 8 2 3 4 5" xfId="17946" xr:uid="{850B99E1-0996-4EE4-A377-2F7994BB3BAB}"/>
    <cellStyle name="Normal 8 2 3 4 6" xfId="9498" xr:uid="{236B7401-08AF-4D62-A4F6-941A2F4E11D0}"/>
    <cellStyle name="Normal 8 2 3 5" xfId="1372" xr:uid="{00000000-0005-0000-0000-0000D41C0000}"/>
    <cellStyle name="Normal 8 2 3 5 2" xfId="3602" xr:uid="{00000000-0005-0000-0000-0000D51C0000}"/>
    <cellStyle name="Normal 8 2 3 5 2 2" xfId="7824" xr:uid="{00000000-0005-0000-0000-0000D61C0000}"/>
    <cellStyle name="Normal 8 2 3 5 2 2 2" xfId="33163" xr:uid="{99E7D17E-A84B-49AD-ACDD-FDC8D6CB37D7}"/>
    <cellStyle name="Normal 8 2 3 5 2 2 3" xfId="24722" xr:uid="{5DD6458E-ED17-4956-843F-938BCD273E69}"/>
    <cellStyle name="Normal 8 2 3 5 2 2 4" xfId="16274" xr:uid="{8787D9F2-5DD1-41E3-86FB-4EC96106A1DC}"/>
    <cellStyle name="Normal 8 2 3 5 2 3" xfId="28945" xr:uid="{EF79F907-27E8-4735-BFD7-6611C9E93E3B}"/>
    <cellStyle name="Normal 8 2 3 5 2 4" xfId="20504" xr:uid="{60CB5471-525C-4FB1-B0F5-4DF25053C46D}"/>
    <cellStyle name="Normal 8 2 3 5 2 5" xfId="12056" xr:uid="{0D493963-F9DF-4484-8787-6CB7C7EBA9B5}"/>
    <cellStyle name="Normal 8 2 3 5 3" xfId="5679" xr:uid="{00000000-0005-0000-0000-0000D71C0000}"/>
    <cellStyle name="Normal 8 2 3 5 3 2" xfId="31018" xr:uid="{D15276E5-B139-4A22-9F03-9BC2B283ED31}"/>
    <cellStyle name="Normal 8 2 3 5 3 3" xfId="22577" xr:uid="{E20DF56C-DCF6-44AC-AA5A-67D20806E222}"/>
    <cellStyle name="Normal 8 2 3 5 3 4" xfId="14129" xr:uid="{FB210B92-7BC4-4770-A723-839C756B8A16}"/>
    <cellStyle name="Normal 8 2 3 5 4" xfId="26800" xr:uid="{4E19C270-E3FE-4CD3-88DB-2A96FA095F5D}"/>
    <cellStyle name="Normal 8 2 3 5 5" xfId="18359" xr:uid="{D1AB6479-053A-4E75-A2EB-01352A5A6774}"/>
    <cellStyle name="Normal 8 2 3 5 6" xfId="9911" xr:uid="{EABAB91E-AA21-4CD8-A77D-8CF87C0E0D35}"/>
    <cellStyle name="Normal 8 2 3 6" xfId="1785" xr:uid="{00000000-0005-0000-0000-0000D81C0000}"/>
    <cellStyle name="Normal 8 2 3 6 2" xfId="4015" xr:uid="{00000000-0005-0000-0000-0000D91C0000}"/>
    <cellStyle name="Normal 8 2 3 6 2 2" xfId="8237" xr:uid="{00000000-0005-0000-0000-0000DA1C0000}"/>
    <cellStyle name="Normal 8 2 3 6 2 2 2" xfId="33576" xr:uid="{5B1272D0-72B0-4A40-A67F-28C45401EBE6}"/>
    <cellStyle name="Normal 8 2 3 6 2 2 3" xfId="25135" xr:uid="{B202CDBD-B6BA-43C6-AC9A-1840A18A7B0D}"/>
    <cellStyle name="Normal 8 2 3 6 2 2 4" xfId="16687" xr:uid="{B900AF89-706E-486B-B932-DD65AD130F89}"/>
    <cellStyle name="Normal 8 2 3 6 2 3" xfId="29358" xr:uid="{F7F31B05-3DB5-4F9E-8095-80E752F05B28}"/>
    <cellStyle name="Normal 8 2 3 6 2 4" xfId="20917" xr:uid="{0E8DF308-B85D-42DA-AA1C-3B47F9869DF6}"/>
    <cellStyle name="Normal 8 2 3 6 2 5" xfId="12469" xr:uid="{812AE504-1AB7-426C-9C6D-32C50DD3BBA4}"/>
    <cellStyle name="Normal 8 2 3 6 3" xfId="6092" xr:uid="{00000000-0005-0000-0000-0000DB1C0000}"/>
    <cellStyle name="Normal 8 2 3 6 3 2" xfId="31431" xr:uid="{9CE46BFF-DEA6-4681-B379-74881AED5E9B}"/>
    <cellStyle name="Normal 8 2 3 6 3 3" xfId="22990" xr:uid="{79579FAB-36B9-4A47-A37D-BE13A0C3B3CD}"/>
    <cellStyle name="Normal 8 2 3 6 3 4" xfId="14542" xr:uid="{3CE8D1B6-6F8A-43F0-B029-6AF7D1207080}"/>
    <cellStyle name="Normal 8 2 3 6 4" xfId="27213" xr:uid="{8B58B851-79A5-440C-A818-2C0B51F1C7F6}"/>
    <cellStyle name="Normal 8 2 3 6 5" xfId="18772" xr:uid="{D4A47741-DBC7-4999-8DE4-45D016604AC2}"/>
    <cellStyle name="Normal 8 2 3 6 6" xfId="10324" xr:uid="{CA7555D3-0349-41D0-B71A-EE178F98C25C}"/>
    <cellStyle name="Normal 8 2 3 7" xfId="2199" xr:uid="{00000000-0005-0000-0000-0000DC1C0000}"/>
    <cellStyle name="Normal 8 2 3 7 2" xfId="4428" xr:uid="{00000000-0005-0000-0000-0000DD1C0000}"/>
    <cellStyle name="Normal 8 2 3 7 2 2" xfId="8650" xr:uid="{00000000-0005-0000-0000-0000DE1C0000}"/>
    <cellStyle name="Normal 8 2 3 7 2 2 2" xfId="33989" xr:uid="{973560D7-C8E7-49EA-8FE3-377F8F2BB125}"/>
    <cellStyle name="Normal 8 2 3 7 2 2 3" xfId="25548" xr:uid="{ECD6B8E6-226A-4D14-AC1A-CEF9BCED6636}"/>
    <cellStyle name="Normal 8 2 3 7 2 2 4" xfId="17100" xr:uid="{7B2E1592-750E-4751-8B27-F6E42CE5CC2F}"/>
    <cellStyle name="Normal 8 2 3 7 2 3" xfId="29771" xr:uid="{45FFB2AD-4DC1-4A2A-8BD6-E79201CD0E85}"/>
    <cellStyle name="Normal 8 2 3 7 2 4" xfId="21330" xr:uid="{83A1AC12-8FA2-4564-A107-E6B918AC60FD}"/>
    <cellStyle name="Normal 8 2 3 7 2 5" xfId="12882" xr:uid="{39304F86-8F09-4D6F-B682-8905AC36B733}"/>
    <cellStyle name="Normal 8 2 3 7 3" xfId="6505" xr:uid="{00000000-0005-0000-0000-0000DF1C0000}"/>
    <cellStyle name="Normal 8 2 3 7 3 2" xfId="31844" xr:uid="{9798344B-1BA3-47B5-AB20-8D0FD181D4A9}"/>
    <cellStyle name="Normal 8 2 3 7 3 3" xfId="23403" xr:uid="{2302C670-154F-472B-9CAB-885BD0F61793}"/>
    <cellStyle name="Normal 8 2 3 7 3 4" xfId="14955" xr:uid="{DC6A6820-5DAE-44E0-9439-58E59797CAA1}"/>
    <cellStyle name="Normal 8 2 3 7 4" xfId="27626" xr:uid="{E525FB2F-2DE1-4992-AB9E-8D639D579D5B}"/>
    <cellStyle name="Normal 8 2 3 7 5" xfId="19185" xr:uid="{98EF8CAF-1DE2-4127-AA45-564514F16B7B}"/>
    <cellStyle name="Normal 8 2 3 7 6" xfId="10737" xr:uid="{25052655-F19A-4B61-881E-1E6C0899EB1F}"/>
    <cellStyle name="Normal 8 2 3 8" xfId="2635" xr:uid="{00000000-0005-0000-0000-0000E01C0000}"/>
    <cellStyle name="Normal 8 2 3 8 2" xfId="6918" xr:uid="{00000000-0005-0000-0000-0000E11C0000}"/>
    <cellStyle name="Normal 8 2 3 8 2 2" xfId="32257" xr:uid="{6A6039FA-F704-4825-B63B-7F7B0C165D65}"/>
    <cellStyle name="Normal 8 2 3 8 2 3" xfId="23816" xr:uid="{04131E5B-AC72-4834-B51F-4FBDD720B8B9}"/>
    <cellStyle name="Normal 8 2 3 8 2 4" xfId="15368" xr:uid="{8A64EB1C-A1AF-4F1E-AA8A-168BBCBAB953}"/>
    <cellStyle name="Normal 8 2 3 8 3" xfId="28039" xr:uid="{15A1A060-6776-473D-949B-C66A3FBFA6C3}"/>
    <cellStyle name="Normal 8 2 3 8 4" xfId="19598" xr:uid="{D36B57D9-65A8-4C3F-90EE-2656AA73BB2E}"/>
    <cellStyle name="Normal 8 2 3 8 5" xfId="11150" xr:uid="{A859A715-8253-4B0D-A7C2-9363458E73F9}"/>
    <cellStyle name="Normal 8 2 3 9" xfId="4853" xr:uid="{00000000-0005-0000-0000-0000E21C0000}"/>
    <cellStyle name="Normal 8 2 3 9 2" xfId="30192" xr:uid="{A9993B26-47E5-440E-99F0-7A2FDDA06850}"/>
    <cellStyle name="Normal 8 2 3 9 3" xfId="21751" xr:uid="{3A47B299-CCB0-4C8C-B97A-79C12034D193}"/>
    <cellStyle name="Normal 8 2 3 9 4" xfId="13303" xr:uid="{FFD836B5-A29C-4EB7-A948-D60E41315D3C}"/>
    <cellStyle name="Normal 8 2 4" xfId="492" xr:uid="{00000000-0005-0000-0000-0000E31C0000}"/>
    <cellStyle name="Normal 8 2 4 10" xfId="17537" xr:uid="{0D1A7E5F-DCA7-4ED8-98D0-C76DE01E319D}"/>
    <cellStyle name="Normal 8 2 4 11" xfId="9089" xr:uid="{A0A34716-FA34-40E3-88C3-D195F91BCE42}"/>
    <cellStyle name="Normal 8 2 4 2" xfId="493" xr:uid="{00000000-0005-0000-0000-0000E41C0000}"/>
    <cellStyle name="Normal 8 2 4 2 10" xfId="9090" xr:uid="{C20FDD89-1FE6-4B80-9496-7475DAEB22CD}"/>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32755" xr:uid="{43D09A2D-F184-4220-A71E-971286ACB1A3}"/>
    <cellStyle name="Normal 8 2 4 2 2 2 2 3" xfId="24314" xr:uid="{9D5B22C5-4AEB-4AB9-BE3B-35E343047731}"/>
    <cellStyle name="Normal 8 2 4 2 2 2 2 4" xfId="15866" xr:uid="{30ABAB05-2DAA-4993-A8EB-D19B768F8EBB}"/>
    <cellStyle name="Normal 8 2 4 2 2 2 3" xfId="28537" xr:uid="{42C57A79-1D8E-4FC4-99F5-8F5697D8D56E}"/>
    <cellStyle name="Normal 8 2 4 2 2 2 4" xfId="20096" xr:uid="{7E7506AD-F6D0-4FDF-ABD2-20174B6DF57F}"/>
    <cellStyle name="Normal 8 2 4 2 2 2 5" xfId="11648" xr:uid="{8996B219-B8A2-480C-A95E-31534AE75DFE}"/>
    <cellStyle name="Normal 8 2 4 2 2 3" xfId="5271" xr:uid="{00000000-0005-0000-0000-0000E81C0000}"/>
    <cellStyle name="Normal 8 2 4 2 2 3 2" xfId="30610" xr:uid="{EC13E8E5-B2C9-4174-A300-B6D121AA5720}"/>
    <cellStyle name="Normal 8 2 4 2 2 3 3" xfId="22169" xr:uid="{14F39F5E-37E1-420D-BF95-137E2ADEE7AA}"/>
    <cellStyle name="Normal 8 2 4 2 2 3 4" xfId="13721" xr:uid="{3D3F9E7B-BA5C-4D13-AECC-8F7CF08682B6}"/>
    <cellStyle name="Normal 8 2 4 2 2 4" xfId="26392" xr:uid="{EFB5DBB0-53F4-452E-800F-C0E4F0824C6E}"/>
    <cellStyle name="Normal 8 2 4 2 2 5" xfId="17951" xr:uid="{F1257196-8981-413D-AE1A-445563C5E8D1}"/>
    <cellStyle name="Normal 8 2 4 2 2 6" xfId="9503" xr:uid="{30C0C76C-C4EA-4C3D-B66E-540494F2912E}"/>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33168" xr:uid="{7FF3BAA2-199A-426F-B05F-30830E6F7A44}"/>
    <cellStyle name="Normal 8 2 4 2 3 2 2 3" xfId="24727" xr:uid="{9F5CC754-B946-4504-952F-D995BEFE6EBA}"/>
    <cellStyle name="Normal 8 2 4 2 3 2 2 4" xfId="16279" xr:uid="{1E8F770A-8A7C-413C-95C2-51457F8C8167}"/>
    <cellStyle name="Normal 8 2 4 2 3 2 3" xfId="28950" xr:uid="{F16D1358-7994-4526-BD5F-D279D68315C1}"/>
    <cellStyle name="Normal 8 2 4 2 3 2 4" xfId="20509" xr:uid="{F23FF916-CEF3-404A-88FF-ED1699B612DF}"/>
    <cellStyle name="Normal 8 2 4 2 3 2 5" xfId="12061" xr:uid="{84AE3A06-BA0D-4264-9BD3-894F35D0E362}"/>
    <cellStyle name="Normal 8 2 4 2 3 3" xfId="5684" xr:uid="{00000000-0005-0000-0000-0000EC1C0000}"/>
    <cellStyle name="Normal 8 2 4 2 3 3 2" xfId="31023" xr:uid="{411443A5-EAF2-499B-996F-C7BAEB95D182}"/>
    <cellStyle name="Normal 8 2 4 2 3 3 3" xfId="22582" xr:uid="{4BB62999-5239-46F4-921B-1091A6572A3C}"/>
    <cellStyle name="Normal 8 2 4 2 3 3 4" xfId="14134" xr:uid="{43AFCB12-FF17-4EC4-A8E1-227383BF94DF}"/>
    <cellStyle name="Normal 8 2 4 2 3 4" xfId="26805" xr:uid="{070C7EFF-4B6C-4415-936E-3B2901560FEA}"/>
    <cellStyle name="Normal 8 2 4 2 3 5" xfId="18364" xr:uid="{6DE78987-C0F3-4A2F-A20D-60B4C2FE244B}"/>
    <cellStyle name="Normal 8 2 4 2 3 6" xfId="9916" xr:uid="{D0BCAA78-9362-45E1-8885-B2EB4C6A22C9}"/>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33581" xr:uid="{328FC183-440A-4025-A1D3-51DD0C80302E}"/>
    <cellStyle name="Normal 8 2 4 2 4 2 2 3" xfId="25140" xr:uid="{34B63F36-168E-4252-86AE-2C5248DFE5E1}"/>
    <cellStyle name="Normal 8 2 4 2 4 2 2 4" xfId="16692" xr:uid="{4AECE309-EE0B-4B5D-939B-CAF5D391C13C}"/>
    <cellStyle name="Normal 8 2 4 2 4 2 3" xfId="29363" xr:uid="{D19A5918-B068-400F-AA76-35ECCD03C8B1}"/>
    <cellStyle name="Normal 8 2 4 2 4 2 4" xfId="20922" xr:uid="{1C299B66-12B6-4FA5-AB66-0516F27DF5CE}"/>
    <cellStyle name="Normal 8 2 4 2 4 2 5" xfId="12474" xr:uid="{BF1CA386-6F78-4AB6-90DF-108727B91343}"/>
    <cellStyle name="Normal 8 2 4 2 4 3" xfId="6097" xr:uid="{00000000-0005-0000-0000-0000F01C0000}"/>
    <cellStyle name="Normal 8 2 4 2 4 3 2" xfId="31436" xr:uid="{6064C5D5-E106-46C4-8991-376188F536D1}"/>
    <cellStyle name="Normal 8 2 4 2 4 3 3" xfId="22995" xr:uid="{27583287-87C4-431C-82BE-07867021FD82}"/>
    <cellStyle name="Normal 8 2 4 2 4 3 4" xfId="14547" xr:uid="{39B39B3C-D867-4003-A43E-64D8FA1C78C0}"/>
    <cellStyle name="Normal 8 2 4 2 4 4" xfId="27218" xr:uid="{407E96F3-49E5-4387-9193-B81D2FF31A2F}"/>
    <cellStyle name="Normal 8 2 4 2 4 5" xfId="18777" xr:uid="{F88EA0ED-F9F9-445E-8D00-6E7D3667EE6C}"/>
    <cellStyle name="Normal 8 2 4 2 4 6" xfId="10329" xr:uid="{AA217D53-6A22-4066-816C-8E8309873767}"/>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33994" xr:uid="{282664C8-421E-4F07-9605-9D663B5943F0}"/>
    <cellStyle name="Normal 8 2 4 2 5 2 2 3" xfId="25553" xr:uid="{DF400CD8-7613-436E-A1A4-D77C3C7FB921}"/>
    <cellStyle name="Normal 8 2 4 2 5 2 2 4" xfId="17105" xr:uid="{43FFFFF9-BF7C-4E8F-A174-EA00A820E31B}"/>
    <cellStyle name="Normal 8 2 4 2 5 2 3" xfId="29776" xr:uid="{87C4F23C-79CB-4F7E-B5B1-AC6822874825}"/>
    <cellStyle name="Normal 8 2 4 2 5 2 4" xfId="21335" xr:uid="{832A18BB-58BC-427B-BF25-DC1F1BD7F57F}"/>
    <cellStyle name="Normal 8 2 4 2 5 2 5" xfId="12887" xr:uid="{120FB8F0-8EED-4451-A3F6-E5BCFB346C8D}"/>
    <cellStyle name="Normal 8 2 4 2 5 3" xfId="6510" xr:uid="{00000000-0005-0000-0000-0000F41C0000}"/>
    <cellStyle name="Normal 8 2 4 2 5 3 2" xfId="31849" xr:uid="{A52476B7-DA68-4113-B13E-943CBE7D3D57}"/>
    <cellStyle name="Normal 8 2 4 2 5 3 3" xfId="23408" xr:uid="{742A3C59-660C-48CE-8FAC-D0D16615DE02}"/>
    <cellStyle name="Normal 8 2 4 2 5 3 4" xfId="14960" xr:uid="{6E5D41B4-AEBC-4D9D-BB5F-428163918ACE}"/>
    <cellStyle name="Normal 8 2 4 2 5 4" xfId="27631" xr:uid="{8A5F0D36-8ADB-4B8B-89F3-39C18982C31F}"/>
    <cellStyle name="Normal 8 2 4 2 5 5" xfId="19190" xr:uid="{735BEB3E-65F7-4724-A768-F52FCAE32778}"/>
    <cellStyle name="Normal 8 2 4 2 5 6" xfId="10742" xr:uid="{38545283-A747-40B9-9C84-C67C1D3906E0}"/>
    <cellStyle name="Normal 8 2 4 2 6" xfId="2640" xr:uid="{00000000-0005-0000-0000-0000F51C0000}"/>
    <cellStyle name="Normal 8 2 4 2 6 2" xfId="6923" xr:uid="{00000000-0005-0000-0000-0000F61C0000}"/>
    <cellStyle name="Normal 8 2 4 2 6 2 2" xfId="32262" xr:uid="{76E3EA2B-AABE-43C3-B807-BB09962F2C30}"/>
    <cellStyle name="Normal 8 2 4 2 6 2 3" xfId="23821" xr:uid="{F2B3390E-263D-4BAA-9F93-650660830D84}"/>
    <cellStyle name="Normal 8 2 4 2 6 2 4" xfId="15373" xr:uid="{CE24ACE4-0AF6-4E62-BB78-9C17896A08EE}"/>
    <cellStyle name="Normal 8 2 4 2 6 3" xfId="28044" xr:uid="{7F7A8E57-4DF4-4144-B132-AEFDBD850F13}"/>
    <cellStyle name="Normal 8 2 4 2 6 4" xfId="19603" xr:uid="{66CFD59E-B149-464B-88D7-F34C9A21E882}"/>
    <cellStyle name="Normal 8 2 4 2 6 5" xfId="11155" xr:uid="{0001E609-5D3D-4173-A9A5-6E313FD50CF0}"/>
    <cellStyle name="Normal 8 2 4 2 7" xfId="4858" xr:uid="{00000000-0005-0000-0000-0000F71C0000}"/>
    <cellStyle name="Normal 8 2 4 2 7 2" xfId="30197" xr:uid="{D58618D6-E06A-4205-BF0F-BACB976CA386}"/>
    <cellStyle name="Normal 8 2 4 2 7 3" xfId="21756" xr:uid="{082A863D-4406-4D18-929C-61D1222DABB7}"/>
    <cellStyle name="Normal 8 2 4 2 7 4" xfId="13308" xr:uid="{A174D191-AE10-48BD-ACB1-F8EEE61EF2EB}"/>
    <cellStyle name="Normal 8 2 4 2 8" xfId="25979" xr:uid="{87A61F8A-4959-4269-AD4C-2C40D0C9CD59}"/>
    <cellStyle name="Normal 8 2 4 2 9" xfId="17538" xr:uid="{CDEDAFE6-B43D-4A10-A8AD-7855DCBDCE62}"/>
    <cellStyle name="Normal 8 2 4 3" xfId="959" xr:uid="{00000000-0005-0000-0000-0000F81C0000}"/>
    <cellStyle name="Normal 8 2 4 3 2" xfId="3193" xr:uid="{00000000-0005-0000-0000-0000F91C0000}"/>
    <cellStyle name="Normal 8 2 4 3 2 2" xfId="7415" xr:uid="{00000000-0005-0000-0000-0000FA1C0000}"/>
    <cellStyle name="Normal 8 2 4 3 2 2 2" xfId="32754" xr:uid="{97041989-7E3C-4CD7-8293-39CF053D3C3C}"/>
    <cellStyle name="Normal 8 2 4 3 2 2 3" xfId="24313" xr:uid="{A742437F-9B03-43A0-B38F-9A618CD13D58}"/>
    <cellStyle name="Normal 8 2 4 3 2 2 4" xfId="15865" xr:uid="{FDF47DAF-2DB4-4126-ABE2-A4193C525648}"/>
    <cellStyle name="Normal 8 2 4 3 2 3" xfId="28536" xr:uid="{EA3A96B6-A8D4-438C-A332-0977D5C1021A}"/>
    <cellStyle name="Normal 8 2 4 3 2 4" xfId="20095" xr:uid="{74535EDA-AA96-41DB-91CC-816B7A898735}"/>
    <cellStyle name="Normal 8 2 4 3 2 5" xfId="11647" xr:uid="{E80F4B0A-CCC7-40F6-9E5A-51F015736B44}"/>
    <cellStyle name="Normal 8 2 4 3 3" xfId="5270" xr:uid="{00000000-0005-0000-0000-0000FB1C0000}"/>
    <cellStyle name="Normal 8 2 4 3 3 2" xfId="30609" xr:uid="{B148531A-5C79-498A-A379-1B8F76BD75FE}"/>
    <cellStyle name="Normal 8 2 4 3 3 3" xfId="22168" xr:uid="{8165CF77-9BD7-46D8-B4FA-080F66D04772}"/>
    <cellStyle name="Normal 8 2 4 3 3 4" xfId="13720" xr:uid="{114F13BA-8CF0-4E4A-8ED1-ECBDDE344A43}"/>
    <cellStyle name="Normal 8 2 4 3 4" xfId="26391" xr:uid="{95407344-BC14-4E8C-B1BE-01A2C77B546A}"/>
    <cellStyle name="Normal 8 2 4 3 5" xfId="17950" xr:uid="{847EFFF7-2264-40E3-8244-0928D1B1711C}"/>
    <cellStyle name="Normal 8 2 4 3 6" xfId="9502" xr:uid="{42CDF92C-6A4E-49ED-A729-D7EC3032DE9C}"/>
    <cellStyle name="Normal 8 2 4 4" xfId="1376" xr:uid="{00000000-0005-0000-0000-0000FC1C0000}"/>
    <cellStyle name="Normal 8 2 4 4 2" xfId="3606" xr:uid="{00000000-0005-0000-0000-0000FD1C0000}"/>
    <cellStyle name="Normal 8 2 4 4 2 2" xfId="7828" xr:uid="{00000000-0005-0000-0000-0000FE1C0000}"/>
    <cellStyle name="Normal 8 2 4 4 2 2 2" xfId="33167" xr:uid="{5E9E9FF7-7F8E-4123-A6AB-1961D85CA598}"/>
    <cellStyle name="Normal 8 2 4 4 2 2 3" xfId="24726" xr:uid="{3EBC3F3B-8F8A-4C31-B676-29E53D2DA359}"/>
    <cellStyle name="Normal 8 2 4 4 2 2 4" xfId="16278" xr:uid="{04A5E9A2-B748-495E-B192-A3D5C30A3242}"/>
    <cellStyle name="Normal 8 2 4 4 2 3" xfId="28949" xr:uid="{5C17ECC6-3BCF-4BA1-B9AA-B1DF39CFCED9}"/>
    <cellStyle name="Normal 8 2 4 4 2 4" xfId="20508" xr:uid="{8A09F7B0-283E-4A8A-BF4F-ED4F64F7FBB7}"/>
    <cellStyle name="Normal 8 2 4 4 2 5" xfId="12060" xr:uid="{3787B79F-76DC-400C-BE5E-5D6F22993C07}"/>
    <cellStyle name="Normal 8 2 4 4 3" xfId="5683" xr:uid="{00000000-0005-0000-0000-0000FF1C0000}"/>
    <cellStyle name="Normal 8 2 4 4 3 2" xfId="31022" xr:uid="{A9012D13-9ACC-4669-9443-59AD4032152F}"/>
    <cellStyle name="Normal 8 2 4 4 3 3" xfId="22581" xr:uid="{33216934-2125-46A5-A0D8-9C4CCE72AEFE}"/>
    <cellStyle name="Normal 8 2 4 4 3 4" xfId="14133" xr:uid="{637D08A6-7E48-49A2-B7B5-DD3B47717E01}"/>
    <cellStyle name="Normal 8 2 4 4 4" xfId="26804" xr:uid="{83558F59-D712-4243-B2E7-F2EFE52F4FAE}"/>
    <cellStyle name="Normal 8 2 4 4 5" xfId="18363" xr:uid="{6A264B7B-4987-4E8C-91FD-F7775E2D0595}"/>
    <cellStyle name="Normal 8 2 4 4 6" xfId="9915" xr:uid="{720C48CE-D8A0-4FE7-9249-C8D7E2CCD643}"/>
    <cellStyle name="Normal 8 2 4 5" xfId="1789" xr:uid="{00000000-0005-0000-0000-0000001D0000}"/>
    <cellStyle name="Normal 8 2 4 5 2" xfId="4019" xr:uid="{00000000-0005-0000-0000-0000011D0000}"/>
    <cellStyle name="Normal 8 2 4 5 2 2" xfId="8241" xr:uid="{00000000-0005-0000-0000-0000021D0000}"/>
    <cellStyle name="Normal 8 2 4 5 2 2 2" xfId="33580" xr:uid="{57645ABB-BDB5-49A9-AF8B-5929901A7B46}"/>
    <cellStyle name="Normal 8 2 4 5 2 2 3" xfId="25139" xr:uid="{7322A0A0-D659-41E5-949D-D2D1C5DD64F0}"/>
    <cellStyle name="Normal 8 2 4 5 2 2 4" xfId="16691" xr:uid="{17ED8E36-73BC-475E-B8B8-EF93B87F7B47}"/>
    <cellStyle name="Normal 8 2 4 5 2 3" xfId="29362" xr:uid="{6F4B5354-7AF2-4BB5-B630-2AB510408F6B}"/>
    <cellStyle name="Normal 8 2 4 5 2 4" xfId="20921" xr:uid="{CDBE2870-AC97-405D-BCF9-C0475E761DBD}"/>
    <cellStyle name="Normal 8 2 4 5 2 5" xfId="12473" xr:uid="{79A6C71B-A1AC-41D3-8F5C-7314B5092963}"/>
    <cellStyle name="Normal 8 2 4 5 3" xfId="6096" xr:uid="{00000000-0005-0000-0000-0000031D0000}"/>
    <cellStyle name="Normal 8 2 4 5 3 2" xfId="31435" xr:uid="{896CDCEF-391D-4B5B-982B-10ED0F5DD370}"/>
    <cellStyle name="Normal 8 2 4 5 3 3" xfId="22994" xr:uid="{D66027AB-EFCC-448F-AD72-C37538080D88}"/>
    <cellStyle name="Normal 8 2 4 5 3 4" xfId="14546" xr:uid="{096B1511-7AD4-4830-8A21-297EE1BBEFFA}"/>
    <cellStyle name="Normal 8 2 4 5 4" xfId="27217" xr:uid="{754A2A51-BAF4-4808-A384-26275222FA61}"/>
    <cellStyle name="Normal 8 2 4 5 5" xfId="18776" xr:uid="{53C5EE8B-AFBD-4635-9750-DEABF9F029DC}"/>
    <cellStyle name="Normal 8 2 4 5 6" xfId="10328" xr:uid="{2EB4E815-2771-409D-9BEC-B96EC4103D1D}"/>
    <cellStyle name="Normal 8 2 4 6" xfId="2203" xr:uid="{00000000-0005-0000-0000-0000041D0000}"/>
    <cellStyle name="Normal 8 2 4 6 2" xfId="4432" xr:uid="{00000000-0005-0000-0000-0000051D0000}"/>
    <cellStyle name="Normal 8 2 4 6 2 2" xfId="8654" xr:uid="{00000000-0005-0000-0000-0000061D0000}"/>
    <cellStyle name="Normal 8 2 4 6 2 2 2" xfId="33993" xr:uid="{ED5D1F51-0FB5-40D9-8BA6-07F3B5B27BA8}"/>
    <cellStyle name="Normal 8 2 4 6 2 2 3" xfId="25552" xr:uid="{3DE7C92B-4ED1-4909-967D-498936E18506}"/>
    <cellStyle name="Normal 8 2 4 6 2 2 4" xfId="17104" xr:uid="{36188CCD-04BA-4947-80BC-7C2C29C3AD18}"/>
    <cellStyle name="Normal 8 2 4 6 2 3" xfId="29775" xr:uid="{10D16C8F-4DD3-4901-B93C-AA01DE249D46}"/>
    <cellStyle name="Normal 8 2 4 6 2 4" xfId="21334" xr:uid="{E8EA9F11-2B61-4C2A-B5C9-86AEE59AF654}"/>
    <cellStyle name="Normal 8 2 4 6 2 5" xfId="12886" xr:uid="{AAAFDA4B-E848-4BF5-8F1A-46955AEE7D2D}"/>
    <cellStyle name="Normal 8 2 4 6 3" xfId="6509" xr:uid="{00000000-0005-0000-0000-0000071D0000}"/>
    <cellStyle name="Normal 8 2 4 6 3 2" xfId="31848" xr:uid="{7A70217D-86CD-4683-80F4-1E82D17D175B}"/>
    <cellStyle name="Normal 8 2 4 6 3 3" xfId="23407" xr:uid="{27F73728-FAC7-4D1A-8D30-D156442BAB72}"/>
    <cellStyle name="Normal 8 2 4 6 3 4" xfId="14959" xr:uid="{94F758D2-2586-48A4-A39A-66558955BFCE}"/>
    <cellStyle name="Normal 8 2 4 6 4" xfId="27630" xr:uid="{1ABB7DA2-A65F-4C6F-80BD-01682BEAC4AF}"/>
    <cellStyle name="Normal 8 2 4 6 5" xfId="19189" xr:uid="{193CA777-9885-4304-A019-263A7D5A3EA6}"/>
    <cellStyle name="Normal 8 2 4 6 6" xfId="10741" xr:uid="{A3808C1C-7C6B-48F9-9A2D-BFC6310A53C9}"/>
    <cellStyle name="Normal 8 2 4 7" xfId="2639" xr:uid="{00000000-0005-0000-0000-0000081D0000}"/>
    <cellStyle name="Normal 8 2 4 7 2" xfId="6922" xr:uid="{00000000-0005-0000-0000-0000091D0000}"/>
    <cellStyle name="Normal 8 2 4 7 2 2" xfId="32261" xr:uid="{900BA319-C707-4D7E-80CD-ABB2FA1E9AF1}"/>
    <cellStyle name="Normal 8 2 4 7 2 3" xfId="23820" xr:uid="{0AB761DE-9722-484C-ACA5-AE6F2F380EA4}"/>
    <cellStyle name="Normal 8 2 4 7 2 4" xfId="15372" xr:uid="{975E2685-A813-4FDD-999A-4DBE73F3AB26}"/>
    <cellStyle name="Normal 8 2 4 7 3" xfId="28043" xr:uid="{50C787A8-2B62-4499-AE0A-B13B9986C948}"/>
    <cellStyle name="Normal 8 2 4 7 4" xfId="19602" xr:uid="{FC8711F4-2178-4833-8342-0A79FB815820}"/>
    <cellStyle name="Normal 8 2 4 7 5" xfId="11154" xr:uid="{EB8534FF-A79B-4127-84EF-623C27142D0D}"/>
    <cellStyle name="Normal 8 2 4 8" xfId="4857" xr:uid="{00000000-0005-0000-0000-00000A1D0000}"/>
    <cellStyle name="Normal 8 2 4 8 2" xfId="30196" xr:uid="{FFBD9381-BC62-4A13-A6E9-490766FCF288}"/>
    <cellStyle name="Normal 8 2 4 8 3" xfId="21755" xr:uid="{78568DC2-063B-4FB8-9EC2-1D0E78DB2E71}"/>
    <cellStyle name="Normal 8 2 4 8 4" xfId="13307" xr:uid="{AE285CA6-6F2D-4CD4-8CFA-3C50D70D1B6A}"/>
    <cellStyle name="Normal 8 2 4 9" xfId="25978" xr:uid="{F00BAFBC-7997-49CF-B6B0-0886E95464BE}"/>
    <cellStyle name="Normal 8 2 5" xfId="494" xr:uid="{00000000-0005-0000-0000-00000B1D0000}"/>
    <cellStyle name="Normal 8 2 5 10" xfId="9091" xr:uid="{83C12A68-3C4A-49A6-8894-20AB0952F96A}"/>
    <cellStyle name="Normal 8 2 5 2" xfId="961" xr:uid="{00000000-0005-0000-0000-00000C1D0000}"/>
    <cellStyle name="Normal 8 2 5 2 2" xfId="3195" xr:uid="{00000000-0005-0000-0000-00000D1D0000}"/>
    <cellStyle name="Normal 8 2 5 2 2 2" xfId="7417" xr:uid="{00000000-0005-0000-0000-00000E1D0000}"/>
    <cellStyle name="Normal 8 2 5 2 2 2 2" xfId="32756" xr:uid="{77BB55FD-39EF-4424-9BBD-4384833E5839}"/>
    <cellStyle name="Normal 8 2 5 2 2 2 3" xfId="24315" xr:uid="{272C9798-8AA5-4D11-8F74-57934CFE30FB}"/>
    <cellStyle name="Normal 8 2 5 2 2 2 4" xfId="15867" xr:uid="{65ADB60B-C7F7-415E-9AA1-E945AB561B24}"/>
    <cellStyle name="Normal 8 2 5 2 2 3" xfId="28538" xr:uid="{41D2D7ED-940A-4107-81EE-AFD75AC3BA99}"/>
    <cellStyle name="Normal 8 2 5 2 2 4" xfId="20097" xr:uid="{A70DA857-B686-42F2-B902-53B75D224F65}"/>
    <cellStyle name="Normal 8 2 5 2 2 5" xfId="11649" xr:uid="{A0D258FB-8FD1-4EEA-A7A1-3A5F7B440069}"/>
    <cellStyle name="Normal 8 2 5 2 3" xfId="5272" xr:uid="{00000000-0005-0000-0000-00000F1D0000}"/>
    <cellStyle name="Normal 8 2 5 2 3 2" xfId="30611" xr:uid="{A3BC2EB3-02DF-437C-B43A-00A5BDE72E5B}"/>
    <cellStyle name="Normal 8 2 5 2 3 3" xfId="22170" xr:uid="{28CADE5F-AE68-452B-AC89-4726109B2771}"/>
    <cellStyle name="Normal 8 2 5 2 3 4" xfId="13722" xr:uid="{C4BAB41B-0ADD-4614-8001-A740193E3C22}"/>
    <cellStyle name="Normal 8 2 5 2 4" xfId="26393" xr:uid="{30070764-63AD-4BFC-9FC4-C8A097DBEAB1}"/>
    <cellStyle name="Normal 8 2 5 2 5" xfId="17952" xr:uid="{CBA63F44-7514-4A64-B3B1-159FFBB37271}"/>
    <cellStyle name="Normal 8 2 5 2 6" xfId="9504" xr:uid="{9C878DFB-6CFB-403C-A243-82226113AA6D}"/>
    <cellStyle name="Normal 8 2 5 3" xfId="1378" xr:uid="{00000000-0005-0000-0000-0000101D0000}"/>
    <cellStyle name="Normal 8 2 5 3 2" xfId="3608" xr:uid="{00000000-0005-0000-0000-0000111D0000}"/>
    <cellStyle name="Normal 8 2 5 3 2 2" xfId="7830" xr:uid="{00000000-0005-0000-0000-0000121D0000}"/>
    <cellStyle name="Normal 8 2 5 3 2 2 2" xfId="33169" xr:uid="{8115B556-ABF8-4BBB-B32C-33842211F666}"/>
    <cellStyle name="Normal 8 2 5 3 2 2 3" xfId="24728" xr:uid="{37612A4F-B979-452F-894B-D6942CC962AD}"/>
    <cellStyle name="Normal 8 2 5 3 2 2 4" xfId="16280" xr:uid="{2FEC0809-4ECD-4516-95A0-C9D4BD3589A6}"/>
    <cellStyle name="Normal 8 2 5 3 2 3" xfId="28951" xr:uid="{72C34D4B-B179-4846-ADF9-434793927B76}"/>
    <cellStyle name="Normal 8 2 5 3 2 4" xfId="20510" xr:uid="{9D758A49-C0D4-4874-B9E4-22654F7047A1}"/>
    <cellStyle name="Normal 8 2 5 3 2 5" xfId="12062" xr:uid="{921EB986-ADD5-43AC-8959-ADD40DEA679B}"/>
    <cellStyle name="Normal 8 2 5 3 3" xfId="5685" xr:uid="{00000000-0005-0000-0000-0000131D0000}"/>
    <cellStyle name="Normal 8 2 5 3 3 2" xfId="31024" xr:uid="{9E7EF473-5255-428C-AF6E-26540EE9FFEC}"/>
    <cellStyle name="Normal 8 2 5 3 3 3" xfId="22583" xr:uid="{978C7673-5D5C-4A40-BA47-E9F38383E2DB}"/>
    <cellStyle name="Normal 8 2 5 3 3 4" xfId="14135" xr:uid="{14D4AB3A-8346-4ED4-9863-F5AE1B936EFE}"/>
    <cellStyle name="Normal 8 2 5 3 4" xfId="26806" xr:uid="{EE60E635-424E-45B1-8447-9D251337F0F9}"/>
    <cellStyle name="Normal 8 2 5 3 5" xfId="18365" xr:uid="{6B11EB77-4E61-4C26-8146-E07B8013F71D}"/>
    <cellStyle name="Normal 8 2 5 3 6" xfId="9917" xr:uid="{8B565242-6E9E-4082-B282-65767D05C547}"/>
    <cellStyle name="Normal 8 2 5 4" xfId="1791" xr:uid="{00000000-0005-0000-0000-0000141D0000}"/>
    <cellStyle name="Normal 8 2 5 4 2" xfId="4021" xr:uid="{00000000-0005-0000-0000-0000151D0000}"/>
    <cellStyle name="Normal 8 2 5 4 2 2" xfId="8243" xr:uid="{00000000-0005-0000-0000-0000161D0000}"/>
    <cellStyle name="Normal 8 2 5 4 2 2 2" xfId="33582" xr:uid="{56A37A27-9A20-41B0-93BA-77D2CEB1DE2F}"/>
    <cellStyle name="Normal 8 2 5 4 2 2 3" xfId="25141" xr:uid="{A6C2CEB2-2BCF-43C8-9B39-39FAB6725F0F}"/>
    <cellStyle name="Normal 8 2 5 4 2 2 4" xfId="16693" xr:uid="{ABBBDC4F-C671-4C78-87F6-FF4B6B4C0E57}"/>
    <cellStyle name="Normal 8 2 5 4 2 3" xfId="29364" xr:uid="{FB30F749-0319-45A0-8AB3-3222935830AA}"/>
    <cellStyle name="Normal 8 2 5 4 2 4" xfId="20923" xr:uid="{34146332-9F03-4100-9F1A-E4C6AD269C21}"/>
    <cellStyle name="Normal 8 2 5 4 2 5" xfId="12475" xr:uid="{120F1731-655B-4956-AEF5-787E9AAD5083}"/>
    <cellStyle name="Normal 8 2 5 4 3" xfId="6098" xr:uid="{00000000-0005-0000-0000-0000171D0000}"/>
    <cellStyle name="Normal 8 2 5 4 3 2" xfId="31437" xr:uid="{5C06099D-5D64-4EAD-98B0-CE4604A7B21D}"/>
    <cellStyle name="Normal 8 2 5 4 3 3" xfId="22996" xr:uid="{41667875-AD9C-4D53-866F-2AEB8E616DCA}"/>
    <cellStyle name="Normal 8 2 5 4 3 4" xfId="14548" xr:uid="{4CFEE508-0FE4-4C72-AEBE-713F9E941D29}"/>
    <cellStyle name="Normal 8 2 5 4 4" xfId="27219" xr:uid="{1F689CF8-EBC8-4AF8-B9DB-B4DB8472F0CB}"/>
    <cellStyle name="Normal 8 2 5 4 5" xfId="18778" xr:uid="{D99A14A3-AB44-491C-BFEE-97DD079492EA}"/>
    <cellStyle name="Normal 8 2 5 4 6" xfId="10330" xr:uid="{E72F0568-7878-4116-9334-7EE91E601E68}"/>
    <cellStyle name="Normal 8 2 5 5" xfId="2205" xr:uid="{00000000-0005-0000-0000-0000181D0000}"/>
    <cellStyle name="Normal 8 2 5 5 2" xfId="4434" xr:uid="{00000000-0005-0000-0000-0000191D0000}"/>
    <cellStyle name="Normal 8 2 5 5 2 2" xfId="8656" xr:uid="{00000000-0005-0000-0000-00001A1D0000}"/>
    <cellStyle name="Normal 8 2 5 5 2 2 2" xfId="33995" xr:uid="{A1FC1428-2E21-4C0E-B17A-A8B05690ED7C}"/>
    <cellStyle name="Normal 8 2 5 5 2 2 3" xfId="25554" xr:uid="{ABCE993B-2863-4779-B027-124E2336CCC4}"/>
    <cellStyle name="Normal 8 2 5 5 2 2 4" xfId="17106" xr:uid="{C85CEF27-1F87-48F4-AE3A-264486D6640B}"/>
    <cellStyle name="Normal 8 2 5 5 2 3" xfId="29777" xr:uid="{C940DC66-AE9E-4FA5-ADC1-5FABCADE50A4}"/>
    <cellStyle name="Normal 8 2 5 5 2 4" xfId="21336" xr:uid="{95A20C53-6E95-4693-8244-A1E2FE62F3FC}"/>
    <cellStyle name="Normal 8 2 5 5 2 5" xfId="12888" xr:uid="{8AC3BE86-D00C-4EF3-98EF-A5203129D379}"/>
    <cellStyle name="Normal 8 2 5 5 3" xfId="6511" xr:uid="{00000000-0005-0000-0000-00001B1D0000}"/>
    <cellStyle name="Normal 8 2 5 5 3 2" xfId="31850" xr:uid="{8154669C-571B-4198-8573-080C0FCE0C97}"/>
    <cellStyle name="Normal 8 2 5 5 3 3" xfId="23409" xr:uid="{C1D47BCD-DC43-49C8-BB86-97C298A56A4A}"/>
    <cellStyle name="Normal 8 2 5 5 3 4" xfId="14961" xr:uid="{4C0A1A33-96C6-4137-8454-DD3E1DD2F336}"/>
    <cellStyle name="Normal 8 2 5 5 4" xfId="27632" xr:uid="{9E676C69-D971-4FA8-97F7-DF87C925DD7D}"/>
    <cellStyle name="Normal 8 2 5 5 5" xfId="19191" xr:uid="{F2E5791A-1680-4FAB-8E11-A537D8B1B6BD}"/>
    <cellStyle name="Normal 8 2 5 5 6" xfId="10743" xr:uid="{DF5819B9-5BAB-463A-94B9-3E7882FE14A7}"/>
    <cellStyle name="Normal 8 2 5 6" xfId="2641" xr:uid="{00000000-0005-0000-0000-00001C1D0000}"/>
    <cellStyle name="Normal 8 2 5 6 2" xfId="6924" xr:uid="{00000000-0005-0000-0000-00001D1D0000}"/>
    <cellStyle name="Normal 8 2 5 6 2 2" xfId="32263" xr:uid="{C02AE3E4-E29E-47F1-99CB-E2D25AFF2BCC}"/>
    <cellStyle name="Normal 8 2 5 6 2 3" xfId="23822" xr:uid="{45049D4F-B8EA-4F01-A521-C7144A282889}"/>
    <cellStyle name="Normal 8 2 5 6 2 4" xfId="15374" xr:uid="{D4912CAD-D102-4D87-B2CD-0874800D7450}"/>
    <cellStyle name="Normal 8 2 5 6 3" xfId="28045" xr:uid="{CCAD4D12-2E18-4A57-ADF7-C92A7B802C5C}"/>
    <cellStyle name="Normal 8 2 5 6 4" xfId="19604" xr:uid="{F0B2FECA-15A7-4437-9543-4DDF5C1D945E}"/>
    <cellStyle name="Normal 8 2 5 6 5" xfId="11156" xr:uid="{01ACD648-8B55-4696-BF51-ADF23616DB72}"/>
    <cellStyle name="Normal 8 2 5 7" xfId="4859" xr:uid="{00000000-0005-0000-0000-00001E1D0000}"/>
    <cellStyle name="Normal 8 2 5 7 2" xfId="30198" xr:uid="{F1E5BFEF-7EC1-439B-B6EF-23359465A3FD}"/>
    <cellStyle name="Normal 8 2 5 7 3" xfId="21757" xr:uid="{CAFD9053-7FC5-42F1-AB60-7CAC2D3CD79F}"/>
    <cellStyle name="Normal 8 2 5 7 4" xfId="13309" xr:uid="{BBB974F1-D61B-4392-B2D6-8935D0E70344}"/>
    <cellStyle name="Normal 8 2 5 8" xfId="25980" xr:uid="{D8297873-EF63-4585-90D3-348A7A76D80A}"/>
    <cellStyle name="Normal 8 2 5 9" xfId="17539" xr:uid="{C0C3EBB5-C708-4900-BCD6-9B0F566B02C8}"/>
    <cellStyle name="Normal 8 2 6" xfId="946" xr:uid="{00000000-0005-0000-0000-00001F1D0000}"/>
    <cellStyle name="Normal 8 2 6 2" xfId="3180" xr:uid="{00000000-0005-0000-0000-0000201D0000}"/>
    <cellStyle name="Normal 8 2 6 2 2" xfId="7402" xr:uid="{00000000-0005-0000-0000-0000211D0000}"/>
    <cellStyle name="Normal 8 2 6 2 2 2" xfId="32741" xr:uid="{6CC0C6D7-5CED-4AC5-AE39-7031C5DE9066}"/>
    <cellStyle name="Normal 8 2 6 2 2 3" xfId="24300" xr:uid="{D7894E04-DE36-40C0-A446-C6DCCCF6DF72}"/>
    <cellStyle name="Normal 8 2 6 2 2 4" xfId="15852" xr:uid="{206FC406-3AD4-4DC3-BE37-96731FD175E2}"/>
    <cellStyle name="Normal 8 2 6 2 3" xfId="28523" xr:uid="{B8A57D40-C4C2-4816-83FE-E48C0E941DAF}"/>
    <cellStyle name="Normal 8 2 6 2 4" xfId="20082" xr:uid="{3444CF8C-10BF-42DD-A481-5D0448E7A222}"/>
    <cellStyle name="Normal 8 2 6 2 5" xfId="11634" xr:uid="{5759FCD0-8940-4F26-9132-EE53FB661CA6}"/>
    <cellStyle name="Normal 8 2 6 3" xfId="5257" xr:uid="{00000000-0005-0000-0000-0000221D0000}"/>
    <cellStyle name="Normal 8 2 6 3 2" xfId="30596" xr:uid="{D649AD82-85B4-447A-B143-5E3B2E95F012}"/>
    <cellStyle name="Normal 8 2 6 3 3" xfId="22155" xr:uid="{39FD7701-CBC0-4A2A-A0F7-5AFA80DF2E01}"/>
    <cellStyle name="Normal 8 2 6 3 4" xfId="13707" xr:uid="{AE1BE844-BC4B-4164-9008-10BBE41D954B}"/>
    <cellStyle name="Normal 8 2 6 4" xfId="26378" xr:uid="{C03BAD56-ADA2-46AF-8A36-71BE6C3F7137}"/>
    <cellStyle name="Normal 8 2 6 5" xfId="17937" xr:uid="{2906348A-BA58-46AC-82BE-6D42AED6BAF3}"/>
    <cellStyle name="Normal 8 2 6 6" xfId="9489" xr:uid="{0E22B722-736C-44FF-8713-835E6B9BD0B1}"/>
    <cellStyle name="Normal 8 2 7" xfId="1363" xr:uid="{00000000-0005-0000-0000-0000231D0000}"/>
    <cellStyle name="Normal 8 2 7 2" xfId="3593" xr:uid="{00000000-0005-0000-0000-0000241D0000}"/>
    <cellStyle name="Normal 8 2 7 2 2" xfId="7815" xr:uid="{00000000-0005-0000-0000-0000251D0000}"/>
    <cellStyle name="Normal 8 2 7 2 2 2" xfId="33154" xr:uid="{D0C64DA5-F20F-4C94-A613-454A2F6D5C5B}"/>
    <cellStyle name="Normal 8 2 7 2 2 3" xfId="24713" xr:uid="{2B99D15B-38FF-43E1-BBC5-6AFF32628A05}"/>
    <cellStyle name="Normal 8 2 7 2 2 4" xfId="16265" xr:uid="{0E28CB50-D4B8-48B0-B82D-A6E386B48FE6}"/>
    <cellStyle name="Normal 8 2 7 2 3" xfId="28936" xr:uid="{1E71DB43-BE62-4C8D-9C53-669E7A332662}"/>
    <cellStyle name="Normal 8 2 7 2 4" xfId="20495" xr:uid="{0CF7F729-A1D8-4215-906B-F0930B5E3F0D}"/>
    <cellStyle name="Normal 8 2 7 2 5" xfId="12047" xr:uid="{9ED0ECB2-3A36-4FF4-B66E-AD838DD41311}"/>
    <cellStyle name="Normal 8 2 7 3" xfId="5670" xr:uid="{00000000-0005-0000-0000-0000261D0000}"/>
    <cellStyle name="Normal 8 2 7 3 2" xfId="31009" xr:uid="{37680F8B-9A37-41AE-AE79-38058B2130EA}"/>
    <cellStyle name="Normal 8 2 7 3 3" xfId="22568" xr:uid="{37355608-29D7-42F6-9365-D090051CBAE2}"/>
    <cellStyle name="Normal 8 2 7 3 4" xfId="14120" xr:uid="{3DFA944D-3DC0-487A-A34D-67767E15B424}"/>
    <cellStyle name="Normal 8 2 7 4" xfId="26791" xr:uid="{4E063411-05D0-4373-9086-951422039B26}"/>
    <cellStyle name="Normal 8 2 7 5" xfId="18350" xr:uid="{BE04A579-04A1-4A76-85F1-496C1379216C}"/>
    <cellStyle name="Normal 8 2 7 6" xfId="9902" xr:uid="{787907A4-F41E-41B9-B185-C5E53DD62447}"/>
    <cellStyle name="Normal 8 2 8" xfId="1776" xr:uid="{00000000-0005-0000-0000-0000271D0000}"/>
    <cellStyle name="Normal 8 2 8 2" xfId="4006" xr:uid="{00000000-0005-0000-0000-0000281D0000}"/>
    <cellStyle name="Normal 8 2 8 2 2" xfId="8228" xr:uid="{00000000-0005-0000-0000-0000291D0000}"/>
    <cellStyle name="Normal 8 2 8 2 2 2" xfId="33567" xr:uid="{4DBE5AFF-E4F1-4F91-BA5A-98C8D6225111}"/>
    <cellStyle name="Normal 8 2 8 2 2 3" xfId="25126" xr:uid="{EB26C49F-1EEF-4B81-B14D-435A2D4E2E8F}"/>
    <cellStyle name="Normal 8 2 8 2 2 4" xfId="16678" xr:uid="{9ABDC817-0AB1-43CF-A7A5-33DB34EA075B}"/>
    <cellStyle name="Normal 8 2 8 2 3" xfId="29349" xr:uid="{A5888555-CEBE-4404-90B3-0EAAF72B58CD}"/>
    <cellStyle name="Normal 8 2 8 2 4" xfId="20908" xr:uid="{EB94104C-5A5C-4B4F-BC22-BC17D510AB1B}"/>
    <cellStyle name="Normal 8 2 8 2 5" xfId="12460" xr:uid="{DDDAC0EE-DC56-4584-8D84-AA86AF24A20D}"/>
    <cellStyle name="Normal 8 2 8 3" xfId="6083" xr:uid="{00000000-0005-0000-0000-00002A1D0000}"/>
    <cellStyle name="Normal 8 2 8 3 2" xfId="31422" xr:uid="{F36EEE13-588A-4312-AFCB-6F82B134B4B9}"/>
    <cellStyle name="Normal 8 2 8 3 3" xfId="22981" xr:uid="{124FD3E2-7544-4AC9-87F8-8B12BCD26852}"/>
    <cellStyle name="Normal 8 2 8 3 4" xfId="14533" xr:uid="{5FB7AB7C-8E0D-4FD7-BAE6-D6DBEF60500B}"/>
    <cellStyle name="Normal 8 2 8 4" xfId="27204" xr:uid="{DF6B7115-8752-48D5-B32A-6CE440E2A6B9}"/>
    <cellStyle name="Normal 8 2 8 5" xfId="18763" xr:uid="{B89ABEF3-B158-49C5-AD81-1C38B753BF89}"/>
    <cellStyle name="Normal 8 2 8 6" xfId="10315" xr:uid="{7EC705B7-2AD2-4E34-B41F-DA0F040F1ED0}"/>
    <cellStyle name="Normal 8 2 9" xfId="2190" xr:uid="{00000000-0005-0000-0000-00002B1D0000}"/>
    <cellStyle name="Normal 8 2 9 2" xfId="4419" xr:uid="{00000000-0005-0000-0000-00002C1D0000}"/>
    <cellStyle name="Normal 8 2 9 2 2" xfId="8641" xr:uid="{00000000-0005-0000-0000-00002D1D0000}"/>
    <cellStyle name="Normal 8 2 9 2 2 2" xfId="33980" xr:uid="{9546BFDA-E16F-4B2F-80D1-F84C21F88B07}"/>
    <cellStyle name="Normal 8 2 9 2 2 3" xfId="25539" xr:uid="{E26D2571-7B28-494A-B654-45DA9E79FDEF}"/>
    <cellStyle name="Normal 8 2 9 2 2 4" xfId="17091" xr:uid="{392B26F0-9749-40FB-8B74-D8DC855165F5}"/>
    <cellStyle name="Normal 8 2 9 2 3" xfId="29762" xr:uid="{17E156F9-496E-406F-9E9B-645BA694494C}"/>
    <cellStyle name="Normal 8 2 9 2 4" xfId="21321" xr:uid="{DECD1592-4760-4EE5-838D-012F5108F946}"/>
    <cellStyle name="Normal 8 2 9 2 5" xfId="12873" xr:uid="{71AF225D-6CEE-45E2-80DD-1A4603C1DC1F}"/>
    <cellStyle name="Normal 8 2 9 3" xfId="6496" xr:uid="{00000000-0005-0000-0000-00002E1D0000}"/>
    <cellStyle name="Normal 8 2 9 3 2" xfId="31835" xr:uid="{478646C5-8394-496B-BA80-0EB5E6B12D87}"/>
    <cellStyle name="Normal 8 2 9 3 3" xfId="23394" xr:uid="{AB9443B7-7382-4759-83AC-2923B7640A40}"/>
    <cellStyle name="Normal 8 2 9 3 4" xfId="14946" xr:uid="{18CA6320-9CBA-4421-A344-A05AA6FE07DE}"/>
    <cellStyle name="Normal 8 2 9 4" xfId="27617" xr:uid="{CA4E0352-A41C-4F80-86BA-9A52A1B5A0FB}"/>
    <cellStyle name="Normal 8 2 9 5" xfId="19176" xr:uid="{24A46C08-D7CD-4346-9DE8-4464D921EA4D}"/>
    <cellStyle name="Normal 8 2 9 6" xfId="10728" xr:uid="{26B7E38D-ED40-4E32-AE71-B8FF173505D2}"/>
    <cellStyle name="Normal 8 3" xfId="495" xr:uid="{00000000-0005-0000-0000-00002F1D0000}"/>
    <cellStyle name="Normal 8 3 10" xfId="4860" xr:uid="{00000000-0005-0000-0000-0000301D0000}"/>
    <cellStyle name="Normal 8 3 10 2" xfId="30199" xr:uid="{E60E6BD8-8A15-4F23-BA3C-DAD83966B382}"/>
    <cellStyle name="Normal 8 3 10 3" xfId="21758" xr:uid="{F9235FCF-657A-42C3-996E-8B9B8399FED3}"/>
    <cellStyle name="Normal 8 3 10 4" xfId="13310" xr:uid="{854C29BC-8F63-4C42-A530-799804E5A3AA}"/>
    <cellStyle name="Normal 8 3 11" xfId="25981" xr:uid="{19C73719-3C6C-47C9-A337-C4E27FF2ED85}"/>
    <cellStyle name="Normal 8 3 12" xfId="17540" xr:uid="{0D64D0E8-5593-4DC0-9815-72202BA7FA29}"/>
    <cellStyle name="Normal 8 3 13" xfId="9092" xr:uid="{E531373D-D76B-462A-8BC4-53873D760774}"/>
    <cellStyle name="Normal 8 3 2" xfId="496" xr:uid="{00000000-0005-0000-0000-0000311D0000}"/>
    <cellStyle name="Normal 8 3 2 10" xfId="25982" xr:uid="{90272A5B-4014-4444-88C3-78351FC9198C}"/>
    <cellStyle name="Normal 8 3 2 11" xfId="17541" xr:uid="{41389376-AD60-4073-8671-3B4603463144}"/>
    <cellStyle name="Normal 8 3 2 12" xfId="9093" xr:uid="{D01D05C6-6E44-4F47-8325-546F0D874821}"/>
    <cellStyle name="Normal 8 3 2 2" xfId="497" xr:uid="{00000000-0005-0000-0000-0000321D0000}"/>
    <cellStyle name="Normal 8 3 2 2 10" xfId="17542" xr:uid="{C31771E8-28AF-4BB4-870E-0672DA1B3BE6}"/>
    <cellStyle name="Normal 8 3 2 2 11" xfId="9094" xr:uid="{9331C75B-C589-420D-998E-E237C0D72974}"/>
    <cellStyle name="Normal 8 3 2 2 2" xfId="498" xr:uid="{00000000-0005-0000-0000-0000331D0000}"/>
    <cellStyle name="Normal 8 3 2 2 2 10" xfId="9095" xr:uid="{99A77757-5EF0-4352-9388-7C12EA281474}"/>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32760" xr:uid="{128EB6FD-DB35-400F-B7B5-7643ED085081}"/>
    <cellStyle name="Normal 8 3 2 2 2 2 2 2 3" xfId="24319" xr:uid="{151A6650-63F6-46ED-A502-7A0577F24EB2}"/>
    <cellStyle name="Normal 8 3 2 2 2 2 2 2 4" xfId="15871" xr:uid="{4909D5A3-70E0-435A-85A9-78CC435C50E5}"/>
    <cellStyle name="Normal 8 3 2 2 2 2 2 3" xfId="28542" xr:uid="{DE528EBE-73DF-40B2-803F-61D8FD53E2EF}"/>
    <cellStyle name="Normal 8 3 2 2 2 2 2 4" xfId="20101" xr:uid="{BFC2B237-36F2-400E-984D-960EB5B8F3DE}"/>
    <cellStyle name="Normal 8 3 2 2 2 2 2 5" xfId="11653" xr:uid="{3DC70CAF-5BEE-4946-830B-C21B9BC01945}"/>
    <cellStyle name="Normal 8 3 2 2 2 2 3" xfId="5276" xr:uid="{00000000-0005-0000-0000-0000371D0000}"/>
    <cellStyle name="Normal 8 3 2 2 2 2 3 2" xfId="30615" xr:uid="{AD5EFF58-5E81-4DA8-893A-7E31F9C2B352}"/>
    <cellStyle name="Normal 8 3 2 2 2 2 3 3" xfId="22174" xr:uid="{830B3BD4-B1AF-4F6F-992B-016AD2672637}"/>
    <cellStyle name="Normal 8 3 2 2 2 2 3 4" xfId="13726" xr:uid="{1F9C4D5D-4970-4D5A-9ADF-3094DD25C611}"/>
    <cellStyle name="Normal 8 3 2 2 2 2 4" xfId="26397" xr:uid="{2AEF77F1-BA11-43C3-8FBA-A11BB78D14FD}"/>
    <cellStyle name="Normal 8 3 2 2 2 2 5" xfId="17956" xr:uid="{437A0040-61F8-4E33-9728-6266EED6290E}"/>
    <cellStyle name="Normal 8 3 2 2 2 2 6" xfId="9508" xr:uid="{83BEB137-28DD-4659-BF59-97E1465ACC1D}"/>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33173" xr:uid="{53D7B3AF-91A9-498C-8D7F-B2065F03535D}"/>
    <cellStyle name="Normal 8 3 2 2 2 3 2 2 3" xfId="24732" xr:uid="{6B99E88A-0E91-4A36-B648-2AB55D966A69}"/>
    <cellStyle name="Normal 8 3 2 2 2 3 2 2 4" xfId="16284" xr:uid="{A9597DCC-B109-4D82-ABC9-EAD903C9B1BB}"/>
    <cellStyle name="Normal 8 3 2 2 2 3 2 3" xfId="28955" xr:uid="{263D5DFA-67DF-4C08-B724-CF010772F560}"/>
    <cellStyle name="Normal 8 3 2 2 2 3 2 4" xfId="20514" xr:uid="{911DA02C-EF68-44EB-9383-C854294B97BA}"/>
    <cellStyle name="Normal 8 3 2 2 2 3 2 5" xfId="12066" xr:uid="{D42B432D-F6DA-4746-AF40-A56FE32AB65D}"/>
    <cellStyle name="Normal 8 3 2 2 2 3 3" xfId="5689" xr:uid="{00000000-0005-0000-0000-00003B1D0000}"/>
    <cellStyle name="Normal 8 3 2 2 2 3 3 2" xfId="31028" xr:uid="{9CDF524A-56E8-4AA9-81B1-C440500D7855}"/>
    <cellStyle name="Normal 8 3 2 2 2 3 3 3" xfId="22587" xr:uid="{68C92319-678D-43D2-ADFA-CD71CEC582C7}"/>
    <cellStyle name="Normal 8 3 2 2 2 3 3 4" xfId="14139" xr:uid="{2C799286-2E73-4EAE-A1A0-42CB6E20A4B3}"/>
    <cellStyle name="Normal 8 3 2 2 2 3 4" xfId="26810" xr:uid="{4695C7BB-334E-4F7B-A79C-63074AE3DD03}"/>
    <cellStyle name="Normal 8 3 2 2 2 3 5" xfId="18369" xr:uid="{1CD2AFF3-5343-460C-9E45-1296DAF79488}"/>
    <cellStyle name="Normal 8 3 2 2 2 3 6" xfId="9921" xr:uid="{74149B36-7F70-4222-8DA5-A70A2C019ECE}"/>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33586" xr:uid="{9EDECDB4-BFE8-4133-A695-0B32BE4DCE32}"/>
    <cellStyle name="Normal 8 3 2 2 2 4 2 2 3" xfId="25145" xr:uid="{8386F145-40E1-45AD-86A9-36438BB5AA77}"/>
    <cellStyle name="Normal 8 3 2 2 2 4 2 2 4" xfId="16697" xr:uid="{07BED82E-68B4-436B-B940-ABBA2EC2758E}"/>
    <cellStyle name="Normal 8 3 2 2 2 4 2 3" xfId="29368" xr:uid="{84DDFBB4-7904-4C5A-ABAB-513D4D9B73BB}"/>
    <cellStyle name="Normal 8 3 2 2 2 4 2 4" xfId="20927" xr:uid="{9D10A91E-59E8-4FED-85FF-29F3EE88B7B1}"/>
    <cellStyle name="Normal 8 3 2 2 2 4 2 5" xfId="12479" xr:uid="{9603406F-43DF-413C-A589-DC806D7AFCA4}"/>
    <cellStyle name="Normal 8 3 2 2 2 4 3" xfId="6102" xr:uid="{00000000-0005-0000-0000-00003F1D0000}"/>
    <cellStyle name="Normal 8 3 2 2 2 4 3 2" xfId="31441" xr:uid="{6CD6D494-0466-4A18-82ED-85F1895BC1F3}"/>
    <cellStyle name="Normal 8 3 2 2 2 4 3 3" xfId="23000" xr:uid="{2029A856-9248-4765-8BE4-B8D8054C92BE}"/>
    <cellStyle name="Normal 8 3 2 2 2 4 3 4" xfId="14552" xr:uid="{3C4A8037-387E-4777-AF85-FF334FF9DA3B}"/>
    <cellStyle name="Normal 8 3 2 2 2 4 4" xfId="27223" xr:uid="{D15A0F5A-9F88-4477-96E0-A3170A9A64D9}"/>
    <cellStyle name="Normal 8 3 2 2 2 4 5" xfId="18782" xr:uid="{21E6DB66-FB86-414C-ADF6-59E07E8416BE}"/>
    <cellStyle name="Normal 8 3 2 2 2 4 6" xfId="10334" xr:uid="{6820996F-C513-4206-B89C-D2DB89C80806}"/>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33999" xr:uid="{B4E0F4D7-6878-4EB4-A960-FC9E8674E786}"/>
    <cellStyle name="Normal 8 3 2 2 2 5 2 2 3" xfId="25558" xr:uid="{426BF6FC-6A50-4020-967D-7B297E822B4A}"/>
    <cellStyle name="Normal 8 3 2 2 2 5 2 2 4" xfId="17110" xr:uid="{0D0E3359-CCDA-4978-88B6-850703C47E66}"/>
    <cellStyle name="Normal 8 3 2 2 2 5 2 3" xfId="29781" xr:uid="{70A034F8-4D0B-4F4A-8950-02BF98297C04}"/>
    <cellStyle name="Normal 8 3 2 2 2 5 2 4" xfId="21340" xr:uid="{05E7CEDE-45D4-40DF-B60F-BF365579754A}"/>
    <cellStyle name="Normal 8 3 2 2 2 5 2 5" xfId="12892" xr:uid="{707632DA-B261-49F1-B225-01547DE48852}"/>
    <cellStyle name="Normal 8 3 2 2 2 5 3" xfId="6515" xr:uid="{00000000-0005-0000-0000-0000431D0000}"/>
    <cellStyle name="Normal 8 3 2 2 2 5 3 2" xfId="31854" xr:uid="{6B1C33E0-FBD2-4B09-9E17-669D96E613E8}"/>
    <cellStyle name="Normal 8 3 2 2 2 5 3 3" xfId="23413" xr:uid="{0353F052-DF1B-4FB8-8545-1527D5496D82}"/>
    <cellStyle name="Normal 8 3 2 2 2 5 3 4" xfId="14965" xr:uid="{756587F2-708D-46BA-8A59-41C300F42F5E}"/>
    <cellStyle name="Normal 8 3 2 2 2 5 4" xfId="27636" xr:uid="{E21D67BC-C9C9-420C-8199-CD8843F786D8}"/>
    <cellStyle name="Normal 8 3 2 2 2 5 5" xfId="19195" xr:uid="{08A0AE8A-50E9-4B69-BF7A-58BCF385C2C4}"/>
    <cellStyle name="Normal 8 3 2 2 2 5 6" xfId="10747" xr:uid="{9FF66434-0BF4-43BF-99AC-EFC955223EEA}"/>
    <cellStyle name="Normal 8 3 2 2 2 6" xfId="2645" xr:uid="{00000000-0005-0000-0000-0000441D0000}"/>
    <cellStyle name="Normal 8 3 2 2 2 6 2" xfId="6928" xr:uid="{00000000-0005-0000-0000-0000451D0000}"/>
    <cellStyle name="Normal 8 3 2 2 2 6 2 2" xfId="32267" xr:uid="{FA6CCBC7-7030-4DD3-BAB6-DA33DF4D0F7E}"/>
    <cellStyle name="Normal 8 3 2 2 2 6 2 3" xfId="23826" xr:uid="{002371D5-A95E-4DE7-896D-994E98636CC3}"/>
    <cellStyle name="Normal 8 3 2 2 2 6 2 4" xfId="15378" xr:uid="{B932DEB7-FF18-4923-A919-4BA0BB142DF8}"/>
    <cellStyle name="Normal 8 3 2 2 2 6 3" xfId="28049" xr:uid="{F388B636-30E2-469E-9253-79D649F58F49}"/>
    <cellStyle name="Normal 8 3 2 2 2 6 4" xfId="19608" xr:uid="{FC45D08D-9252-459A-ABE0-57D7D7F4D588}"/>
    <cellStyle name="Normal 8 3 2 2 2 6 5" xfId="11160" xr:uid="{1245BBDF-AE21-4911-A468-B8A22F134B5D}"/>
    <cellStyle name="Normal 8 3 2 2 2 7" xfId="4863" xr:uid="{00000000-0005-0000-0000-0000461D0000}"/>
    <cellStyle name="Normal 8 3 2 2 2 7 2" xfId="30202" xr:uid="{EE729590-F556-4D7A-81C7-594248377076}"/>
    <cellStyle name="Normal 8 3 2 2 2 7 3" xfId="21761" xr:uid="{C888EB33-06DD-4690-BA6E-4CCF0E3E822D}"/>
    <cellStyle name="Normal 8 3 2 2 2 7 4" xfId="13313" xr:uid="{EF80B1A6-95DE-46E2-A482-019999C19A7C}"/>
    <cellStyle name="Normal 8 3 2 2 2 8" xfId="25984" xr:uid="{69E3CBAF-5E11-4FA4-8CED-5F6784BB976F}"/>
    <cellStyle name="Normal 8 3 2 2 2 9" xfId="17543" xr:uid="{B1C4F304-F075-4A47-99DE-80DE0EB04CBA}"/>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32759" xr:uid="{6E864207-B0DE-41DE-A25E-67CFDE467E89}"/>
    <cellStyle name="Normal 8 3 2 2 3 2 2 3" xfId="24318" xr:uid="{7DFD120C-2814-402E-A72D-D9215C1134DC}"/>
    <cellStyle name="Normal 8 3 2 2 3 2 2 4" xfId="15870" xr:uid="{19FE8B17-63A4-49DA-9F50-F02B6339C4E4}"/>
    <cellStyle name="Normal 8 3 2 2 3 2 3" xfId="28541" xr:uid="{1031E53D-1F6C-4AF6-8817-CEAF658BB49D}"/>
    <cellStyle name="Normal 8 3 2 2 3 2 4" xfId="20100" xr:uid="{B529B475-4A31-4BB7-9E3A-255EF59D720C}"/>
    <cellStyle name="Normal 8 3 2 2 3 2 5" xfId="11652" xr:uid="{816D8861-8DEA-4CBA-A896-CC0A799DD6D2}"/>
    <cellStyle name="Normal 8 3 2 2 3 3" xfId="5275" xr:uid="{00000000-0005-0000-0000-00004A1D0000}"/>
    <cellStyle name="Normal 8 3 2 2 3 3 2" xfId="30614" xr:uid="{DFD31EEC-9B41-40B2-82E7-B535DFCFC3AA}"/>
    <cellStyle name="Normal 8 3 2 2 3 3 3" xfId="22173" xr:uid="{AF56E843-50E8-42FB-9D80-EBB6A97377DA}"/>
    <cellStyle name="Normal 8 3 2 2 3 3 4" xfId="13725" xr:uid="{2F50218B-7E72-49A0-BD2D-9DE61A512D4C}"/>
    <cellStyle name="Normal 8 3 2 2 3 4" xfId="26396" xr:uid="{CA2F53F8-17CE-441D-ADE9-94B137685B74}"/>
    <cellStyle name="Normal 8 3 2 2 3 5" xfId="17955" xr:uid="{FFBF809E-CFD4-4CB1-B175-1EF129B3BB64}"/>
    <cellStyle name="Normal 8 3 2 2 3 6" xfId="9507" xr:uid="{9CFC56EA-B596-4562-9F55-0DFAC9BCC3C5}"/>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33172" xr:uid="{E1BF3AF2-837A-4522-9C7C-176A5DFAF90E}"/>
    <cellStyle name="Normal 8 3 2 2 4 2 2 3" xfId="24731" xr:uid="{7047EF75-DCEB-420F-9522-AA0A25D3A219}"/>
    <cellStyle name="Normal 8 3 2 2 4 2 2 4" xfId="16283" xr:uid="{6CB3032A-D51E-4386-9968-7036B51E3886}"/>
    <cellStyle name="Normal 8 3 2 2 4 2 3" xfId="28954" xr:uid="{F1DE942B-173D-4100-B185-793AC67FDFE5}"/>
    <cellStyle name="Normal 8 3 2 2 4 2 4" xfId="20513" xr:uid="{2866DDF6-E622-4174-9310-D7959C91F49F}"/>
    <cellStyle name="Normal 8 3 2 2 4 2 5" xfId="12065" xr:uid="{9DB9E364-8A9B-4E9F-89B7-4DDC34B85393}"/>
    <cellStyle name="Normal 8 3 2 2 4 3" xfId="5688" xr:uid="{00000000-0005-0000-0000-00004E1D0000}"/>
    <cellStyle name="Normal 8 3 2 2 4 3 2" xfId="31027" xr:uid="{FFCF8EA1-4811-4D1A-873F-1030F7021A3B}"/>
    <cellStyle name="Normal 8 3 2 2 4 3 3" xfId="22586" xr:uid="{A2E0C646-B14B-477A-A47A-C485348EA13B}"/>
    <cellStyle name="Normal 8 3 2 2 4 3 4" xfId="14138" xr:uid="{6F270C9E-F8E9-4A64-B429-BC72722EBCE4}"/>
    <cellStyle name="Normal 8 3 2 2 4 4" xfId="26809" xr:uid="{998BC87B-0AD2-47E1-BD62-ACF7554F4CB1}"/>
    <cellStyle name="Normal 8 3 2 2 4 5" xfId="18368" xr:uid="{4E297B02-20A4-4164-882E-374BF4C2C1FB}"/>
    <cellStyle name="Normal 8 3 2 2 4 6" xfId="9920" xr:uid="{449CEF6D-594E-41D2-BCB9-D300C7CB688F}"/>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33585" xr:uid="{CD7F9CB5-4B58-463C-8C05-25DBA1D13B39}"/>
    <cellStyle name="Normal 8 3 2 2 5 2 2 3" xfId="25144" xr:uid="{1D1C4982-CE01-476C-9074-17DE437BBADB}"/>
    <cellStyle name="Normal 8 3 2 2 5 2 2 4" xfId="16696" xr:uid="{DAA6FA88-9686-41B7-92DD-B370C3EB1161}"/>
    <cellStyle name="Normal 8 3 2 2 5 2 3" xfId="29367" xr:uid="{E4EF2169-1E5F-4AFD-885A-4EEBF66C200B}"/>
    <cellStyle name="Normal 8 3 2 2 5 2 4" xfId="20926" xr:uid="{2BEE6AA0-1C52-4AB2-9B9D-7F309B1C4C31}"/>
    <cellStyle name="Normal 8 3 2 2 5 2 5" xfId="12478" xr:uid="{BD4BEDDC-8B5E-4829-BEEC-34BC23351189}"/>
    <cellStyle name="Normal 8 3 2 2 5 3" xfId="6101" xr:uid="{00000000-0005-0000-0000-0000521D0000}"/>
    <cellStyle name="Normal 8 3 2 2 5 3 2" xfId="31440" xr:uid="{1FD61215-F683-403E-AB3D-F8D94B5A0842}"/>
    <cellStyle name="Normal 8 3 2 2 5 3 3" xfId="22999" xr:uid="{177BFD8D-DA88-4645-933D-87BFDFF33532}"/>
    <cellStyle name="Normal 8 3 2 2 5 3 4" xfId="14551" xr:uid="{FA22C43C-B4E3-4BE0-8D5F-52B13682951A}"/>
    <cellStyle name="Normal 8 3 2 2 5 4" xfId="27222" xr:uid="{DF585A14-5430-4C48-A2AA-47C978D48AE0}"/>
    <cellStyle name="Normal 8 3 2 2 5 5" xfId="18781" xr:uid="{14C4F73E-4BA1-44C9-9B16-9D357BA7C0DE}"/>
    <cellStyle name="Normal 8 3 2 2 5 6" xfId="10333" xr:uid="{53794862-EF10-4EA3-AF36-813F736DC130}"/>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33998" xr:uid="{50F10CB1-2DDA-4BD0-936F-B8B4710DF1C8}"/>
    <cellStyle name="Normal 8 3 2 2 6 2 2 3" xfId="25557" xr:uid="{20721638-3349-4C57-80B8-F28566CCA398}"/>
    <cellStyle name="Normal 8 3 2 2 6 2 2 4" xfId="17109" xr:uid="{0371E10C-4195-40A3-9512-A7A8E82FCE32}"/>
    <cellStyle name="Normal 8 3 2 2 6 2 3" xfId="29780" xr:uid="{55891FF6-EA7C-4E1C-BE22-9FF15B20811C}"/>
    <cellStyle name="Normal 8 3 2 2 6 2 4" xfId="21339" xr:uid="{F30950BD-8524-4542-BF09-6749DF0AA6E3}"/>
    <cellStyle name="Normal 8 3 2 2 6 2 5" xfId="12891" xr:uid="{672B4123-2800-4317-994D-C2DFE16BA9BC}"/>
    <cellStyle name="Normal 8 3 2 2 6 3" xfId="6514" xr:uid="{00000000-0005-0000-0000-0000561D0000}"/>
    <cellStyle name="Normal 8 3 2 2 6 3 2" xfId="31853" xr:uid="{DAAB21F2-B91E-4F4D-9043-558687AC6E2D}"/>
    <cellStyle name="Normal 8 3 2 2 6 3 3" xfId="23412" xr:uid="{28813DF3-FB06-42B8-B6E1-71A259961FEB}"/>
    <cellStyle name="Normal 8 3 2 2 6 3 4" xfId="14964" xr:uid="{699335E7-23D7-4CB0-ACF6-B8CF92F4AFB9}"/>
    <cellStyle name="Normal 8 3 2 2 6 4" xfId="27635" xr:uid="{543DF295-CA71-4B29-ACBC-58507FC6E949}"/>
    <cellStyle name="Normal 8 3 2 2 6 5" xfId="19194" xr:uid="{172477DC-86D3-400F-B489-5723FEE93D8A}"/>
    <cellStyle name="Normal 8 3 2 2 6 6" xfId="10746" xr:uid="{93AB54F3-BEB3-426D-93F1-C2B0B15D65C6}"/>
    <cellStyle name="Normal 8 3 2 2 7" xfId="2644" xr:uid="{00000000-0005-0000-0000-0000571D0000}"/>
    <cellStyle name="Normal 8 3 2 2 7 2" xfId="6927" xr:uid="{00000000-0005-0000-0000-0000581D0000}"/>
    <cellStyle name="Normal 8 3 2 2 7 2 2" xfId="32266" xr:uid="{8D440EE6-6BC2-46C0-8101-9EF45490946C}"/>
    <cellStyle name="Normal 8 3 2 2 7 2 3" xfId="23825" xr:uid="{B600B157-EC6E-47C1-948C-FBE759D61E77}"/>
    <cellStyle name="Normal 8 3 2 2 7 2 4" xfId="15377" xr:uid="{8D00923D-1F50-495B-8684-21AE5C8EE5EB}"/>
    <cellStyle name="Normal 8 3 2 2 7 3" xfId="28048" xr:uid="{9BAA8C1F-D53A-4A5A-BEF1-C555AAF426E0}"/>
    <cellStyle name="Normal 8 3 2 2 7 4" xfId="19607" xr:uid="{2EFEDABA-50D5-4A95-ABE7-D014F51C3981}"/>
    <cellStyle name="Normal 8 3 2 2 7 5" xfId="11159" xr:uid="{88794E0D-BB2B-45DC-AA8A-4374EE0135EB}"/>
    <cellStyle name="Normal 8 3 2 2 8" xfId="4862" xr:uid="{00000000-0005-0000-0000-0000591D0000}"/>
    <cellStyle name="Normal 8 3 2 2 8 2" xfId="30201" xr:uid="{4C1D2668-2876-4520-96D6-69A301D54D6A}"/>
    <cellStyle name="Normal 8 3 2 2 8 3" xfId="21760" xr:uid="{82435F6A-BB17-40ED-AFEE-886B9E7E6EB4}"/>
    <cellStyle name="Normal 8 3 2 2 8 4" xfId="13312" xr:uid="{4D87E80D-51B7-40A5-AFBA-CF4679C73E8F}"/>
    <cellStyle name="Normal 8 3 2 2 9" xfId="25983" xr:uid="{EA0B2CEE-4F86-4449-874B-CA620A6EE440}"/>
    <cellStyle name="Normal 8 3 2 3" xfId="499" xr:uid="{00000000-0005-0000-0000-00005A1D0000}"/>
    <cellStyle name="Normal 8 3 2 3 10" xfId="9096" xr:uid="{B9043E0E-776F-4CCF-9F7B-CE4A81599862}"/>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32761" xr:uid="{0538C6A1-15BA-49FA-8438-45018F5AA26C}"/>
    <cellStyle name="Normal 8 3 2 3 2 2 2 3" xfId="24320" xr:uid="{EE843991-4BE6-4969-918D-4D70A537A5C3}"/>
    <cellStyle name="Normal 8 3 2 3 2 2 2 4" xfId="15872" xr:uid="{DAE68D47-381E-4DE3-9216-7CE5E9C5DAFD}"/>
    <cellStyle name="Normal 8 3 2 3 2 2 3" xfId="28543" xr:uid="{C142881A-51E7-4AA2-891A-A83FEDDDE378}"/>
    <cellStyle name="Normal 8 3 2 3 2 2 4" xfId="20102" xr:uid="{83AA5436-F991-4665-9183-EB8895667CAB}"/>
    <cellStyle name="Normal 8 3 2 3 2 2 5" xfId="11654" xr:uid="{2686427D-E222-4447-BC10-E286E1FFBFBB}"/>
    <cellStyle name="Normal 8 3 2 3 2 3" xfId="5277" xr:uid="{00000000-0005-0000-0000-00005E1D0000}"/>
    <cellStyle name="Normal 8 3 2 3 2 3 2" xfId="30616" xr:uid="{91CE5FB0-50FE-41FC-9046-B1CB2D876B4E}"/>
    <cellStyle name="Normal 8 3 2 3 2 3 3" xfId="22175" xr:uid="{F23FA0D8-585B-4487-85F0-9A5F58390257}"/>
    <cellStyle name="Normal 8 3 2 3 2 3 4" xfId="13727" xr:uid="{D696B404-0719-4063-8EEE-DE731141787C}"/>
    <cellStyle name="Normal 8 3 2 3 2 4" xfId="26398" xr:uid="{556C03B2-8572-4063-968F-414DBB1F1406}"/>
    <cellStyle name="Normal 8 3 2 3 2 5" xfId="17957" xr:uid="{B619D1BA-BC94-483A-A08F-1A7EDDAB4E90}"/>
    <cellStyle name="Normal 8 3 2 3 2 6" xfId="9509" xr:uid="{6DC38175-F996-47B9-9AA2-36092BFA4D44}"/>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33174" xr:uid="{5ABEAB32-E895-4EC3-A5E3-3B0E164DFB46}"/>
    <cellStyle name="Normal 8 3 2 3 3 2 2 3" xfId="24733" xr:uid="{029A8584-C780-4472-A8C7-0F05DCA152F0}"/>
    <cellStyle name="Normal 8 3 2 3 3 2 2 4" xfId="16285" xr:uid="{6F0B8272-749B-44D7-A6CA-84EE2C8A3592}"/>
    <cellStyle name="Normal 8 3 2 3 3 2 3" xfId="28956" xr:uid="{85E0F5F1-6C61-4659-933E-9769A1DE97D2}"/>
    <cellStyle name="Normal 8 3 2 3 3 2 4" xfId="20515" xr:uid="{39FA3AC7-496A-4C58-80B5-C614E4CEEF77}"/>
    <cellStyle name="Normal 8 3 2 3 3 2 5" xfId="12067" xr:uid="{123B5CB9-CA84-42B3-A593-7B9F5B1AD542}"/>
    <cellStyle name="Normal 8 3 2 3 3 3" xfId="5690" xr:uid="{00000000-0005-0000-0000-0000621D0000}"/>
    <cellStyle name="Normal 8 3 2 3 3 3 2" xfId="31029" xr:uid="{EE4AA072-D610-419E-9B9A-8DE59B202309}"/>
    <cellStyle name="Normal 8 3 2 3 3 3 3" xfId="22588" xr:uid="{3096276A-5CA1-4AC2-8510-1A9B0C98A18D}"/>
    <cellStyle name="Normal 8 3 2 3 3 3 4" xfId="14140" xr:uid="{817B8F3E-BD3E-4860-8E1D-7201FE977C15}"/>
    <cellStyle name="Normal 8 3 2 3 3 4" xfId="26811" xr:uid="{88E54544-F3D8-46FD-A913-A0017E678965}"/>
    <cellStyle name="Normal 8 3 2 3 3 5" xfId="18370" xr:uid="{A394D035-557B-4BC1-A2C1-8276394AB7D8}"/>
    <cellStyle name="Normal 8 3 2 3 3 6" xfId="9922" xr:uid="{2DB7BDF0-2B7F-49CD-BC5C-D0098C42A287}"/>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33587" xr:uid="{476D1760-C2B4-485A-B6A5-CC3DEBF98270}"/>
    <cellStyle name="Normal 8 3 2 3 4 2 2 3" xfId="25146" xr:uid="{E5190A60-2389-407B-977A-E893C3E8B506}"/>
    <cellStyle name="Normal 8 3 2 3 4 2 2 4" xfId="16698" xr:uid="{A5C8E78B-97A2-4F59-B505-9CF0AEA3060A}"/>
    <cellStyle name="Normal 8 3 2 3 4 2 3" xfId="29369" xr:uid="{68F1ABB6-1A58-455F-9AB1-69E8483E3EC5}"/>
    <cellStyle name="Normal 8 3 2 3 4 2 4" xfId="20928" xr:uid="{69BB361A-C841-4329-A357-604FAE1402ED}"/>
    <cellStyle name="Normal 8 3 2 3 4 2 5" xfId="12480" xr:uid="{890B37EC-32B6-45F0-95CA-535FDFE5EF44}"/>
    <cellStyle name="Normal 8 3 2 3 4 3" xfId="6103" xr:uid="{00000000-0005-0000-0000-0000661D0000}"/>
    <cellStyle name="Normal 8 3 2 3 4 3 2" xfId="31442" xr:uid="{853603E0-F6CC-411C-A254-5F89882D107D}"/>
    <cellStyle name="Normal 8 3 2 3 4 3 3" xfId="23001" xr:uid="{C3BAC6EF-6AA2-4105-9300-2DF6D1F459F7}"/>
    <cellStyle name="Normal 8 3 2 3 4 3 4" xfId="14553" xr:uid="{9502A78F-BA45-44B8-819D-E08B7520A185}"/>
    <cellStyle name="Normal 8 3 2 3 4 4" xfId="27224" xr:uid="{E1AAC0B3-90CE-41FF-BA40-83847E18692F}"/>
    <cellStyle name="Normal 8 3 2 3 4 5" xfId="18783" xr:uid="{F0418E7A-8A8B-4686-8EAC-C1F913D845E5}"/>
    <cellStyle name="Normal 8 3 2 3 4 6" xfId="10335" xr:uid="{D314C734-10F8-46BA-8962-FE13BBC385BB}"/>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34000" xr:uid="{E94F2016-3811-4DBF-9789-8A4C5A15FA39}"/>
    <cellStyle name="Normal 8 3 2 3 5 2 2 3" xfId="25559" xr:uid="{E1D4E22F-C87E-460E-B4B7-6FC7435B573E}"/>
    <cellStyle name="Normal 8 3 2 3 5 2 2 4" xfId="17111" xr:uid="{55028472-2E49-436B-B2FF-206174B80858}"/>
    <cellStyle name="Normal 8 3 2 3 5 2 3" xfId="29782" xr:uid="{980AEB06-EA60-41AB-88B3-CCA339F171AC}"/>
    <cellStyle name="Normal 8 3 2 3 5 2 4" xfId="21341" xr:uid="{A86CF060-72E6-4DBA-9E89-FEF0E47D0274}"/>
    <cellStyle name="Normal 8 3 2 3 5 2 5" xfId="12893" xr:uid="{45B9DF96-E1AA-4FC6-9364-029F147ACD4C}"/>
    <cellStyle name="Normal 8 3 2 3 5 3" xfId="6516" xr:uid="{00000000-0005-0000-0000-00006A1D0000}"/>
    <cellStyle name="Normal 8 3 2 3 5 3 2" xfId="31855" xr:uid="{C7C89535-B6AA-41A5-9327-04EC00F116C5}"/>
    <cellStyle name="Normal 8 3 2 3 5 3 3" xfId="23414" xr:uid="{690F4118-10F7-4929-B3D0-729106738797}"/>
    <cellStyle name="Normal 8 3 2 3 5 3 4" xfId="14966" xr:uid="{6FFFAADD-24C6-44E7-B19C-0403BD99574C}"/>
    <cellStyle name="Normal 8 3 2 3 5 4" xfId="27637" xr:uid="{2C2C5DA2-66C0-4FA7-8A28-CE87D51B4210}"/>
    <cellStyle name="Normal 8 3 2 3 5 5" xfId="19196" xr:uid="{C131B50F-1487-4EEE-A6E5-CF98B40CE217}"/>
    <cellStyle name="Normal 8 3 2 3 5 6" xfId="10748" xr:uid="{B66B12B2-9B7F-42BB-AD54-0EDC6944D5AB}"/>
    <cellStyle name="Normal 8 3 2 3 6" xfId="2646" xr:uid="{00000000-0005-0000-0000-00006B1D0000}"/>
    <cellStyle name="Normal 8 3 2 3 6 2" xfId="6929" xr:uid="{00000000-0005-0000-0000-00006C1D0000}"/>
    <cellStyle name="Normal 8 3 2 3 6 2 2" xfId="32268" xr:uid="{B2CDF86F-FF04-4DB0-A3BF-B68F7C39D770}"/>
    <cellStyle name="Normal 8 3 2 3 6 2 3" xfId="23827" xr:uid="{357B8BF9-BE85-4AAB-8681-9A575C907B39}"/>
    <cellStyle name="Normal 8 3 2 3 6 2 4" xfId="15379" xr:uid="{900FF3BF-2068-4A7C-8D0B-8396DE20AF2B}"/>
    <cellStyle name="Normal 8 3 2 3 6 3" xfId="28050" xr:uid="{90358DA6-78A2-4832-898F-09C3AA31DFF0}"/>
    <cellStyle name="Normal 8 3 2 3 6 4" xfId="19609" xr:uid="{B98F3AF5-25F7-4C7C-8E27-7214A11FC1CD}"/>
    <cellStyle name="Normal 8 3 2 3 6 5" xfId="11161" xr:uid="{7B2AE090-6CB4-4114-B4E1-F717634A3162}"/>
    <cellStyle name="Normal 8 3 2 3 7" xfId="4864" xr:uid="{00000000-0005-0000-0000-00006D1D0000}"/>
    <cellStyle name="Normal 8 3 2 3 7 2" xfId="30203" xr:uid="{07DB68DF-2310-4754-A319-F124D200DCB3}"/>
    <cellStyle name="Normal 8 3 2 3 7 3" xfId="21762" xr:uid="{B5A3E530-A718-4E3C-AAA5-D03BFE6DAAA9}"/>
    <cellStyle name="Normal 8 3 2 3 7 4" xfId="13314" xr:uid="{26CFE5FB-8825-4D26-BEEF-E2F0F0579091}"/>
    <cellStyle name="Normal 8 3 2 3 8" xfId="25985" xr:uid="{665590C9-BFA7-4008-94B5-9CFA7AF2CCD5}"/>
    <cellStyle name="Normal 8 3 2 3 9" xfId="17544" xr:uid="{52C06816-8646-47F5-A668-5161A109B75A}"/>
    <cellStyle name="Normal 8 3 2 4" xfId="963" xr:uid="{00000000-0005-0000-0000-00006E1D0000}"/>
    <cellStyle name="Normal 8 3 2 4 2" xfId="3197" xr:uid="{00000000-0005-0000-0000-00006F1D0000}"/>
    <cellStyle name="Normal 8 3 2 4 2 2" xfId="7419" xr:uid="{00000000-0005-0000-0000-0000701D0000}"/>
    <cellStyle name="Normal 8 3 2 4 2 2 2" xfId="32758" xr:uid="{5F718ECB-1C9B-4BB9-9112-196F15D5C778}"/>
    <cellStyle name="Normal 8 3 2 4 2 2 3" xfId="24317" xr:uid="{F61E44CD-9549-4FF2-85E5-D7E4FE375489}"/>
    <cellStyle name="Normal 8 3 2 4 2 2 4" xfId="15869" xr:uid="{BF7DD2AF-A0AA-4C73-AC50-199BAEC6332A}"/>
    <cellStyle name="Normal 8 3 2 4 2 3" xfId="28540" xr:uid="{F023D4A5-7D34-4DED-8FA5-F736F61B3CC3}"/>
    <cellStyle name="Normal 8 3 2 4 2 4" xfId="20099" xr:uid="{8467E7EE-B15B-48B5-BAB6-F656A50EA6AE}"/>
    <cellStyle name="Normal 8 3 2 4 2 5" xfId="11651" xr:uid="{4B7466C5-6655-4FD8-A97D-3667654EA44C}"/>
    <cellStyle name="Normal 8 3 2 4 3" xfId="5274" xr:uid="{00000000-0005-0000-0000-0000711D0000}"/>
    <cellStyle name="Normal 8 3 2 4 3 2" xfId="30613" xr:uid="{3FDA59E0-51AE-4E66-98B0-FB2EDF48BEC0}"/>
    <cellStyle name="Normal 8 3 2 4 3 3" xfId="22172" xr:uid="{3D9FAD76-DA21-4E94-B964-87336388A3CD}"/>
    <cellStyle name="Normal 8 3 2 4 3 4" xfId="13724" xr:uid="{D1EAB323-DA46-4136-B5DC-3E130EF24107}"/>
    <cellStyle name="Normal 8 3 2 4 4" xfId="26395" xr:uid="{0FBE5661-F700-4FB8-92BE-1EEC34672A34}"/>
    <cellStyle name="Normal 8 3 2 4 5" xfId="17954" xr:uid="{624D9100-E6E0-479D-A88C-7193955D064F}"/>
    <cellStyle name="Normal 8 3 2 4 6" xfId="9506" xr:uid="{3FE13BD2-9BA9-43F7-AA90-AB38DF1E82AA}"/>
    <cellStyle name="Normal 8 3 2 5" xfId="1380" xr:uid="{00000000-0005-0000-0000-0000721D0000}"/>
    <cellStyle name="Normal 8 3 2 5 2" xfId="3610" xr:uid="{00000000-0005-0000-0000-0000731D0000}"/>
    <cellStyle name="Normal 8 3 2 5 2 2" xfId="7832" xr:uid="{00000000-0005-0000-0000-0000741D0000}"/>
    <cellStyle name="Normal 8 3 2 5 2 2 2" xfId="33171" xr:uid="{954BC33B-BA14-4F3B-BF07-2A95FBE9E6B8}"/>
    <cellStyle name="Normal 8 3 2 5 2 2 3" xfId="24730" xr:uid="{5C21CF47-582C-421D-A0DB-B1136403E7A8}"/>
    <cellStyle name="Normal 8 3 2 5 2 2 4" xfId="16282" xr:uid="{66BFA01D-84D3-4341-91E6-0B178BA8C040}"/>
    <cellStyle name="Normal 8 3 2 5 2 3" xfId="28953" xr:uid="{853C441D-C289-4A4D-A3E9-74D41B59178E}"/>
    <cellStyle name="Normal 8 3 2 5 2 4" xfId="20512" xr:uid="{ED6D8396-6B6D-40D4-8260-58EA293B3183}"/>
    <cellStyle name="Normal 8 3 2 5 2 5" xfId="12064" xr:uid="{48913A8C-7000-4A2B-8F4B-8B5E2CABF7B5}"/>
    <cellStyle name="Normal 8 3 2 5 3" xfId="5687" xr:uid="{00000000-0005-0000-0000-0000751D0000}"/>
    <cellStyle name="Normal 8 3 2 5 3 2" xfId="31026" xr:uid="{8EEA8C1D-5DC6-4118-A4EE-8FDA9F1EAF3B}"/>
    <cellStyle name="Normal 8 3 2 5 3 3" xfId="22585" xr:uid="{FB7CE7C0-64C3-45D4-8CAF-458D8F11DDF2}"/>
    <cellStyle name="Normal 8 3 2 5 3 4" xfId="14137" xr:uid="{351E6BF9-BD2C-4EE0-A4B9-95B12D841700}"/>
    <cellStyle name="Normal 8 3 2 5 4" xfId="26808" xr:uid="{7375E2D2-79CF-4B16-AB79-E4A2BCEF85A5}"/>
    <cellStyle name="Normal 8 3 2 5 5" xfId="18367" xr:uid="{10856A48-FCE9-46C7-9EDD-CB3EB8A067AF}"/>
    <cellStyle name="Normal 8 3 2 5 6" xfId="9919" xr:uid="{EBA52AC6-B2D3-412E-97E8-3FC2BA74F64A}"/>
    <cellStyle name="Normal 8 3 2 6" xfId="1793" xr:uid="{00000000-0005-0000-0000-0000761D0000}"/>
    <cellStyle name="Normal 8 3 2 6 2" xfId="4023" xr:uid="{00000000-0005-0000-0000-0000771D0000}"/>
    <cellStyle name="Normal 8 3 2 6 2 2" xfId="8245" xr:uid="{00000000-0005-0000-0000-0000781D0000}"/>
    <cellStyle name="Normal 8 3 2 6 2 2 2" xfId="33584" xr:uid="{186228B2-6EA0-47D1-8925-270DADAC800F}"/>
    <cellStyle name="Normal 8 3 2 6 2 2 3" xfId="25143" xr:uid="{70AA2127-B6BA-4A00-95BC-192CDEC0CBDB}"/>
    <cellStyle name="Normal 8 3 2 6 2 2 4" xfId="16695" xr:uid="{2132CD26-0EE5-4C8F-B339-9509218FFB7E}"/>
    <cellStyle name="Normal 8 3 2 6 2 3" xfId="29366" xr:uid="{8CD06C2B-B72D-40C5-81BF-627FF3C64116}"/>
    <cellStyle name="Normal 8 3 2 6 2 4" xfId="20925" xr:uid="{4E67CE34-A97A-4310-8F81-CD251D998669}"/>
    <cellStyle name="Normal 8 3 2 6 2 5" xfId="12477" xr:uid="{DB8AD386-704E-408F-BEAC-BD73F7672FED}"/>
    <cellStyle name="Normal 8 3 2 6 3" xfId="6100" xr:uid="{00000000-0005-0000-0000-0000791D0000}"/>
    <cellStyle name="Normal 8 3 2 6 3 2" xfId="31439" xr:uid="{C490FBA7-7FAA-4D5F-90FE-BF5C266302C6}"/>
    <cellStyle name="Normal 8 3 2 6 3 3" xfId="22998" xr:uid="{20D676ED-8DC9-4F96-BB9D-384EF2B4335C}"/>
    <cellStyle name="Normal 8 3 2 6 3 4" xfId="14550" xr:uid="{F9946A0C-A04F-46FF-B70B-E37C62F94743}"/>
    <cellStyle name="Normal 8 3 2 6 4" xfId="27221" xr:uid="{CAFA5AC1-BBA4-40D8-A296-C03C197E1CC5}"/>
    <cellStyle name="Normal 8 3 2 6 5" xfId="18780" xr:uid="{F8CBD649-8D0E-49A7-85E6-932DABCC7724}"/>
    <cellStyle name="Normal 8 3 2 6 6" xfId="10332" xr:uid="{20FA6185-7398-4D0D-A773-B6F415469714}"/>
    <cellStyle name="Normal 8 3 2 7" xfId="2207" xr:uid="{00000000-0005-0000-0000-00007A1D0000}"/>
    <cellStyle name="Normal 8 3 2 7 2" xfId="4436" xr:uid="{00000000-0005-0000-0000-00007B1D0000}"/>
    <cellStyle name="Normal 8 3 2 7 2 2" xfId="8658" xr:uid="{00000000-0005-0000-0000-00007C1D0000}"/>
    <cellStyle name="Normal 8 3 2 7 2 2 2" xfId="33997" xr:uid="{270D2FDA-87F5-4DF7-B5B4-DC8322D47A57}"/>
    <cellStyle name="Normal 8 3 2 7 2 2 3" xfId="25556" xr:uid="{427E1821-C96D-4431-BA5E-9C71FC2B3494}"/>
    <cellStyle name="Normal 8 3 2 7 2 2 4" xfId="17108" xr:uid="{2C6E5FAE-9F75-42E7-A252-38A238334B78}"/>
    <cellStyle name="Normal 8 3 2 7 2 3" xfId="29779" xr:uid="{774DD2E7-D7EA-404E-AF84-F4F27EE9E705}"/>
    <cellStyle name="Normal 8 3 2 7 2 4" xfId="21338" xr:uid="{1C585ED0-067F-432A-A528-710E38D87831}"/>
    <cellStyle name="Normal 8 3 2 7 2 5" xfId="12890" xr:uid="{5ACDADD5-F665-4E5A-B007-56DCFBCDEC7C}"/>
    <cellStyle name="Normal 8 3 2 7 3" xfId="6513" xr:uid="{00000000-0005-0000-0000-00007D1D0000}"/>
    <cellStyle name="Normal 8 3 2 7 3 2" xfId="31852" xr:uid="{B6E3032D-A48A-444A-8A2D-BA65E196111D}"/>
    <cellStyle name="Normal 8 3 2 7 3 3" xfId="23411" xr:uid="{EC4DE15E-E731-40E0-B4A3-D0BB14CE32C2}"/>
    <cellStyle name="Normal 8 3 2 7 3 4" xfId="14963" xr:uid="{279C70B6-E246-4D10-9750-E795F740ABC5}"/>
    <cellStyle name="Normal 8 3 2 7 4" xfId="27634" xr:uid="{FA984494-06D2-45D9-B60D-3D7169653492}"/>
    <cellStyle name="Normal 8 3 2 7 5" xfId="19193" xr:uid="{F8C0205F-32DB-4FA8-B252-3298BE29924E}"/>
    <cellStyle name="Normal 8 3 2 7 6" xfId="10745" xr:uid="{9C928E80-EC20-45C8-A677-32593039D650}"/>
    <cellStyle name="Normal 8 3 2 8" xfId="2643" xr:uid="{00000000-0005-0000-0000-00007E1D0000}"/>
    <cellStyle name="Normal 8 3 2 8 2" xfId="6926" xr:uid="{00000000-0005-0000-0000-00007F1D0000}"/>
    <cellStyle name="Normal 8 3 2 8 2 2" xfId="32265" xr:uid="{BE7C9559-031E-4FBA-AD15-069BD52CE72A}"/>
    <cellStyle name="Normal 8 3 2 8 2 3" xfId="23824" xr:uid="{174B78D9-7D2A-4B5A-8ABC-152378081348}"/>
    <cellStyle name="Normal 8 3 2 8 2 4" xfId="15376" xr:uid="{0DED3BAA-AC1C-4B2E-8284-EEFAAD56E823}"/>
    <cellStyle name="Normal 8 3 2 8 3" xfId="28047" xr:uid="{4B6AE62E-2BF7-4F0F-8B92-9586837C7603}"/>
    <cellStyle name="Normal 8 3 2 8 4" xfId="19606" xr:uid="{46630E69-EABA-4360-A14C-F6BD04913253}"/>
    <cellStyle name="Normal 8 3 2 8 5" xfId="11158" xr:uid="{3DEC8AB7-9E6B-45F9-A992-D9227C56C9C6}"/>
    <cellStyle name="Normal 8 3 2 9" xfId="4861" xr:uid="{00000000-0005-0000-0000-0000801D0000}"/>
    <cellStyle name="Normal 8 3 2 9 2" xfId="30200" xr:uid="{562055CB-5A7C-4952-8725-00AD853C58BC}"/>
    <cellStyle name="Normal 8 3 2 9 3" xfId="21759" xr:uid="{9CEC6E04-D33B-4B00-BECF-43C55C672FE8}"/>
    <cellStyle name="Normal 8 3 2 9 4" xfId="13311" xr:uid="{A0BCCEFE-F833-4570-B7CF-E6137B277814}"/>
    <cellStyle name="Normal 8 3 3" xfId="500" xr:uid="{00000000-0005-0000-0000-0000811D0000}"/>
    <cellStyle name="Normal 8 3 3 10" xfId="17545" xr:uid="{6BD2B01C-2D69-4991-AE1E-37705ACFFF12}"/>
    <cellStyle name="Normal 8 3 3 11" xfId="9097" xr:uid="{C55636E6-40E3-423C-A658-0CDBA0A7007A}"/>
    <cellStyle name="Normal 8 3 3 2" xfId="501" xr:uid="{00000000-0005-0000-0000-0000821D0000}"/>
    <cellStyle name="Normal 8 3 3 2 10" xfId="9098" xr:uid="{FDF606D4-0BBF-423A-9AB6-160D56F334C1}"/>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32763" xr:uid="{C17D8DB6-B7B7-4DBC-8DC9-200EA232831F}"/>
    <cellStyle name="Normal 8 3 3 2 2 2 2 3" xfId="24322" xr:uid="{B3F35437-006E-4681-BEA4-7FB7397603C1}"/>
    <cellStyle name="Normal 8 3 3 2 2 2 2 4" xfId="15874" xr:uid="{62124815-17C4-49D3-8257-F612C6C659FD}"/>
    <cellStyle name="Normal 8 3 3 2 2 2 3" xfId="28545" xr:uid="{11B74F45-3A34-497A-90E4-AD706085203A}"/>
    <cellStyle name="Normal 8 3 3 2 2 2 4" xfId="20104" xr:uid="{BAA477AF-5786-4075-A5DF-EFB01EDEBA66}"/>
    <cellStyle name="Normal 8 3 3 2 2 2 5" xfId="11656" xr:uid="{6C3EC402-BF51-41D4-A600-DBD003F01BAA}"/>
    <cellStyle name="Normal 8 3 3 2 2 3" xfId="5279" xr:uid="{00000000-0005-0000-0000-0000861D0000}"/>
    <cellStyle name="Normal 8 3 3 2 2 3 2" xfId="30618" xr:uid="{54173665-44CC-4E0D-8791-9F60D6045638}"/>
    <cellStyle name="Normal 8 3 3 2 2 3 3" xfId="22177" xr:uid="{BC5D7B36-2A5A-4B45-B621-207630B58F59}"/>
    <cellStyle name="Normal 8 3 3 2 2 3 4" xfId="13729" xr:uid="{A4C11C1C-AE04-454E-BEE3-FDF18D139A38}"/>
    <cellStyle name="Normal 8 3 3 2 2 4" xfId="26400" xr:uid="{C2ACBFA7-234A-4D6B-9B4E-E92243FDE423}"/>
    <cellStyle name="Normal 8 3 3 2 2 5" xfId="17959" xr:uid="{84230D1E-D33D-4138-89B7-3C166B7C8C42}"/>
    <cellStyle name="Normal 8 3 3 2 2 6" xfId="9511" xr:uid="{C77CBEEE-6287-4214-B7EB-D9BBC19206B9}"/>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33176" xr:uid="{104C2434-FB14-40AE-9A2A-E4695147CEFE}"/>
    <cellStyle name="Normal 8 3 3 2 3 2 2 3" xfId="24735" xr:uid="{D1CFB2AB-A0B8-4812-B23A-876BC5E6520E}"/>
    <cellStyle name="Normal 8 3 3 2 3 2 2 4" xfId="16287" xr:uid="{140BE0FB-51F1-4525-B5AD-0257FEB49FDF}"/>
    <cellStyle name="Normal 8 3 3 2 3 2 3" xfId="28958" xr:uid="{FCBFEE0A-DE96-4512-B585-6BF48E6448F1}"/>
    <cellStyle name="Normal 8 3 3 2 3 2 4" xfId="20517" xr:uid="{4BA44694-B149-4715-A0B9-45FA268FD30A}"/>
    <cellStyle name="Normal 8 3 3 2 3 2 5" xfId="12069" xr:uid="{C5FE07AA-745A-4F4F-8D79-700244578D12}"/>
    <cellStyle name="Normal 8 3 3 2 3 3" xfId="5692" xr:uid="{00000000-0005-0000-0000-00008A1D0000}"/>
    <cellStyle name="Normal 8 3 3 2 3 3 2" xfId="31031" xr:uid="{0FFCB72B-CA72-421E-B8D6-9077AA8FED23}"/>
    <cellStyle name="Normal 8 3 3 2 3 3 3" xfId="22590" xr:uid="{D9EE3CBA-4927-4549-BD8C-2E4C433508BE}"/>
    <cellStyle name="Normal 8 3 3 2 3 3 4" xfId="14142" xr:uid="{27D1D68F-51D3-4A5B-9DE3-39EE3BEEE86F}"/>
    <cellStyle name="Normal 8 3 3 2 3 4" xfId="26813" xr:uid="{B0DE4D36-2810-4F3A-BA5C-37554B5868A1}"/>
    <cellStyle name="Normal 8 3 3 2 3 5" xfId="18372" xr:uid="{076C6F49-DFAC-4E94-AE6E-972FE4014124}"/>
    <cellStyle name="Normal 8 3 3 2 3 6" xfId="9924" xr:uid="{482F980A-E8AC-4FEF-8672-444A07CB0709}"/>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33589" xr:uid="{FF3D42CD-BFCD-472D-B259-45E31229AADC}"/>
    <cellStyle name="Normal 8 3 3 2 4 2 2 3" xfId="25148" xr:uid="{CE1C3CFF-EE97-4C1F-97E5-F5C9597D044D}"/>
    <cellStyle name="Normal 8 3 3 2 4 2 2 4" xfId="16700" xr:uid="{5328629E-7851-4E82-8AF4-1DC2F55E65C9}"/>
    <cellStyle name="Normal 8 3 3 2 4 2 3" xfId="29371" xr:uid="{82BFA453-0A3F-42CD-A0A0-F9824F14E55E}"/>
    <cellStyle name="Normal 8 3 3 2 4 2 4" xfId="20930" xr:uid="{32BE4114-39F3-4A1B-86C5-CD4AF931DB59}"/>
    <cellStyle name="Normal 8 3 3 2 4 2 5" xfId="12482" xr:uid="{A42E4AC6-8CCE-461D-B119-B322EF8558C2}"/>
    <cellStyle name="Normal 8 3 3 2 4 3" xfId="6105" xr:uid="{00000000-0005-0000-0000-00008E1D0000}"/>
    <cellStyle name="Normal 8 3 3 2 4 3 2" xfId="31444" xr:uid="{529CA185-A0D8-41C9-840B-7334613C37A5}"/>
    <cellStyle name="Normal 8 3 3 2 4 3 3" xfId="23003" xr:uid="{32C3881C-223E-4957-B745-967891F62823}"/>
    <cellStyle name="Normal 8 3 3 2 4 3 4" xfId="14555" xr:uid="{646CE14A-48D0-489B-AB45-BBCEE906E8F1}"/>
    <cellStyle name="Normal 8 3 3 2 4 4" xfId="27226" xr:uid="{616CAE11-D3BA-4349-B140-8F7691B90187}"/>
    <cellStyle name="Normal 8 3 3 2 4 5" xfId="18785" xr:uid="{F433C41C-9E7C-49E8-9006-D826FACE8095}"/>
    <cellStyle name="Normal 8 3 3 2 4 6" xfId="10337" xr:uid="{79EC15C6-22B7-4DE0-BD33-6922C9A28A80}"/>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34002" xr:uid="{EA5E2F56-58C2-4E5C-AA0B-4C74C1AD7BC5}"/>
    <cellStyle name="Normal 8 3 3 2 5 2 2 3" xfId="25561" xr:uid="{BB85F08A-75A7-4C49-923B-5E75294216FC}"/>
    <cellStyle name="Normal 8 3 3 2 5 2 2 4" xfId="17113" xr:uid="{D4A480D7-F47A-41EF-B783-B434E8A5AA55}"/>
    <cellStyle name="Normal 8 3 3 2 5 2 3" xfId="29784" xr:uid="{7C45475F-4E7D-466D-8318-7C395325D062}"/>
    <cellStyle name="Normal 8 3 3 2 5 2 4" xfId="21343" xr:uid="{D3724235-F40C-4830-BAA9-5EF7C4B23E9D}"/>
    <cellStyle name="Normal 8 3 3 2 5 2 5" xfId="12895" xr:uid="{57B14450-47EF-4280-AA17-A0B0371709A7}"/>
    <cellStyle name="Normal 8 3 3 2 5 3" xfId="6518" xr:uid="{00000000-0005-0000-0000-0000921D0000}"/>
    <cellStyle name="Normal 8 3 3 2 5 3 2" xfId="31857" xr:uid="{1A720A87-5660-4F23-AC05-7DC5001CDAFE}"/>
    <cellStyle name="Normal 8 3 3 2 5 3 3" xfId="23416" xr:uid="{76EF9488-6BEA-4B7D-A093-7BC26DACA6CF}"/>
    <cellStyle name="Normal 8 3 3 2 5 3 4" xfId="14968" xr:uid="{DCA9D562-BB95-4BE6-8EC9-F9C67758FC7C}"/>
    <cellStyle name="Normal 8 3 3 2 5 4" xfId="27639" xr:uid="{12916F55-4DF9-4EDB-9F61-721284E22028}"/>
    <cellStyle name="Normal 8 3 3 2 5 5" xfId="19198" xr:uid="{29A00DE7-8525-4DAC-A921-31E40F3F55FE}"/>
    <cellStyle name="Normal 8 3 3 2 5 6" xfId="10750" xr:uid="{FF75CC72-D947-458F-B910-B3F2432FE3E3}"/>
    <cellStyle name="Normal 8 3 3 2 6" xfId="2648" xr:uid="{00000000-0005-0000-0000-0000931D0000}"/>
    <cellStyle name="Normal 8 3 3 2 6 2" xfId="6931" xr:uid="{00000000-0005-0000-0000-0000941D0000}"/>
    <cellStyle name="Normal 8 3 3 2 6 2 2" xfId="32270" xr:uid="{FBA6AB26-DBBA-4596-BC4D-44D4C1DE7DB2}"/>
    <cellStyle name="Normal 8 3 3 2 6 2 3" xfId="23829" xr:uid="{883D6A11-A676-40D2-9A52-759C87D0EB40}"/>
    <cellStyle name="Normal 8 3 3 2 6 2 4" xfId="15381" xr:uid="{25E3827B-8E79-4F51-805D-E05283619DBC}"/>
    <cellStyle name="Normal 8 3 3 2 6 3" xfId="28052" xr:uid="{01B7568D-C4CB-489B-9E76-6390F9D201F0}"/>
    <cellStyle name="Normal 8 3 3 2 6 4" xfId="19611" xr:uid="{9739FD68-AEAF-4D36-B98F-53C67C3F53C0}"/>
    <cellStyle name="Normal 8 3 3 2 6 5" xfId="11163" xr:uid="{32FAC0A9-8D96-4551-992D-E4FF2701406F}"/>
    <cellStyle name="Normal 8 3 3 2 7" xfId="4866" xr:uid="{00000000-0005-0000-0000-0000951D0000}"/>
    <cellStyle name="Normal 8 3 3 2 7 2" xfId="30205" xr:uid="{57561EEB-7D48-481F-8CCE-1DFBD1DC0AEE}"/>
    <cellStyle name="Normal 8 3 3 2 7 3" xfId="21764" xr:uid="{C24FF3CA-39B3-4FD6-9630-2701E29CBB95}"/>
    <cellStyle name="Normal 8 3 3 2 7 4" xfId="13316" xr:uid="{59E5AD9C-D786-4E88-B882-D0D8514852A6}"/>
    <cellStyle name="Normal 8 3 3 2 8" xfId="25987" xr:uid="{BA8D6EA1-2315-4E73-9C39-341E4159A6DA}"/>
    <cellStyle name="Normal 8 3 3 2 9" xfId="17546" xr:uid="{5573FD1D-7888-41F2-8F15-5A5856F25021}"/>
    <cellStyle name="Normal 8 3 3 3" xfId="967" xr:uid="{00000000-0005-0000-0000-0000961D0000}"/>
    <cellStyle name="Normal 8 3 3 3 2" xfId="3201" xr:uid="{00000000-0005-0000-0000-0000971D0000}"/>
    <cellStyle name="Normal 8 3 3 3 2 2" xfId="7423" xr:uid="{00000000-0005-0000-0000-0000981D0000}"/>
    <cellStyle name="Normal 8 3 3 3 2 2 2" xfId="32762" xr:uid="{07126FA4-6E4E-457B-A14B-E4BEAE18C450}"/>
    <cellStyle name="Normal 8 3 3 3 2 2 3" xfId="24321" xr:uid="{A700D561-D0B5-4786-93FD-845A9EA1DC8D}"/>
    <cellStyle name="Normal 8 3 3 3 2 2 4" xfId="15873" xr:uid="{8B338A51-E8B5-4B4B-A4DC-AF3897242434}"/>
    <cellStyle name="Normal 8 3 3 3 2 3" xfId="28544" xr:uid="{D4A9954D-BBF8-49FA-90D1-6D9A3272CC81}"/>
    <cellStyle name="Normal 8 3 3 3 2 4" xfId="20103" xr:uid="{582A34BE-596A-4343-95C6-D18037AF5617}"/>
    <cellStyle name="Normal 8 3 3 3 2 5" xfId="11655" xr:uid="{7FF3BAB9-F594-4DA2-8041-2FE16DA9CDCF}"/>
    <cellStyle name="Normal 8 3 3 3 3" xfId="5278" xr:uid="{00000000-0005-0000-0000-0000991D0000}"/>
    <cellStyle name="Normal 8 3 3 3 3 2" xfId="30617" xr:uid="{29C3C78A-B7ED-4F9B-A5F0-E539B96B1313}"/>
    <cellStyle name="Normal 8 3 3 3 3 3" xfId="22176" xr:uid="{C23460B8-88E1-4ABE-8845-23CDD8C82A1D}"/>
    <cellStyle name="Normal 8 3 3 3 3 4" xfId="13728" xr:uid="{26F39549-E5E5-4440-B80A-F2FDD7A1F132}"/>
    <cellStyle name="Normal 8 3 3 3 4" xfId="26399" xr:uid="{92583197-2148-4CEB-B09B-D517AACD5488}"/>
    <cellStyle name="Normal 8 3 3 3 5" xfId="17958" xr:uid="{EA970E24-1A11-4DB5-9524-7ADFC96A8AF4}"/>
    <cellStyle name="Normal 8 3 3 3 6" xfId="9510" xr:uid="{AFF37729-E7E8-4611-AA94-9A3ED1EAF3E7}"/>
    <cellStyle name="Normal 8 3 3 4" xfId="1384" xr:uid="{00000000-0005-0000-0000-00009A1D0000}"/>
    <cellStyle name="Normal 8 3 3 4 2" xfId="3614" xr:uid="{00000000-0005-0000-0000-00009B1D0000}"/>
    <cellStyle name="Normal 8 3 3 4 2 2" xfId="7836" xr:uid="{00000000-0005-0000-0000-00009C1D0000}"/>
    <cellStyle name="Normal 8 3 3 4 2 2 2" xfId="33175" xr:uid="{70BDCACE-0571-4232-9A59-2AF53480036E}"/>
    <cellStyle name="Normal 8 3 3 4 2 2 3" xfId="24734" xr:uid="{4584FD5D-186B-4B5D-8BF7-ECF74B535F03}"/>
    <cellStyle name="Normal 8 3 3 4 2 2 4" xfId="16286" xr:uid="{0616CF8A-3F44-400C-B95C-E92D2969B517}"/>
    <cellStyle name="Normal 8 3 3 4 2 3" xfId="28957" xr:uid="{26441208-D74F-4318-80BB-ACAF852B777B}"/>
    <cellStyle name="Normal 8 3 3 4 2 4" xfId="20516" xr:uid="{81DCA55C-4ACE-40BD-AF15-8D50C1B280FE}"/>
    <cellStyle name="Normal 8 3 3 4 2 5" xfId="12068" xr:uid="{1206643E-AFE7-4299-8C34-D72D917F5D84}"/>
    <cellStyle name="Normal 8 3 3 4 3" xfId="5691" xr:uid="{00000000-0005-0000-0000-00009D1D0000}"/>
    <cellStyle name="Normal 8 3 3 4 3 2" xfId="31030" xr:uid="{1CC4709A-06BB-485A-959A-9E4E6DCB1ED5}"/>
    <cellStyle name="Normal 8 3 3 4 3 3" xfId="22589" xr:uid="{200B9858-12F4-466F-8B3C-1FB7BF2FCC2E}"/>
    <cellStyle name="Normal 8 3 3 4 3 4" xfId="14141" xr:uid="{1A9C15C9-7514-4CF8-8EB9-BDF9B6C838AE}"/>
    <cellStyle name="Normal 8 3 3 4 4" xfId="26812" xr:uid="{AA81D049-8B3E-4E9B-A13A-63E459EBABE4}"/>
    <cellStyle name="Normal 8 3 3 4 5" xfId="18371" xr:uid="{3A99808A-D907-4C6D-8B70-14884075F044}"/>
    <cellStyle name="Normal 8 3 3 4 6" xfId="9923" xr:uid="{57B6DF10-4CF7-4AF5-A095-E5035B2E5610}"/>
    <cellStyle name="Normal 8 3 3 5" xfId="1797" xr:uid="{00000000-0005-0000-0000-00009E1D0000}"/>
    <cellStyle name="Normal 8 3 3 5 2" xfId="4027" xr:uid="{00000000-0005-0000-0000-00009F1D0000}"/>
    <cellStyle name="Normal 8 3 3 5 2 2" xfId="8249" xr:uid="{00000000-0005-0000-0000-0000A01D0000}"/>
    <cellStyle name="Normal 8 3 3 5 2 2 2" xfId="33588" xr:uid="{C5B6A75F-583D-405D-85F5-540D04EEC92C}"/>
    <cellStyle name="Normal 8 3 3 5 2 2 3" xfId="25147" xr:uid="{6FD9EF52-2E7A-4327-84EB-635B48DC131A}"/>
    <cellStyle name="Normal 8 3 3 5 2 2 4" xfId="16699" xr:uid="{FBACB6A0-21B5-47EA-9352-A773951A11D8}"/>
    <cellStyle name="Normal 8 3 3 5 2 3" xfId="29370" xr:uid="{00BAC188-0CFD-4B23-901A-49624716D0E0}"/>
    <cellStyle name="Normal 8 3 3 5 2 4" xfId="20929" xr:uid="{74154201-DE45-409F-B6B7-E900274BB090}"/>
    <cellStyle name="Normal 8 3 3 5 2 5" xfId="12481" xr:uid="{B66FCEFB-DCD6-4395-B49D-352CD137B632}"/>
    <cellStyle name="Normal 8 3 3 5 3" xfId="6104" xr:uid="{00000000-0005-0000-0000-0000A11D0000}"/>
    <cellStyle name="Normal 8 3 3 5 3 2" xfId="31443" xr:uid="{FFC52351-76F6-4DFE-BE15-EDF6ACD66965}"/>
    <cellStyle name="Normal 8 3 3 5 3 3" xfId="23002" xr:uid="{227334E7-4130-4A40-8726-3AF529F40209}"/>
    <cellStyle name="Normal 8 3 3 5 3 4" xfId="14554" xr:uid="{0BE4E3CF-0227-4227-98DF-76DFAE7F4AD2}"/>
    <cellStyle name="Normal 8 3 3 5 4" xfId="27225" xr:uid="{00FBDE27-F21E-4A97-B1ED-B798911F04AC}"/>
    <cellStyle name="Normal 8 3 3 5 5" xfId="18784" xr:uid="{44F61650-5AD8-44F4-8534-4F2300DD9003}"/>
    <cellStyle name="Normal 8 3 3 5 6" xfId="10336" xr:uid="{2FB9208A-3C79-47E4-A0DA-C9551FAF4E83}"/>
    <cellStyle name="Normal 8 3 3 6" xfId="2211" xr:uid="{00000000-0005-0000-0000-0000A21D0000}"/>
    <cellStyle name="Normal 8 3 3 6 2" xfId="4440" xr:uid="{00000000-0005-0000-0000-0000A31D0000}"/>
    <cellStyle name="Normal 8 3 3 6 2 2" xfId="8662" xr:uid="{00000000-0005-0000-0000-0000A41D0000}"/>
    <cellStyle name="Normal 8 3 3 6 2 2 2" xfId="34001" xr:uid="{E87BCFD6-622C-4880-9B3A-2F1FC72BB5E7}"/>
    <cellStyle name="Normal 8 3 3 6 2 2 3" xfId="25560" xr:uid="{A63FE0CF-6AEA-47D7-AFC8-054033417B09}"/>
    <cellStyle name="Normal 8 3 3 6 2 2 4" xfId="17112" xr:uid="{9BEAFF94-275D-4402-BC82-20651248F3B8}"/>
    <cellStyle name="Normal 8 3 3 6 2 3" xfId="29783" xr:uid="{F0A39CC3-151C-42F4-B46F-A78D26D3DA79}"/>
    <cellStyle name="Normal 8 3 3 6 2 4" xfId="21342" xr:uid="{D83F98E4-64EA-4D6F-B725-74169FF418C7}"/>
    <cellStyle name="Normal 8 3 3 6 2 5" xfId="12894" xr:uid="{C22E4C48-5FB9-4BA9-9D7B-11A5AE33498E}"/>
    <cellStyle name="Normal 8 3 3 6 3" xfId="6517" xr:uid="{00000000-0005-0000-0000-0000A51D0000}"/>
    <cellStyle name="Normal 8 3 3 6 3 2" xfId="31856" xr:uid="{610B1F00-9FFF-40D6-AC07-74CF1E9804CE}"/>
    <cellStyle name="Normal 8 3 3 6 3 3" xfId="23415" xr:uid="{FD22F4BE-A000-4F54-9717-EFDA5596E09F}"/>
    <cellStyle name="Normal 8 3 3 6 3 4" xfId="14967" xr:uid="{FBA84532-AC45-40D0-962F-2AF64FC5FC7D}"/>
    <cellStyle name="Normal 8 3 3 6 4" xfId="27638" xr:uid="{21F2A626-8969-4DC2-90C8-F14AA89E6587}"/>
    <cellStyle name="Normal 8 3 3 6 5" xfId="19197" xr:uid="{081E7B4E-515E-4913-B3C6-09FDDB84176D}"/>
    <cellStyle name="Normal 8 3 3 6 6" xfId="10749" xr:uid="{D34AE8F9-CA9A-4593-BD6A-CBB526FF7C37}"/>
    <cellStyle name="Normal 8 3 3 7" xfId="2647" xr:uid="{00000000-0005-0000-0000-0000A61D0000}"/>
    <cellStyle name="Normal 8 3 3 7 2" xfId="6930" xr:uid="{00000000-0005-0000-0000-0000A71D0000}"/>
    <cellStyle name="Normal 8 3 3 7 2 2" xfId="32269" xr:uid="{FE3D1723-1C37-4B06-8A86-D67D89461114}"/>
    <cellStyle name="Normal 8 3 3 7 2 3" xfId="23828" xr:uid="{08891056-74FA-4E93-8D96-C5FBCDB34DF3}"/>
    <cellStyle name="Normal 8 3 3 7 2 4" xfId="15380" xr:uid="{BC7A760D-0627-4578-9BA6-9D17D252AB3F}"/>
    <cellStyle name="Normal 8 3 3 7 3" xfId="28051" xr:uid="{BC1C4D9D-146C-4B31-BA32-A5435540313D}"/>
    <cellStyle name="Normal 8 3 3 7 4" xfId="19610" xr:uid="{BD57E221-2718-4B23-80BC-38BC101569C1}"/>
    <cellStyle name="Normal 8 3 3 7 5" xfId="11162" xr:uid="{30D673BF-12E1-4C56-8FB1-BDD5BC0FC5DA}"/>
    <cellStyle name="Normal 8 3 3 8" xfId="4865" xr:uid="{00000000-0005-0000-0000-0000A81D0000}"/>
    <cellStyle name="Normal 8 3 3 8 2" xfId="30204" xr:uid="{4E097CCC-C586-41CA-B3CA-F9C5936C22B3}"/>
    <cellStyle name="Normal 8 3 3 8 3" xfId="21763" xr:uid="{F12E5C2D-48AF-4671-9D7E-E40FFA39A33D}"/>
    <cellStyle name="Normal 8 3 3 8 4" xfId="13315" xr:uid="{D81317B1-7242-47ED-8B11-3B381A608238}"/>
    <cellStyle name="Normal 8 3 3 9" xfId="25986" xr:uid="{D0FAE7A0-3A51-4BED-AF28-5C491D82392D}"/>
    <cellStyle name="Normal 8 3 4" xfId="502" xr:uid="{00000000-0005-0000-0000-0000A91D0000}"/>
    <cellStyle name="Normal 8 3 4 10" xfId="9099" xr:uid="{157F5E9D-2F64-40B5-BAD8-5C7DF318148E}"/>
    <cellStyle name="Normal 8 3 4 2" xfId="969" xr:uid="{00000000-0005-0000-0000-0000AA1D0000}"/>
    <cellStyle name="Normal 8 3 4 2 2" xfId="3203" xr:uid="{00000000-0005-0000-0000-0000AB1D0000}"/>
    <cellStyle name="Normal 8 3 4 2 2 2" xfId="7425" xr:uid="{00000000-0005-0000-0000-0000AC1D0000}"/>
    <cellStyle name="Normal 8 3 4 2 2 2 2" xfId="32764" xr:uid="{49F2F274-845F-427A-94B6-A5B06B853737}"/>
    <cellStyle name="Normal 8 3 4 2 2 2 3" xfId="24323" xr:uid="{D3CB29D5-385A-4BA1-B1DB-8B399016A837}"/>
    <cellStyle name="Normal 8 3 4 2 2 2 4" xfId="15875" xr:uid="{E37C8477-E225-42D8-9F07-ACC9817C4F56}"/>
    <cellStyle name="Normal 8 3 4 2 2 3" xfId="28546" xr:uid="{5FB29486-D709-4F8B-981D-3B65D3353B83}"/>
    <cellStyle name="Normal 8 3 4 2 2 4" xfId="20105" xr:uid="{0465017F-3807-4B58-8AFF-8CA094142C43}"/>
    <cellStyle name="Normal 8 3 4 2 2 5" xfId="11657" xr:uid="{91A5D18F-8921-40FF-84F8-A9C6152875EC}"/>
    <cellStyle name="Normal 8 3 4 2 3" xfId="5280" xr:uid="{00000000-0005-0000-0000-0000AD1D0000}"/>
    <cellStyle name="Normal 8 3 4 2 3 2" xfId="30619" xr:uid="{93FFB245-B989-4211-868A-61F6851DABDC}"/>
    <cellStyle name="Normal 8 3 4 2 3 3" xfId="22178" xr:uid="{F70C38C8-9556-4A7A-B4D3-05C9776324A5}"/>
    <cellStyle name="Normal 8 3 4 2 3 4" xfId="13730" xr:uid="{B15BADA5-5F2F-4014-8973-ADAC3FB0AEDA}"/>
    <cellStyle name="Normal 8 3 4 2 4" xfId="26401" xr:uid="{47E83E16-FCB2-4208-BE10-6B495662A186}"/>
    <cellStyle name="Normal 8 3 4 2 5" xfId="17960" xr:uid="{B56849AC-FCFC-4DF4-A108-639FF4568E07}"/>
    <cellStyle name="Normal 8 3 4 2 6" xfId="9512" xr:uid="{9DD7B36B-1305-4A54-897B-52B81D0F34D6}"/>
    <cellStyle name="Normal 8 3 4 3" xfId="1386" xr:uid="{00000000-0005-0000-0000-0000AE1D0000}"/>
    <cellStyle name="Normal 8 3 4 3 2" xfId="3616" xr:uid="{00000000-0005-0000-0000-0000AF1D0000}"/>
    <cellStyle name="Normal 8 3 4 3 2 2" xfId="7838" xr:uid="{00000000-0005-0000-0000-0000B01D0000}"/>
    <cellStyle name="Normal 8 3 4 3 2 2 2" xfId="33177" xr:uid="{DA97F70C-E375-4946-9876-AD64D53C0F89}"/>
    <cellStyle name="Normal 8 3 4 3 2 2 3" xfId="24736" xr:uid="{E54B50E1-CC06-4124-8C4F-97CF78D7A774}"/>
    <cellStyle name="Normal 8 3 4 3 2 2 4" xfId="16288" xr:uid="{BAB0F455-88DB-46B8-B0E1-66096188E8B4}"/>
    <cellStyle name="Normal 8 3 4 3 2 3" xfId="28959" xr:uid="{51FA01D0-C6E1-403C-AA10-EDEE785B450E}"/>
    <cellStyle name="Normal 8 3 4 3 2 4" xfId="20518" xr:uid="{C96E2579-6780-461E-AFBA-AB75117AA19F}"/>
    <cellStyle name="Normal 8 3 4 3 2 5" xfId="12070" xr:uid="{33D87AEC-6D75-430F-A025-6359E24C26DA}"/>
    <cellStyle name="Normal 8 3 4 3 3" xfId="5693" xr:uid="{00000000-0005-0000-0000-0000B11D0000}"/>
    <cellStyle name="Normal 8 3 4 3 3 2" xfId="31032" xr:uid="{037B0921-F935-4E46-B6AD-31BC9A69BDED}"/>
    <cellStyle name="Normal 8 3 4 3 3 3" xfId="22591" xr:uid="{7647E52D-FDE7-44AE-8D62-76B0C060BFB5}"/>
    <cellStyle name="Normal 8 3 4 3 3 4" xfId="14143" xr:uid="{225AB47A-FE0D-4ABA-9538-213277B92B43}"/>
    <cellStyle name="Normal 8 3 4 3 4" xfId="26814" xr:uid="{F84EB232-F4DD-4A2D-80B6-4903C362E455}"/>
    <cellStyle name="Normal 8 3 4 3 5" xfId="18373" xr:uid="{1186DE8B-9786-4A1A-9A14-4A5582D604F2}"/>
    <cellStyle name="Normal 8 3 4 3 6" xfId="9925" xr:uid="{BE14B974-BFFE-4D67-8BA4-B645272CE21D}"/>
    <cellStyle name="Normal 8 3 4 4" xfId="1799" xr:uid="{00000000-0005-0000-0000-0000B21D0000}"/>
    <cellStyle name="Normal 8 3 4 4 2" xfId="4029" xr:uid="{00000000-0005-0000-0000-0000B31D0000}"/>
    <cellStyle name="Normal 8 3 4 4 2 2" xfId="8251" xr:uid="{00000000-0005-0000-0000-0000B41D0000}"/>
    <cellStyle name="Normal 8 3 4 4 2 2 2" xfId="33590" xr:uid="{3942747F-A827-45F8-92E6-00C762151314}"/>
    <cellStyle name="Normal 8 3 4 4 2 2 3" xfId="25149" xr:uid="{0FACF417-9470-486C-AAFE-17F4C806E5A3}"/>
    <cellStyle name="Normal 8 3 4 4 2 2 4" xfId="16701" xr:uid="{9E889D3C-D5A7-4B2C-819C-DBBFB8D0FC7D}"/>
    <cellStyle name="Normal 8 3 4 4 2 3" xfId="29372" xr:uid="{CE976087-96AD-4527-9A89-28EFCE25634C}"/>
    <cellStyle name="Normal 8 3 4 4 2 4" xfId="20931" xr:uid="{12705112-E82E-4DC0-924E-BA17DC8B3FE0}"/>
    <cellStyle name="Normal 8 3 4 4 2 5" xfId="12483" xr:uid="{7A8BF333-F31F-4EFD-B41F-542B9B24F318}"/>
    <cellStyle name="Normal 8 3 4 4 3" xfId="6106" xr:uid="{00000000-0005-0000-0000-0000B51D0000}"/>
    <cellStyle name="Normal 8 3 4 4 3 2" xfId="31445" xr:uid="{D45A36B9-162D-4C9A-8B1C-FDF700E2A016}"/>
    <cellStyle name="Normal 8 3 4 4 3 3" xfId="23004" xr:uid="{B08545FB-BA8B-4E78-B3DF-6BB7A76BB558}"/>
    <cellStyle name="Normal 8 3 4 4 3 4" xfId="14556" xr:uid="{6A326034-B7C1-4181-A7E4-7C9B701B2C59}"/>
    <cellStyle name="Normal 8 3 4 4 4" xfId="27227" xr:uid="{A0C442B6-2894-45BE-8573-133E74A16DFE}"/>
    <cellStyle name="Normal 8 3 4 4 5" xfId="18786" xr:uid="{6246B433-7A48-4D40-937F-1C33B76FC576}"/>
    <cellStyle name="Normal 8 3 4 4 6" xfId="10338" xr:uid="{5CD4ABB2-4FBC-4BC9-B8B6-17C376DF10CA}"/>
    <cellStyle name="Normal 8 3 4 5" xfId="2213" xr:uid="{00000000-0005-0000-0000-0000B61D0000}"/>
    <cellStyle name="Normal 8 3 4 5 2" xfId="4442" xr:uid="{00000000-0005-0000-0000-0000B71D0000}"/>
    <cellStyle name="Normal 8 3 4 5 2 2" xfId="8664" xr:uid="{00000000-0005-0000-0000-0000B81D0000}"/>
    <cellStyle name="Normal 8 3 4 5 2 2 2" xfId="34003" xr:uid="{A4D4D85C-4480-406B-BA26-C8FD6D57EC0C}"/>
    <cellStyle name="Normal 8 3 4 5 2 2 3" xfId="25562" xr:uid="{C669042D-58B6-4F97-859C-284F8BA37565}"/>
    <cellStyle name="Normal 8 3 4 5 2 2 4" xfId="17114" xr:uid="{122C900C-F674-4F36-A05D-49BB41A866AB}"/>
    <cellStyle name="Normal 8 3 4 5 2 3" xfId="29785" xr:uid="{9E2A77B2-EFC4-4D10-9C31-982B179E23DA}"/>
    <cellStyle name="Normal 8 3 4 5 2 4" xfId="21344" xr:uid="{28D1CD0F-C8B5-4A0C-9170-4B6546751838}"/>
    <cellStyle name="Normal 8 3 4 5 2 5" xfId="12896" xr:uid="{CBC478C0-63BE-487D-9C74-6121B92B4C68}"/>
    <cellStyle name="Normal 8 3 4 5 3" xfId="6519" xr:uid="{00000000-0005-0000-0000-0000B91D0000}"/>
    <cellStyle name="Normal 8 3 4 5 3 2" xfId="31858" xr:uid="{683B947A-9672-41FD-BE67-48B98ABDC3B3}"/>
    <cellStyle name="Normal 8 3 4 5 3 3" xfId="23417" xr:uid="{410C9B58-6E9D-44C1-9DE7-8F913E8E3F9A}"/>
    <cellStyle name="Normal 8 3 4 5 3 4" xfId="14969" xr:uid="{F40ABE4A-0ED7-431B-8D4E-CF187E121A0E}"/>
    <cellStyle name="Normal 8 3 4 5 4" xfId="27640" xr:uid="{FD22D12B-9ED3-406D-B72B-4A0175E2119D}"/>
    <cellStyle name="Normal 8 3 4 5 5" xfId="19199" xr:uid="{C9FCEEC3-75D0-413C-BAA3-AA5DEABB21D3}"/>
    <cellStyle name="Normal 8 3 4 5 6" xfId="10751" xr:uid="{613AD271-75B1-405A-83FD-93529AE905FD}"/>
    <cellStyle name="Normal 8 3 4 6" xfId="2649" xr:uid="{00000000-0005-0000-0000-0000BA1D0000}"/>
    <cellStyle name="Normal 8 3 4 6 2" xfId="6932" xr:uid="{00000000-0005-0000-0000-0000BB1D0000}"/>
    <cellStyle name="Normal 8 3 4 6 2 2" xfId="32271" xr:uid="{9E90DCD0-5BFE-4A87-B099-0C812B19BD1F}"/>
    <cellStyle name="Normal 8 3 4 6 2 3" xfId="23830" xr:uid="{76CA8C2A-44A3-4A79-A18C-2385559A1F91}"/>
    <cellStyle name="Normal 8 3 4 6 2 4" xfId="15382" xr:uid="{E1941F1A-16E7-41B0-B9B7-986ADB69FA74}"/>
    <cellStyle name="Normal 8 3 4 6 3" xfId="28053" xr:uid="{E96903E8-032C-48C7-A79C-C32951B812FA}"/>
    <cellStyle name="Normal 8 3 4 6 4" xfId="19612" xr:uid="{063D91A9-4DBA-4CB2-A012-5C8A738FDCBA}"/>
    <cellStyle name="Normal 8 3 4 6 5" xfId="11164" xr:uid="{B309BB9B-FFFA-4B1D-B4CE-BAD4DA876656}"/>
    <cellStyle name="Normal 8 3 4 7" xfId="4867" xr:uid="{00000000-0005-0000-0000-0000BC1D0000}"/>
    <cellStyle name="Normal 8 3 4 7 2" xfId="30206" xr:uid="{DAD0CC88-D1DE-4530-AC58-4675E7C9E20B}"/>
    <cellStyle name="Normal 8 3 4 7 3" xfId="21765" xr:uid="{C5821329-FA18-4D2C-B0C6-DDC900816305}"/>
    <cellStyle name="Normal 8 3 4 7 4" xfId="13317" xr:uid="{935B00F9-0438-4800-8650-0420DCF89493}"/>
    <cellStyle name="Normal 8 3 4 8" xfId="25988" xr:uid="{78D15769-F1F4-4A7E-8B22-928DBD764574}"/>
    <cellStyle name="Normal 8 3 4 9" xfId="17547" xr:uid="{1AF5F107-7FA6-4155-B7E9-54D98A071892}"/>
    <cellStyle name="Normal 8 3 5" xfId="962" xr:uid="{00000000-0005-0000-0000-0000BD1D0000}"/>
    <cellStyle name="Normal 8 3 5 2" xfId="3196" xr:uid="{00000000-0005-0000-0000-0000BE1D0000}"/>
    <cellStyle name="Normal 8 3 5 2 2" xfId="7418" xr:uid="{00000000-0005-0000-0000-0000BF1D0000}"/>
    <cellStyle name="Normal 8 3 5 2 2 2" xfId="32757" xr:uid="{5F4D83CF-B3C8-4AD0-AC3C-093F748814B4}"/>
    <cellStyle name="Normal 8 3 5 2 2 3" xfId="24316" xr:uid="{B249BCF7-25EF-4695-B92B-516C63881E4B}"/>
    <cellStyle name="Normal 8 3 5 2 2 4" xfId="15868" xr:uid="{0C83DDEF-801A-4EDE-BA10-2AD51F52A0FA}"/>
    <cellStyle name="Normal 8 3 5 2 3" xfId="28539" xr:uid="{B5D7D673-A53F-43BE-A831-34BDD4A07237}"/>
    <cellStyle name="Normal 8 3 5 2 4" xfId="20098" xr:uid="{6A9C6AB5-2792-467D-95BD-60BFF93122BB}"/>
    <cellStyle name="Normal 8 3 5 2 5" xfId="11650" xr:uid="{0AC588CC-E6C0-4894-9406-937D8D76F43D}"/>
    <cellStyle name="Normal 8 3 5 3" xfId="5273" xr:uid="{00000000-0005-0000-0000-0000C01D0000}"/>
    <cellStyle name="Normal 8 3 5 3 2" xfId="30612" xr:uid="{9BD56933-3B81-4A63-8E5D-AD012C52A7A6}"/>
    <cellStyle name="Normal 8 3 5 3 3" xfId="22171" xr:uid="{3422B0A7-770E-4883-A00E-8C5E02195508}"/>
    <cellStyle name="Normal 8 3 5 3 4" xfId="13723" xr:uid="{EEAE2F4B-E98B-457F-93D0-3A0C3F2E780B}"/>
    <cellStyle name="Normal 8 3 5 4" xfId="26394" xr:uid="{3B06066C-CE38-435D-9D24-4E7DFCC06383}"/>
    <cellStyle name="Normal 8 3 5 5" xfId="17953" xr:uid="{45BF2A19-423D-45EC-A3A5-1A04EC5DC3AB}"/>
    <cellStyle name="Normal 8 3 5 6" xfId="9505" xr:uid="{BC212353-9E98-4C9D-9F74-7C6871185098}"/>
    <cellStyle name="Normal 8 3 6" xfId="1379" xr:uid="{00000000-0005-0000-0000-0000C11D0000}"/>
    <cellStyle name="Normal 8 3 6 2" xfId="3609" xr:uid="{00000000-0005-0000-0000-0000C21D0000}"/>
    <cellStyle name="Normal 8 3 6 2 2" xfId="7831" xr:uid="{00000000-0005-0000-0000-0000C31D0000}"/>
    <cellStyle name="Normal 8 3 6 2 2 2" xfId="33170" xr:uid="{BF1C3449-1BD6-4EC5-ABE3-FE13EB99D830}"/>
    <cellStyle name="Normal 8 3 6 2 2 3" xfId="24729" xr:uid="{189F14DA-3104-4AA2-B18E-905748324D1B}"/>
    <cellStyle name="Normal 8 3 6 2 2 4" xfId="16281" xr:uid="{D1E17559-D0B8-4C5F-A958-16CF72E4B1C1}"/>
    <cellStyle name="Normal 8 3 6 2 3" xfId="28952" xr:uid="{89777FEA-9B35-413D-89C6-E6499F251570}"/>
    <cellStyle name="Normal 8 3 6 2 4" xfId="20511" xr:uid="{F14F247D-B1D6-48A8-B685-C7CC25B8D807}"/>
    <cellStyle name="Normal 8 3 6 2 5" xfId="12063" xr:uid="{8139C6FA-2795-4305-9E31-5811EAFED43C}"/>
    <cellStyle name="Normal 8 3 6 3" xfId="5686" xr:uid="{00000000-0005-0000-0000-0000C41D0000}"/>
    <cellStyle name="Normal 8 3 6 3 2" xfId="31025" xr:uid="{863A9E77-8346-4F78-A572-1A98F55C0C5D}"/>
    <cellStyle name="Normal 8 3 6 3 3" xfId="22584" xr:uid="{53C4D958-8AE4-40BE-979A-B99F27F3F06D}"/>
    <cellStyle name="Normal 8 3 6 3 4" xfId="14136" xr:uid="{28D06853-B348-4B77-9058-FA25456B4D9B}"/>
    <cellStyle name="Normal 8 3 6 4" xfId="26807" xr:uid="{BA0EB595-559A-491C-843C-A02928DDAE4A}"/>
    <cellStyle name="Normal 8 3 6 5" xfId="18366" xr:uid="{34DF2339-A0DF-45A0-9B3A-E15D709301E7}"/>
    <cellStyle name="Normal 8 3 6 6" xfId="9918" xr:uid="{954299E7-F8C9-431F-AFA2-CC31F1E9AC0B}"/>
    <cellStyle name="Normal 8 3 7" xfId="1792" xr:uid="{00000000-0005-0000-0000-0000C51D0000}"/>
    <cellStyle name="Normal 8 3 7 2" xfId="4022" xr:uid="{00000000-0005-0000-0000-0000C61D0000}"/>
    <cellStyle name="Normal 8 3 7 2 2" xfId="8244" xr:uid="{00000000-0005-0000-0000-0000C71D0000}"/>
    <cellStyle name="Normal 8 3 7 2 2 2" xfId="33583" xr:uid="{D708EC5B-7DBC-4AB3-8506-CAFAFA609455}"/>
    <cellStyle name="Normal 8 3 7 2 2 3" xfId="25142" xr:uid="{D7787F96-3D3C-4244-812C-40D90F19E056}"/>
    <cellStyle name="Normal 8 3 7 2 2 4" xfId="16694" xr:uid="{DB35C6B7-F946-4FE3-8367-14BF7DC397E9}"/>
    <cellStyle name="Normal 8 3 7 2 3" xfId="29365" xr:uid="{8D0EA908-D0AA-4A08-A9D2-27B1019580B0}"/>
    <cellStyle name="Normal 8 3 7 2 4" xfId="20924" xr:uid="{7A4F614C-F888-42AE-A851-CE278AA2D141}"/>
    <cellStyle name="Normal 8 3 7 2 5" xfId="12476" xr:uid="{6DFCAE6F-99BD-47A8-90EE-FD9975EE25E0}"/>
    <cellStyle name="Normal 8 3 7 3" xfId="6099" xr:uid="{00000000-0005-0000-0000-0000C81D0000}"/>
    <cellStyle name="Normal 8 3 7 3 2" xfId="31438" xr:uid="{2921BBF4-A6D8-4CBB-ACE3-B0918F47261A}"/>
    <cellStyle name="Normal 8 3 7 3 3" xfId="22997" xr:uid="{5D7AFC49-6D89-4BFC-8F79-7393BB0E1362}"/>
    <cellStyle name="Normal 8 3 7 3 4" xfId="14549" xr:uid="{D04746F2-F550-43DE-B4AF-CC2FD788336E}"/>
    <cellStyle name="Normal 8 3 7 4" xfId="27220" xr:uid="{FB416C50-EB8F-4512-9A31-20AD7ADE1258}"/>
    <cellStyle name="Normal 8 3 7 5" xfId="18779" xr:uid="{49A97846-9A5A-4A47-A8A6-8EDBFE9E8D04}"/>
    <cellStyle name="Normal 8 3 7 6" xfId="10331" xr:uid="{346D15DD-138C-4788-B31F-BA4182BFCD8D}"/>
    <cellStyle name="Normal 8 3 8" xfId="2206" xr:uid="{00000000-0005-0000-0000-0000C91D0000}"/>
    <cellStyle name="Normal 8 3 8 2" xfId="4435" xr:uid="{00000000-0005-0000-0000-0000CA1D0000}"/>
    <cellStyle name="Normal 8 3 8 2 2" xfId="8657" xr:uid="{00000000-0005-0000-0000-0000CB1D0000}"/>
    <cellStyle name="Normal 8 3 8 2 2 2" xfId="33996" xr:uid="{8AFA32D6-3207-46D7-8695-2FB90F569C44}"/>
    <cellStyle name="Normal 8 3 8 2 2 3" xfId="25555" xr:uid="{0125B112-BACE-40C5-9DB3-A8A1B826C8BA}"/>
    <cellStyle name="Normal 8 3 8 2 2 4" xfId="17107" xr:uid="{112F3FA5-B9C1-46DD-8035-727B0A19D121}"/>
    <cellStyle name="Normal 8 3 8 2 3" xfId="29778" xr:uid="{9B25E364-C874-4671-948C-13C561C4E6E3}"/>
    <cellStyle name="Normal 8 3 8 2 4" xfId="21337" xr:uid="{56F0E7C4-4B08-4EC5-8A6F-8925972EC71F}"/>
    <cellStyle name="Normal 8 3 8 2 5" xfId="12889" xr:uid="{C2C44E31-3411-4759-BEC4-08B7EC95EF88}"/>
    <cellStyle name="Normal 8 3 8 3" xfId="6512" xr:uid="{00000000-0005-0000-0000-0000CC1D0000}"/>
    <cellStyle name="Normal 8 3 8 3 2" xfId="31851" xr:uid="{6590A29F-395B-45DD-8CAA-51BF2253EA7B}"/>
    <cellStyle name="Normal 8 3 8 3 3" xfId="23410" xr:uid="{36D0BF1F-C70C-4F92-8486-48CB08594865}"/>
    <cellStyle name="Normal 8 3 8 3 4" xfId="14962" xr:uid="{8C083DA9-4095-47C4-98A9-DF121529314E}"/>
    <cellStyle name="Normal 8 3 8 4" xfId="27633" xr:uid="{1C248D32-1C67-46CF-A733-F2E60B5D7AFD}"/>
    <cellStyle name="Normal 8 3 8 5" xfId="19192" xr:uid="{F94A860F-860C-42A8-9478-EA87F3272F4C}"/>
    <cellStyle name="Normal 8 3 8 6" xfId="10744" xr:uid="{07B120C2-9FB0-43C2-ACBF-20272FAC1D83}"/>
    <cellStyle name="Normal 8 3 9" xfId="2642" xr:uid="{00000000-0005-0000-0000-0000CD1D0000}"/>
    <cellStyle name="Normal 8 3 9 2" xfId="6925" xr:uid="{00000000-0005-0000-0000-0000CE1D0000}"/>
    <cellStyle name="Normal 8 3 9 2 2" xfId="32264" xr:uid="{E5090CFF-2D7A-4EA4-9B51-0585A01B9B46}"/>
    <cellStyle name="Normal 8 3 9 2 3" xfId="23823" xr:uid="{2B7774B6-209D-41BF-9231-4B8F5351ED85}"/>
    <cellStyle name="Normal 8 3 9 2 4" xfId="15375" xr:uid="{9EFD0CF8-8821-46A0-B8F4-C04F479B8B93}"/>
    <cellStyle name="Normal 8 3 9 3" xfId="28046" xr:uid="{D281F8F0-A18C-4D6B-B3BF-2E0B2EFC7D2A}"/>
    <cellStyle name="Normal 8 3 9 4" xfId="19605" xr:uid="{CBDD8674-8A95-441B-97CF-F6241FB170A4}"/>
    <cellStyle name="Normal 8 3 9 5" xfId="11157" xr:uid="{6A35F757-1D76-4FF9-91DA-CFE7C70C941A}"/>
    <cellStyle name="Normal 8 4" xfId="503" xr:uid="{00000000-0005-0000-0000-0000CF1D0000}"/>
    <cellStyle name="Normal 8 4 10" xfId="25989" xr:uid="{BEE99A15-DEBF-4C70-B327-F84B6D3ED651}"/>
    <cellStyle name="Normal 8 4 11" xfId="17548" xr:uid="{756E97A5-5D50-4245-8B6D-4DC6D79F682F}"/>
    <cellStyle name="Normal 8 4 12" xfId="9100" xr:uid="{4A920FC2-080B-41B0-82EE-9F5E25A22CEC}"/>
    <cellStyle name="Normal 8 4 2" xfId="504" xr:uid="{00000000-0005-0000-0000-0000D01D0000}"/>
    <cellStyle name="Normal 8 4 2 10" xfId="17549" xr:uid="{BA434272-2A6A-42ED-8300-AA6674290CB3}"/>
    <cellStyle name="Normal 8 4 2 11" xfId="9101" xr:uid="{3DE1B27D-DC28-469E-B037-6D43EA0000E7}"/>
    <cellStyle name="Normal 8 4 2 2" xfId="505" xr:uid="{00000000-0005-0000-0000-0000D11D0000}"/>
    <cellStyle name="Normal 8 4 2 2 10" xfId="9102" xr:uid="{BD86FFCA-0AAA-4EA2-91C0-FFEDDA4933FE}"/>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32767" xr:uid="{1BC33157-B24B-44D3-9A4C-C67FBD932519}"/>
    <cellStyle name="Normal 8 4 2 2 2 2 2 3" xfId="24326" xr:uid="{0AB66D6C-3D8B-499C-A9FB-3E886D8F81B3}"/>
    <cellStyle name="Normal 8 4 2 2 2 2 2 4" xfId="15878" xr:uid="{5F0DEEA3-BCCA-4988-80E3-489419EC8FEA}"/>
    <cellStyle name="Normal 8 4 2 2 2 2 3" xfId="28549" xr:uid="{A0E8C1F6-14B2-443C-8D48-83F22EA10D76}"/>
    <cellStyle name="Normal 8 4 2 2 2 2 4" xfId="20108" xr:uid="{5FF1A7AB-E503-4C73-8EE1-8B199A86E9BE}"/>
    <cellStyle name="Normal 8 4 2 2 2 2 5" xfId="11660" xr:uid="{212D097D-2074-4EF3-A0B9-3D57EA641A4F}"/>
    <cellStyle name="Normal 8 4 2 2 2 3" xfId="5283" xr:uid="{00000000-0005-0000-0000-0000D51D0000}"/>
    <cellStyle name="Normal 8 4 2 2 2 3 2" xfId="30622" xr:uid="{31099B4C-B6A6-4FE6-B03A-1B5A6C8217A0}"/>
    <cellStyle name="Normal 8 4 2 2 2 3 3" xfId="22181" xr:uid="{0C7EEFCC-E4E8-4677-B2F9-1D8B7CBEC7AB}"/>
    <cellStyle name="Normal 8 4 2 2 2 3 4" xfId="13733" xr:uid="{9F042E78-E167-48EE-82DE-0C37D757F14F}"/>
    <cellStyle name="Normal 8 4 2 2 2 4" xfId="26404" xr:uid="{36096174-42C6-4186-98F7-0DE83A10116B}"/>
    <cellStyle name="Normal 8 4 2 2 2 5" xfId="17963" xr:uid="{8AA96725-38E8-48C3-80F1-1BA26B3FBB4D}"/>
    <cellStyle name="Normal 8 4 2 2 2 6" xfId="9515" xr:uid="{32DB1161-CF7F-4A4B-B51C-946BF8DBFBB0}"/>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33180" xr:uid="{84C3E87E-9F04-4EBA-BC8B-DC6038E7E317}"/>
    <cellStyle name="Normal 8 4 2 2 3 2 2 3" xfId="24739" xr:uid="{50A0D69F-56D0-471E-A8A3-82DB901A462A}"/>
    <cellStyle name="Normal 8 4 2 2 3 2 2 4" xfId="16291" xr:uid="{9131302A-BEAA-4B75-9466-25E73967D382}"/>
    <cellStyle name="Normal 8 4 2 2 3 2 3" xfId="28962" xr:uid="{CC99009B-7036-4AD0-A319-2B734EB780D5}"/>
    <cellStyle name="Normal 8 4 2 2 3 2 4" xfId="20521" xr:uid="{EC658AAA-D633-49F8-BAE2-D03670D36489}"/>
    <cellStyle name="Normal 8 4 2 2 3 2 5" xfId="12073" xr:uid="{15178874-7C0E-4AE2-A5C1-208B109E2600}"/>
    <cellStyle name="Normal 8 4 2 2 3 3" xfId="5696" xr:uid="{00000000-0005-0000-0000-0000D91D0000}"/>
    <cellStyle name="Normal 8 4 2 2 3 3 2" xfId="31035" xr:uid="{2A13C72C-C601-4388-8DCF-DD915D41819A}"/>
    <cellStyle name="Normal 8 4 2 2 3 3 3" xfId="22594" xr:uid="{4A550DDB-1C4F-47BA-B73B-400ADFCA4D99}"/>
    <cellStyle name="Normal 8 4 2 2 3 3 4" xfId="14146" xr:uid="{964F7190-ED64-49FF-9617-098E0D85EB4A}"/>
    <cellStyle name="Normal 8 4 2 2 3 4" xfId="26817" xr:uid="{72014E40-D7CD-4D9D-BC94-48CB7294D30B}"/>
    <cellStyle name="Normal 8 4 2 2 3 5" xfId="18376" xr:uid="{AE4ED1B1-0138-4B18-AA07-7F3E21FECE68}"/>
    <cellStyle name="Normal 8 4 2 2 3 6" xfId="9928" xr:uid="{358C4EF8-C3BE-4394-A05B-E7EF47ED9E0A}"/>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33593" xr:uid="{9D812A5D-1317-48E6-9C5A-771D4E553B41}"/>
    <cellStyle name="Normal 8 4 2 2 4 2 2 3" xfId="25152" xr:uid="{FF118757-999D-4B40-9981-18E82AF8A08D}"/>
    <cellStyle name="Normal 8 4 2 2 4 2 2 4" xfId="16704" xr:uid="{EF8A11B3-022D-468C-B1E2-41B47710074A}"/>
    <cellStyle name="Normal 8 4 2 2 4 2 3" xfId="29375" xr:uid="{B8FF992C-F0D8-4E9C-9632-9DCF45F68DC1}"/>
    <cellStyle name="Normal 8 4 2 2 4 2 4" xfId="20934" xr:uid="{949D2D45-FEAF-4279-9624-D7ED36ED00DE}"/>
    <cellStyle name="Normal 8 4 2 2 4 2 5" xfId="12486" xr:uid="{526249E7-09CC-4BB5-837D-8369864D6657}"/>
    <cellStyle name="Normal 8 4 2 2 4 3" xfId="6109" xr:uid="{00000000-0005-0000-0000-0000DD1D0000}"/>
    <cellStyle name="Normal 8 4 2 2 4 3 2" xfId="31448" xr:uid="{9F612442-1AEE-40FF-9009-47B4041DEF02}"/>
    <cellStyle name="Normal 8 4 2 2 4 3 3" xfId="23007" xr:uid="{C753A06E-B9EE-4B40-A157-3517F904836E}"/>
    <cellStyle name="Normal 8 4 2 2 4 3 4" xfId="14559" xr:uid="{C2A8950D-BAF2-47AB-B50F-5B797CAA7993}"/>
    <cellStyle name="Normal 8 4 2 2 4 4" xfId="27230" xr:uid="{A3EFF74B-53DC-461A-95A8-9314F29C539A}"/>
    <cellStyle name="Normal 8 4 2 2 4 5" xfId="18789" xr:uid="{8BB6112E-D825-4609-8508-1E46E80ED479}"/>
    <cellStyle name="Normal 8 4 2 2 4 6" xfId="10341" xr:uid="{80D1EAB0-A00B-4C42-849D-FA74D7721EDB}"/>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34006" xr:uid="{CA06A751-5354-4783-9CA6-5374F9DBA1CD}"/>
    <cellStyle name="Normal 8 4 2 2 5 2 2 3" xfId="25565" xr:uid="{1A85F224-A3DA-4448-AFC4-1EF01D0164DB}"/>
    <cellStyle name="Normal 8 4 2 2 5 2 2 4" xfId="17117" xr:uid="{6B6935B5-9101-45AE-96A3-1974908EAE8D}"/>
    <cellStyle name="Normal 8 4 2 2 5 2 3" xfId="29788" xr:uid="{4E3BAA64-A6E2-4AD6-9F3B-86B440237737}"/>
    <cellStyle name="Normal 8 4 2 2 5 2 4" xfId="21347" xr:uid="{7C8D2A0C-8282-4901-9402-7FFC7E63E4AF}"/>
    <cellStyle name="Normal 8 4 2 2 5 2 5" xfId="12899" xr:uid="{E876943B-1172-4C96-BCD0-3CF7D6231CD3}"/>
    <cellStyle name="Normal 8 4 2 2 5 3" xfId="6522" xr:uid="{00000000-0005-0000-0000-0000E11D0000}"/>
    <cellStyle name="Normal 8 4 2 2 5 3 2" xfId="31861" xr:uid="{41A1DF27-9C2F-4D6B-9D0B-9649DD6CEA63}"/>
    <cellStyle name="Normal 8 4 2 2 5 3 3" xfId="23420" xr:uid="{CED64B58-934E-4151-867F-1AF34FC98594}"/>
    <cellStyle name="Normal 8 4 2 2 5 3 4" xfId="14972" xr:uid="{0632EAA9-DCA2-404C-8499-B94CDB69FACB}"/>
    <cellStyle name="Normal 8 4 2 2 5 4" xfId="27643" xr:uid="{97E021AD-D720-4D4D-9FED-A8C760522C5A}"/>
    <cellStyle name="Normal 8 4 2 2 5 5" xfId="19202" xr:uid="{D4CA1624-A15A-4308-8B77-77F771E0D1DE}"/>
    <cellStyle name="Normal 8 4 2 2 5 6" xfId="10754" xr:uid="{36A53967-D625-400B-9147-70CB931994A7}"/>
    <cellStyle name="Normal 8 4 2 2 6" xfId="2652" xr:uid="{00000000-0005-0000-0000-0000E21D0000}"/>
    <cellStyle name="Normal 8 4 2 2 6 2" xfId="6935" xr:uid="{00000000-0005-0000-0000-0000E31D0000}"/>
    <cellStyle name="Normal 8 4 2 2 6 2 2" xfId="32274" xr:uid="{1E0182CA-61E0-42F7-A97C-2915510920BE}"/>
    <cellStyle name="Normal 8 4 2 2 6 2 3" xfId="23833" xr:uid="{BAE5DDD2-3CC7-496A-AE59-A6EC8F7173B3}"/>
    <cellStyle name="Normal 8 4 2 2 6 2 4" xfId="15385" xr:uid="{AA10734A-26EF-42E2-B8CF-924397F6BC77}"/>
    <cellStyle name="Normal 8 4 2 2 6 3" xfId="28056" xr:uid="{0EAE6893-F073-401F-B3C5-2ACDB79CD2EE}"/>
    <cellStyle name="Normal 8 4 2 2 6 4" xfId="19615" xr:uid="{EB589FED-80A2-4AE0-8124-B88774BD7802}"/>
    <cellStyle name="Normal 8 4 2 2 6 5" xfId="11167" xr:uid="{06F70E17-FAE1-4CCA-BF1E-825B034F3990}"/>
    <cellStyle name="Normal 8 4 2 2 7" xfId="4870" xr:uid="{00000000-0005-0000-0000-0000E41D0000}"/>
    <cellStyle name="Normal 8 4 2 2 7 2" xfId="30209" xr:uid="{E5897F1B-0A40-4FDE-80B0-C0E1215A0E5C}"/>
    <cellStyle name="Normal 8 4 2 2 7 3" xfId="21768" xr:uid="{A39CE49F-51C9-4F8D-A8F3-67E41C307828}"/>
    <cellStyle name="Normal 8 4 2 2 7 4" xfId="13320" xr:uid="{FFD3B12E-6079-4B30-97A9-976E7C272765}"/>
    <cellStyle name="Normal 8 4 2 2 8" xfId="25991" xr:uid="{D7EFDD8E-D4BA-4874-81A1-B2F87DC3C5C3}"/>
    <cellStyle name="Normal 8 4 2 2 9" xfId="17550" xr:uid="{A6A4D666-065A-4A0F-A477-F14B5580E909}"/>
    <cellStyle name="Normal 8 4 2 3" xfId="971" xr:uid="{00000000-0005-0000-0000-0000E51D0000}"/>
    <cellStyle name="Normal 8 4 2 3 2" xfId="3205" xr:uid="{00000000-0005-0000-0000-0000E61D0000}"/>
    <cellStyle name="Normal 8 4 2 3 2 2" xfId="7427" xr:uid="{00000000-0005-0000-0000-0000E71D0000}"/>
    <cellStyle name="Normal 8 4 2 3 2 2 2" xfId="32766" xr:uid="{78B7841B-601F-4C5B-9D67-934EF0BAFAA2}"/>
    <cellStyle name="Normal 8 4 2 3 2 2 3" xfId="24325" xr:uid="{7DD01B58-9394-4F45-9D9A-553001AED8BC}"/>
    <cellStyle name="Normal 8 4 2 3 2 2 4" xfId="15877" xr:uid="{4FAFE0FD-9D88-467D-A5BF-15D266D5A7B1}"/>
    <cellStyle name="Normal 8 4 2 3 2 3" xfId="28548" xr:uid="{97B923D2-8AAF-4E78-8ECE-956DCFF8BE30}"/>
    <cellStyle name="Normal 8 4 2 3 2 4" xfId="20107" xr:uid="{B5C1BECF-FC81-41EF-9F94-7E8E3692619A}"/>
    <cellStyle name="Normal 8 4 2 3 2 5" xfId="11659" xr:uid="{E2E317B0-0AE4-48AA-A408-92E83A794E19}"/>
    <cellStyle name="Normal 8 4 2 3 3" xfId="5282" xr:uid="{00000000-0005-0000-0000-0000E81D0000}"/>
    <cellStyle name="Normal 8 4 2 3 3 2" xfId="30621" xr:uid="{231A8A69-BD78-464B-B09A-390949DAC886}"/>
    <cellStyle name="Normal 8 4 2 3 3 3" xfId="22180" xr:uid="{329EFBF7-3176-4E5E-8DE8-A16662A53AEC}"/>
    <cellStyle name="Normal 8 4 2 3 3 4" xfId="13732" xr:uid="{EFCAC769-5702-42A2-A8EF-98EBB2471DBE}"/>
    <cellStyle name="Normal 8 4 2 3 4" xfId="26403" xr:uid="{81B8462C-ACDB-41A9-A0BB-177878068887}"/>
    <cellStyle name="Normal 8 4 2 3 5" xfId="17962" xr:uid="{EAF975C1-B279-450F-A10B-80240AA35B47}"/>
    <cellStyle name="Normal 8 4 2 3 6" xfId="9514" xr:uid="{96C7662A-CBFD-47AF-B8FA-05A067FC839F}"/>
    <cellStyle name="Normal 8 4 2 4" xfId="1388" xr:uid="{00000000-0005-0000-0000-0000E91D0000}"/>
    <cellStyle name="Normal 8 4 2 4 2" xfId="3618" xr:uid="{00000000-0005-0000-0000-0000EA1D0000}"/>
    <cellStyle name="Normal 8 4 2 4 2 2" xfId="7840" xr:uid="{00000000-0005-0000-0000-0000EB1D0000}"/>
    <cellStyle name="Normal 8 4 2 4 2 2 2" xfId="33179" xr:uid="{2BA5B82D-44DD-4965-9EE0-B03928444BE8}"/>
    <cellStyle name="Normal 8 4 2 4 2 2 3" xfId="24738" xr:uid="{894BB83F-01A2-4877-90E3-FB05C596D635}"/>
    <cellStyle name="Normal 8 4 2 4 2 2 4" xfId="16290" xr:uid="{22A982F4-C7C5-4820-8EC6-63A57B86FF68}"/>
    <cellStyle name="Normal 8 4 2 4 2 3" xfId="28961" xr:uid="{EC24A69C-E48A-4C79-BAE4-9CEA49F96E2C}"/>
    <cellStyle name="Normal 8 4 2 4 2 4" xfId="20520" xr:uid="{11EC2B3D-9758-424F-959D-288108276980}"/>
    <cellStyle name="Normal 8 4 2 4 2 5" xfId="12072" xr:uid="{8FE77D97-422B-45B9-9DB3-9470F227E308}"/>
    <cellStyle name="Normal 8 4 2 4 3" xfId="5695" xr:uid="{00000000-0005-0000-0000-0000EC1D0000}"/>
    <cellStyle name="Normal 8 4 2 4 3 2" xfId="31034" xr:uid="{C82FB80F-369A-4058-8B80-781EDE1560CA}"/>
    <cellStyle name="Normal 8 4 2 4 3 3" xfId="22593" xr:uid="{A89751F6-ED0F-4835-99D1-9869A6A527C6}"/>
    <cellStyle name="Normal 8 4 2 4 3 4" xfId="14145" xr:uid="{8372E1C7-56EA-46BA-8698-7D9120B94F7F}"/>
    <cellStyle name="Normal 8 4 2 4 4" xfId="26816" xr:uid="{18E5AE88-6FCE-4016-89E1-F98EB15EF737}"/>
    <cellStyle name="Normal 8 4 2 4 5" xfId="18375" xr:uid="{C625DFFC-A238-4785-AEC9-43E24EBDC532}"/>
    <cellStyle name="Normal 8 4 2 4 6" xfId="9927" xr:uid="{D2EE78C7-ECFC-4F19-B053-52DF0C6E18D9}"/>
    <cellStyle name="Normal 8 4 2 5" xfId="1801" xr:uid="{00000000-0005-0000-0000-0000ED1D0000}"/>
    <cellStyle name="Normal 8 4 2 5 2" xfId="4031" xr:uid="{00000000-0005-0000-0000-0000EE1D0000}"/>
    <cellStyle name="Normal 8 4 2 5 2 2" xfId="8253" xr:uid="{00000000-0005-0000-0000-0000EF1D0000}"/>
    <cellStyle name="Normal 8 4 2 5 2 2 2" xfId="33592" xr:uid="{43D0178E-41E6-4FED-B284-DD9373D5164A}"/>
    <cellStyle name="Normal 8 4 2 5 2 2 3" xfId="25151" xr:uid="{35F25C45-EF0F-4979-B23B-2138E601EBCA}"/>
    <cellStyle name="Normal 8 4 2 5 2 2 4" xfId="16703" xr:uid="{E612B9C3-9B46-4F72-8C18-E01B44977B9B}"/>
    <cellStyle name="Normal 8 4 2 5 2 3" xfId="29374" xr:uid="{419A8E6C-A3BB-47B2-84C3-B4E0D7E3833D}"/>
    <cellStyle name="Normal 8 4 2 5 2 4" xfId="20933" xr:uid="{1EDA4307-FB41-4D07-9A3E-871DE39ADBB5}"/>
    <cellStyle name="Normal 8 4 2 5 2 5" xfId="12485" xr:uid="{E87FD372-B538-4FFD-8F09-09543B683DA1}"/>
    <cellStyle name="Normal 8 4 2 5 3" xfId="6108" xr:uid="{00000000-0005-0000-0000-0000F01D0000}"/>
    <cellStyle name="Normal 8 4 2 5 3 2" xfId="31447" xr:uid="{B14C9472-4095-4F6B-94E4-839B58D1BC47}"/>
    <cellStyle name="Normal 8 4 2 5 3 3" xfId="23006" xr:uid="{20246E09-EF82-406F-886E-9D5BF477FAEF}"/>
    <cellStyle name="Normal 8 4 2 5 3 4" xfId="14558" xr:uid="{A27D405D-BAA3-427D-8C67-587985236E7F}"/>
    <cellStyle name="Normal 8 4 2 5 4" xfId="27229" xr:uid="{5CEBE988-5AEB-48E1-8706-0B7A4D6F600C}"/>
    <cellStyle name="Normal 8 4 2 5 5" xfId="18788" xr:uid="{23B19D02-BDD0-4477-9DB9-4311724B9A16}"/>
    <cellStyle name="Normal 8 4 2 5 6" xfId="10340" xr:uid="{5621A30C-354B-4AA7-87D8-A7DCEBB11C1F}"/>
    <cellStyle name="Normal 8 4 2 6" xfId="2215" xr:uid="{00000000-0005-0000-0000-0000F11D0000}"/>
    <cellStyle name="Normal 8 4 2 6 2" xfId="4444" xr:uid="{00000000-0005-0000-0000-0000F21D0000}"/>
    <cellStyle name="Normal 8 4 2 6 2 2" xfId="8666" xr:uid="{00000000-0005-0000-0000-0000F31D0000}"/>
    <cellStyle name="Normal 8 4 2 6 2 2 2" xfId="34005" xr:uid="{DCC96E47-A937-46A6-AB41-7EA1E971186E}"/>
    <cellStyle name="Normal 8 4 2 6 2 2 3" xfId="25564" xr:uid="{1549A952-595C-45A6-BBBC-01632FA8B519}"/>
    <cellStyle name="Normal 8 4 2 6 2 2 4" xfId="17116" xr:uid="{645E0B8F-2E08-4822-A206-C1160070DEF1}"/>
    <cellStyle name="Normal 8 4 2 6 2 3" xfId="29787" xr:uid="{FA862916-5A90-428A-9FED-A02398CF98C4}"/>
    <cellStyle name="Normal 8 4 2 6 2 4" xfId="21346" xr:uid="{32442EE0-D572-4826-BBD2-5CE97A14296E}"/>
    <cellStyle name="Normal 8 4 2 6 2 5" xfId="12898" xr:uid="{813FCB02-CFEC-4BC4-B1FA-96895A58963B}"/>
    <cellStyle name="Normal 8 4 2 6 3" xfId="6521" xr:uid="{00000000-0005-0000-0000-0000F41D0000}"/>
    <cellStyle name="Normal 8 4 2 6 3 2" xfId="31860" xr:uid="{DFD31C41-DDCA-434C-BC61-A362F869D24C}"/>
    <cellStyle name="Normal 8 4 2 6 3 3" xfId="23419" xr:uid="{D8DC5483-40F9-4FBA-9591-CC611C8DD6B5}"/>
    <cellStyle name="Normal 8 4 2 6 3 4" xfId="14971" xr:uid="{F67139DC-F3FE-477A-8035-D3A0077B8899}"/>
    <cellStyle name="Normal 8 4 2 6 4" xfId="27642" xr:uid="{957962E9-BF58-498F-9E22-89F35A733A8E}"/>
    <cellStyle name="Normal 8 4 2 6 5" xfId="19201" xr:uid="{217E6596-9822-4624-8036-E21354363FBC}"/>
    <cellStyle name="Normal 8 4 2 6 6" xfId="10753" xr:uid="{FABCEF4D-1578-43FB-94A8-137900C42A60}"/>
    <cellStyle name="Normal 8 4 2 7" xfId="2651" xr:uid="{00000000-0005-0000-0000-0000F51D0000}"/>
    <cellStyle name="Normal 8 4 2 7 2" xfId="6934" xr:uid="{00000000-0005-0000-0000-0000F61D0000}"/>
    <cellStyle name="Normal 8 4 2 7 2 2" xfId="32273" xr:uid="{D116237E-F357-4986-87ED-A6865C0D21E6}"/>
    <cellStyle name="Normal 8 4 2 7 2 3" xfId="23832" xr:uid="{40130CFE-1E25-460F-8C63-44EFDE8885B8}"/>
    <cellStyle name="Normal 8 4 2 7 2 4" xfId="15384" xr:uid="{35DE7869-FF9D-4591-BA81-2264D653FBAA}"/>
    <cellStyle name="Normal 8 4 2 7 3" xfId="28055" xr:uid="{4075FE30-0171-436A-9CE8-BF1E983DF779}"/>
    <cellStyle name="Normal 8 4 2 7 4" xfId="19614" xr:uid="{C1E345D4-C0DD-4BD7-98AA-E775293EF7A6}"/>
    <cellStyle name="Normal 8 4 2 7 5" xfId="11166" xr:uid="{AC62E67D-10B2-4252-91D7-03094D29DBC0}"/>
    <cellStyle name="Normal 8 4 2 8" xfId="4869" xr:uid="{00000000-0005-0000-0000-0000F71D0000}"/>
    <cellStyle name="Normal 8 4 2 8 2" xfId="30208" xr:uid="{129CE493-7394-48C4-A2FB-9BAAE923C374}"/>
    <cellStyle name="Normal 8 4 2 8 3" xfId="21767" xr:uid="{94B2FEA4-4719-43FC-8191-20E47B3B5FCD}"/>
    <cellStyle name="Normal 8 4 2 8 4" xfId="13319" xr:uid="{9A60FE04-955E-4061-B314-1E905024ECD3}"/>
    <cellStyle name="Normal 8 4 2 9" xfId="25990" xr:uid="{A052882C-DC6A-44AA-8208-4F762E67A04B}"/>
    <cellStyle name="Normal 8 4 3" xfId="506" xr:uid="{00000000-0005-0000-0000-0000F81D0000}"/>
    <cellStyle name="Normal 8 4 3 10" xfId="9103" xr:uid="{28D8D867-77F0-4E4B-90DF-8D94DB9BFE33}"/>
    <cellStyle name="Normal 8 4 3 2" xfId="973" xr:uid="{00000000-0005-0000-0000-0000F91D0000}"/>
    <cellStyle name="Normal 8 4 3 2 2" xfId="3207" xr:uid="{00000000-0005-0000-0000-0000FA1D0000}"/>
    <cellStyle name="Normal 8 4 3 2 2 2" xfId="7429" xr:uid="{00000000-0005-0000-0000-0000FB1D0000}"/>
    <cellStyle name="Normal 8 4 3 2 2 2 2" xfId="32768" xr:uid="{41106077-5427-43C8-9707-308AD03B2FF9}"/>
    <cellStyle name="Normal 8 4 3 2 2 2 3" xfId="24327" xr:uid="{2870D79B-AF3A-426F-AE61-E525D76B72B9}"/>
    <cellStyle name="Normal 8 4 3 2 2 2 4" xfId="15879" xr:uid="{34D0AAB4-469F-430C-9C59-C39086FF9B00}"/>
    <cellStyle name="Normal 8 4 3 2 2 3" xfId="28550" xr:uid="{3572377E-DADB-40B8-958C-DB2721D93378}"/>
    <cellStyle name="Normal 8 4 3 2 2 4" xfId="20109" xr:uid="{FB1E2989-48FB-4222-9A1A-26C2BD6E5DFF}"/>
    <cellStyle name="Normal 8 4 3 2 2 5" xfId="11661" xr:uid="{9DCFE242-DCCE-4C75-80CB-6606D4D9D1D5}"/>
    <cellStyle name="Normal 8 4 3 2 3" xfId="5284" xr:uid="{00000000-0005-0000-0000-0000FC1D0000}"/>
    <cellStyle name="Normal 8 4 3 2 3 2" xfId="30623" xr:uid="{E0369429-AC0A-4CB8-AF1C-DB982BC92F0C}"/>
    <cellStyle name="Normal 8 4 3 2 3 3" xfId="22182" xr:uid="{80DB2B4A-CEE4-4EA0-9ED0-46C5DF8F1FBB}"/>
    <cellStyle name="Normal 8 4 3 2 3 4" xfId="13734" xr:uid="{5E7B18DD-9FD1-416A-9967-2248F4FF0B0E}"/>
    <cellStyle name="Normal 8 4 3 2 4" xfId="26405" xr:uid="{AD15D7B9-3A80-4484-8212-0A72551CDCDF}"/>
    <cellStyle name="Normal 8 4 3 2 5" xfId="17964" xr:uid="{8B1A68A5-4596-4152-AB1B-A6B2AF2D06B3}"/>
    <cellStyle name="Normal 8 4 3 2 6" xfId="9516" xr:uid="{987D761D-F89B-4002-82B7-7ED3227BF63A}"/>
    <cellStyle name="Normal 8 4 3 3" xfId="1390" xr:uid="{00000000-0005-0000-0000-0000FD1D0000}"/>
    <cellStyle name="Normal 8 4 3 3 2" xfId="3620" xr:uid="{00000000-0005-0000-0000-0000FE1D0000}"/>
    <cellStyle name="Normal 8 4 3 3 2 2" xfId="7842" xr:uid="{00000000-0005-0000-0000-0000FF1D0000}"/>
    <cellStyle name="Normal 8 4 3 3 2 2 2" xfId="33181" xr:uid="{9A7EC49D-7FAD-4C90-9014-0542B7FB23FB}"/>
    <cellStyle name="Normal 8 4 3 3 2 2 3" xfId="24740" xr:uid="{52336275-7C71-4D23-8E03-FCA9401F28FC}"/>
    <cellStyle name="Normal 8 4 3 3 2 2 4" xfId="16292" xr:uid="{5EB7E8E4-80E0-4C20-84BA-EF5C344A2A3E}"/>
    <cellStyle name="Normal 8 4 3 3 2 3" xfId="28963" xr:uid="{47615B6D-D5F7-41AE-8B45-D41C675517F3}"/>
    <cellStyle name="Normal 8 4 3 3 2 4" xfId="20522" xr:uid="{C2C06E1F-975C-4401-AFF7-91D29F1D277B}"/>
    <cellStyle name="Normal 8 4 3 3 2 5" xfId="12074" xr:uid="{D2C463D4-4D2A-4BE9-B9E1-1DDDBC9F34A4}"/>
    <cellStyle name="Normal 8 4 3 3 3" xfId="5697" xr:uid="{00000000-0005-0000-0000-0000001E0000}"/>
    <cellStyle name="Normal 8 4 3 3 3 2" xfId="31036" xr:uid="{F0AB894F-A2D9-46B6-B467-E06BD97A412B}"/>
    <cellStyle name="Normal 8 4 3 3 3 3" xfId="22595" xr:uid="{F8F04B4C-92FC-48D6-B656-2BB98EAD6971}"/>
    <cellStyle name="Normal 8 4 3 3 3 4" xfId="14147" xr:uid="{C5A5C84E-8F1B-4FCD-AFCE-D1BA92A72236}"/>
    <cellStyle name="Normal 8 4 3 3 4" xfId="26818" xr:uid="{CBACEA61-F5F7-431D-9FDC-FF74F299884C}"/>
    <cellStyle name="Normal 8 4 3 3 5" xfId="18377" xr:uid="{3A29CF1A-C7CE-4D5A-9211-CAE11ED33EF3}"/>
    <cellStyle name="Normal 8 4 3 3 6" xfId="9929" xr:uid="{82C10784-7F92-4F98-81F9-85E10E860677}"/>
    <cellStyle name="Normal 8 4 3 4" xfId="1803" xr:uid="{00000000-0005-0000-0000-0000011E0000}"/>
    <cellStyle name="Normal 8 4 3 4 2" xfId="4033" xr:uid="{00000000-0005-0000-0000-0000021E0000}"/>
    <cellStyle name="Normal 8 4 3 4 2 2" xfId="8255" xr:uid="{00000000-0005-0000-0000-0000031E0000}"/>
    <cellStyle name="Normal 8 4 3 4 2 2 2" xfId="33594" xr:uid="{A4798482-B690-4084-ADAB-52C971DC8288}"/>
    <cellStyle name="Normal 8 4 3 4 2 2 3" xfId="25153" xr:uid="{CEEA76EB-214F-4BCD-9612-16006F417B46}"/>
    <cellStyle name="Normal 8 4 3 4 2 2 4" xfId="16705" xr:uid="{95FB66FB-2004-4E08-AEA3-9EAF35F843D5}"/>
    <cellStyle name="Normal 8 4 3 4 2 3" xfId="29376" xr:uid="{537E4E25-71F3-48DD-BDC0-41C4A908DE6C}"/>
    <cellStyle name="Normal 8 4 3 4 2 4" xfId="20935" xr:uid="{8525D875-E419-46A5-A19D-8E0A7EDAA64B}"/>
    <cellStyle name="Normal 8 4 3 4 2 5" xfId="12487" xr:uid="{42D98F5D-6046-4A38-8D01-149F36E30CF6}"/>
    <cellStyle name="Normal 8 4 3 4 3" xfId="6110" xr:uid="{00000000-0005-0000-0000-0000041E0000}"/>
    <cellStyle name="Normal 8 4 3 4 3 2" xfId="31449" xr:uid="{C9588D96-B78A-4663-95EC-B34C80268264}"/>
    <cellStyle name="Normal 8 4 3 4 3 3" xfId="23008" xr:uid="{73A1595D-0730-4D23-BA1E-9775D4DD5DC9}"/>
    <cellStyle name="Normal 8 4 3 4 3 4" xfId="14560" xr:uid="{20E3ED04-B2E3-4C9D-AFC1-BF942CF46CDE}"/>
    <cellStyle name="Normal 8 4 3 4 4" xfId="27231" xr:uid="{E7032DF9-12AC-47DF-8B77-65CB6475BCAE}"/>
    <cellStyle name="Normal 8 4 3 4 5" xfId="18790" xr:uid="{4EFC5C70-7A16-4E97-BF58-85850554BEB6}"/>
    <cellStyle name="Normal 8 4 3 4 6" xfId="10342" xr:uid="{6AE49FF2-792F-46FA-AEE5-E50CDF7AC9D7}"/>
    <cellStyle name="Normal 8 4 3 5" xfId="2217" xr:uid="{00000000-0005-0000-0000-0000051E0000}"/>
    <cellStyle name="Normal 8 4 3 5 2" xfId="4446" xr:uid="{00000000-0005-0000-0000-0000061E0000}"/>
    <cellStyle name="Normal 8 4 3 5 2 2" xfId="8668" xr:uid="{00000000-0005-0000-0000-0000071E0000}"/>
    <cellStyle name="Normal 8 4 3 5 2 2 2" xfId="34007" xr:uid="{7A1C5853-E2D0-41FF-BFBF-26660F5BCB4C}"/>
    <cellStyle name="Normal 8 4 3 5 2 2 3" xfId="25566" xr:uid="{62CCDA5A-24EC-4098-8011-C3D1C4CFB901}"/>
    <cellStyle name="Normal 8 4 3 5 2 2 4" xfId="17118" xr:uid="{9AB61F3E-1FD9-4DBE-A462-5E5494DA3275}"/>
    <cellStyle name="Normal 8 4 3 5 2 3" xfId="29789" xr:uid="{0418C7E2-2E4D-4AA5-9B83-36CF90D96B45}"/>
    <cellStyle name="Normal 8 4 3 5 2 4" xfId="21348" xr:uid="{B51281E0-A6FA-4CD6-9969-58A7E05DB4AB}"/>
    <cellStyle name="Normal 8 4 3 5 2 5" xfId="12900" xr:uid="{10FBFEB3-CB37-4BCC-A844-296F479FBDF8}"/>
    <cellStyle name="Normal 8 4 3 5 3" xfId="6523" xr:uid="{00000000-0005-0000-0000-0000081E0000}"/>
    <cellStyle name="Normal 8 4 3 5 3 2" xfId="31862" xr:uid="{5D8B4858-7EBB-464F-8BB4-2AC08E1E5016}"/>
    <cellStyle name="Normal 8 4 3 5 3 3" xfId="23421" xr:uid="{32056975-0CE2-402D-A2D3-43B28C925C6E}"/>
    <cellStyle name="Normal 8 4 3 5 3 4" xfId="14973" xr:uid="{9FA934DA-D747-49CD-A0E0-AD589BC3CEE8}"/>
    <cellStyle name="Normal 8 4 3 5 4" xfId="27644" xr:uid="{FB4D1202-8AF7-41DA-899B-F42E9AE6225B}"/>
    <cellStyle name="Normal 8 4 3 5 5" xfId="19203" xr:uid="{0EC45045-C2F5-474B-BADD-DB8FF3EF1A6E}"/>
    <cellStyle name="Normal 8 4 3 5 6" xfId="10755" xr:uid="{4CF806AC-0C13-4BCE-A0F5-AD1CCEE2DBF8}"/>
    <cellStyle name="Normal 8 4 3 6" xfId="2653" xr:uid="{00000000-0005-0000-0000-0000091E0000}"/>
    <cellStyle name="Normal 8 4 3 6 2" xfId="6936" xr:uid="{00000000-0005-0000-0000-00000A1E0000}"/>
    <cellStyle name="Normal 8 4 3 6 2 2" xfId="32275" xr:uid="{7240E4B9-32BA-40A0-91F6-3BCED44BAF6C}"/>
    <cellStyle name="Normal 8 4 3 6 2 3" xfId="23834" xr:uid="{9A15F681-73F4-4B53-9ED9-A5E1ABC4E5CE}"/>
    <cellStyle name="Normal 8 4 3 6 2 4" xfId="15386" xr:uid="{F7EE0508-9B32-4B55-8ED4-9825D7953FC8}"/>
    <cellStyle name="Normal 8 4 3 6 3" xfId="28057" xr:uid="{DE482393-F636-4304-A009-E7D8E8ED3FB1}"/>
    <cellStyle name="Normal 8 4 3 6 4" xfId="19616" xr:uid="{66C3E040-79F2-4278-B929-12A40815E884}"/>
    <cellStyle name="Normal 8 4 3 6 5" xfId="11168" xr:uid="{7663F160-9A6D-4052-AF8C-D1CE6F40E7FB}"/>
    <cellStyle name="Normal 8 4 3 7" xfId="4871" xr:uid="{00000000-0005-0000-0000-00000B1E0000}"/>
    <cellStyle name="Normal 8 4 3 7 2" xfId="30210" xr:uid="{C34886EE-5018-4122-8370-CCA13D0492F0}"/>
    <cellStyle name="Normal 8 4 3 7 3" xfId="21769" xr:uid="{6A25CE23-FA42-4D63-8EB3-ABEAC3BF3E49}"/>
    <cellStyle name="Normal 8 4 3 7 4" xfId="13321" xr:uid="{B752BFA1-2F4A-4736-AC4B-16AD8B733C88}"/>
    <cellStyle name="Normal 8 4 3 8" xfId="25992" xr:uid="{759940E4-8041-4B58-B9D3-090B59B6AB5F}"/>
    <cellStyle name="Normal 8 4 3 9" xfId="17551" xr:uid="{972FF578-3AFF-47C1-9968-C92C285025E4}"/>
    <cellStyle name="Normal 8 4 4" xfId="970" xr:uid="{00000000-0005-0000-0000-00000C1E0000}"/>
    <cellStyle name="Normal 8 4 4 2" xfId="3204" xr:uid="{00000000-0005-0000-0000-00000D1E0000}"/>
    <cellStyle name="Normal 8 4 4 2 2" xfId="7426" xr:uid="{00000000-0005-0000-0000-00000E1E0000}"/>
    <cellStyle name="Normal 8 4 4 2 2 2" xfId="32765" xr:uid="{71D70613-67AA-4D9F-9714-C34D5BFF9F40}"/>
    <cellStyle name="Normal 8 4 4 2 2 3" xfId="24324" xr:uid="{E7458107-6FFD-4DD1-8D2C-C9A7515E425C}"/>
    <cellStyle name="Normal 8 4 4 2 2 4" xfId="15876" xr:uid="{95865A50-7F77-40B5-A591-286AF06BADA0}"/>
    <cellStyle name="Normal 8 4 4 2 3" xfId="28547" xr:uid="{82CBC4BE-4C97-4B8C-A37A-621315DD8ABC}"/>
    <cellStyle name="Normal 8 4 4 2 4" xfId="20106" xr:uid="{FDA94402-3CFB-488C-AAA5-6EB50A0A21AC}"/>
    <cellStyle name="Normal 8 4 4 2 5" xfId="11658" xr:uid="{2750DC60-0E0E-4D57-9AE3-126E820E62D4}"/>
    <cellStyle name="Normal 8 4 4 3" xfId="5281" xr:uid="{00000000-0005-0000-0000-00000F1E0000}"/>
    <cellStyle name="Normal 8 4 4 3 2" xfId="30620" xr:uid="{138A8A22-6B2A-4384-B933-391488D380DE}"/>
    <cellStyle name="Normal 8 4 4 3 3" xfId="22179" xr:uid="{2EE94BF4-D1BA-4604-9540-5A114A5B1D70}"/>
    <cellStyle name="Normal 8 4 4 3 4" xfId="13731" xr:uid="{E33E85EE-A1FA-478C-AF52-9A508818B17B}"/>
    <cellStyle name="Normal 8 4 4 4" xfId="26402" xr:uid="{6B47A308-4670-47E1-8EC8-94E9DB49B6A6}"/>
    <cellStyle name="Normal 8 4 4 5" xfId="17961" xr:uid="{93980212-1D67-4B78-803E-E9CE31DFD7CA}"/>
    <cellStyle name="Normal 8 4 4 6" xfId="9513" xr:uid="{D397D93E-DC82-4314-AFF3-8D51ACF7EB9E}"/>
    <cellStyle name="Normal 8 4 5" xfId="1387" xr:uid="{00000000-0005-0000-0000-0000101E0000}"/>
    <cellStyle name="Normal 8 4 5 2" xfId="3617" xr:uid="{00000000-0005-0000-0000-0000111E0000}"/>
    <cellStyle name="Normal 8 4 5 2 2" xfId="7839" xr:uid="{00000000-0005-0000-0000-0000121E0000}"/>
    <cellStyle name="Normal 8 4 5 2 2 2" xfId="33178" xr:uid="{4061F86F-0F9A-48F8-8795-7FB04BE6D4CE}"/>
    <cellStyle name="Normal 8 4 5 2 2 3" xfId="24737" xr:uid="{AA2D5F6F-AFAF-42CC-8781-40427AC5D8BD}"/>
    <cellStyle name="Normal 8 4 5 2 2 4" xfId="16289" xr:uid="{3EA12362-40DB-42FE-ADF6-85E1E25F33F1}"/>
    <cellStyle name="Normal 8 4 5 2 3" xfId="28960" xr:uid="{CC021817-6F41-481D-88CE-52939C7707EC}"/>
    <cellStyle name="Normal 8 4 5 2 4" xfId="20519" xr:uid="{A8C32B01-A65A-4B6B-91D8-FF448C852588}"/>
    <cellStyle name="Normal 8 4 5 2 5" xfId="12071" xr:uid="{3C9EE6C6-6A4D-4BA2-85DA-67BAA7D206F6}"/>
    <cellStyle name="Normal 8 4 5 3" xfId="5694" xr:uid="{00000000-0005-0000-0000-0000131E0000}"/>
    <cellStyle name="Normal 8 4 5 3 2" xfId="31033" xr:uid="{3CCE443A-CF43-4CBF-B52B-64468F05A82A}"/>
    <cellStyle name="Normal 8 4 5 3 3" xfId="22592" xr:uid="{09C55927-E4A0-4DC8-8E41-37B716F7FB16}"/>
    <cellStyle name="Normal 8 4 5 3 4" xfId="14144" xr:uid="{89E06C91-9E5B-4BFD-90BF-3B002BB1DCCC}"/>
    <cellStyle name="Normal 8 4 5 4" xfId="26815" xr:uid="{F2BE3784-725E-4F79-8D0D-C90A20397EA9}"/>
    <cellStyle name="Normal 8 4 5 5" xfId="18374" xr:uid="{8CA08B31-26B8-46A9-B1BE-BB6A2FE1C1A1}"/>
    <cellStyle name="Normal 8 4 5 6" xfId="9926" xr:uid="{63751364-8E11-42EA-BFFF-FF47A7B61088}"/>
    <cellStyle name="Normal 8 4 6" xfId="1800" xr:uid="{00000000-0005-0000-0000-0000141E0000}"/>
    <cellStyle name="Normal 8 4 6 2" xfId="4030" xr:uid="{00000000-0005-0000-0000-0000151E0000}"/>
    <cellStyle name="Normal 8 4 6 2 2" xfId="8252" xr:uid="{00000000-0005-0000-0000-0000161E0000}"/>
    <cellStyle name="Normal 8 4 6 2 2 2" xfId="33591" xr:uid="{071316E9-7596-47B8-BC99-762C81F6ADBC}"/>
    <cellStyle name="Normal 8 4 6 2 2 3" xfId="25150" xr:uid="{7A37AA73-9198-41CD-985D-500B2262E7F0}"/>
    <cellStyle name="Normal 8 4 6 2 2 4" xfId="16702" xr:uid="{49F3C7C3-370F-4938-8C68-FC1A1479FD5D}"/>
    <cellStyle name="Normal 8 4 6 2 3" xfId="29373" xr:uid="{AA460698-3DE5-45C6-8015-34F0CB8A03AF}"/>
    <cellStyle name="Normal 8 4 6 2 4" xfId="20932" xr:uid="{658D38F4-2F00-4B5E-97CB-08FBD62198F7}"/>
    <cellStyle name="Normal 8 4 6 2 5" xfId="12484" xr:uid="{A95C0E99-A7F6-435E-90C8-271DD3158A44}"/>
    <cellStyle name="Normal 8 4 6 3" xfId="6107" xr:uid="{00000000-0005-0000-0000-0000171E0000}"/>
    <cellStyle name="Normal 8 4 6 3 2" xfId="31446" xr:uid="{C5290114-085A-49D0-BDFE-CD5E95FE0B89}"/>
    <cellStyle name="Normal 8 4 6 3 3" xfId="23005" xr:uid="{1B84240D-5024-45DB-9EC4-7FFD926CD152}"/>
    <cellStyle name="Normal 8 4 6 3 4" xfId="14557" xr:uid="{50F71576-3B4C-49DC-AB7D-BA46CD102A02}"/>
    <cellStyle name="Normal 8 4 6 4" xfId="27228" xr:uid="{03F78C56-2C8D-446B-B445-190B3D30032E}"/>
    <cellStyle name="Normal 8 4 6 5" xfId="18787" xr:uid="{C3BA2719-0FD3-425E-AE04-26AB44F60E13}"/>
    <cellStyle name="Normal 8 4 6 6" xfId="10339" xr:uid="{07AD769D-3C43-4091-BA0F-D1D72CAC9373}"/>
    <cellStyle name="Normal 8 4 7" xfId="2214" xr:uid="{00000000-0005-0000-0000-0000181E0000}"/>
    <cellStyle name="Normal 8 4 7 2" xfId="4443" xr:uid="{00000000-0005-0000-0000-0000191E0000}"/>
    <cellStyle name="Normal 8 4 7 2 2" xfId="8665" xr:uid="{00000000-0005-0000-0000-00001A1E0000}"/>
    <cellStyle name="Normal 8 4 7 2 2 2" xfId="34004" xr:uid="{93696744-80A6-4BB8-8CAF-4C554E72377F}"/>
    <cellStyle name="Normal 8 4 7 2 2 3" xfId="25563" xr:uid="{FABC66C3-E811-4D40-914C-1E8108323E2B}"/>
    <cellStyle name="Normal 8 4 7 2 2 4" xfId="17115" xr:uid="{5DFDE5A1-CFF3-4861-9757-01142B226C04}"/>
    <cellStyle name="Normal 8 4 7 2 3" xfId="29786" xr:uid="{A625DC8A-76F8-4406-A4D3-94BF9DC9A1BB}"/>
    <cellStyle name="Normal 8 4 7 2 4" xfId="21345" xr:uid="{16FBDB05-29CD-4D1A-89DB-B4290F96B34E}"/>
    <cellStyle name="Normal 8 4 7 2 5" xfId="12897" xr:uid="{F5B30554-9FF4-49BC-BFDE-196E0903801C}"/>
    <cellStyle name="Normal 8 4 7 3" xfId="6520" xr:uid="{00000000-0005-0000-0000-00001B1E0000}"/>
    <cellStyle name="Normal 8 4 7 3 2" xfId="31859" xr:uid="{DEA7FD4C-4418-4734-A41C-C19137A015C6}"/>
    <cellStyle name="Normal 8 4 7 3 3" xfId="23418" xr:uid="{A44CBE82-2104-444C-8EE1-8715DA4C6CFD}"/>
    <cellStyle name="Normal 8 4 7 3 4" xfId="14970" xr:uid="{9DC0BEE6-2232-4FE1-8EBF-C10E13FC905D}"/>
    <cellStyle name="Normal 8 4 7 4" xfId="27641" xr:uid="{8BE32CCC-00A1-4A53-AE88-0ADBB50BD84E}"/>
    <cellStyle name="Normal 8 4 7 5" xfId="19200" xr:uid="{EB8A5A98-6E8D-4B24-BFAF-3F87A4979700}"/>
    <cellStyle name="Normal 8 4 7 6" xfId="10752" xr:uid="{1DDF63D5-9F61-4590-B50F-F2E5B82374EC}"/>
    <cellStyle name="Normal 8 4 8" xfId="2650" xr:uid="{00000000-0005-0000-0000-00001C1E0000}"/>
    <cellStyle name="Normal 8 4 8 2" xfId="6933" xr:uid="{00000000-0005-0000-0000-00001D1E0000}"/>
    <cellStyle name="Normal 8 4 8 2 2" xfId="32272" xr:uid="{8BCB6E96-76EA-429B-8502-A0F5DF068213}"/>
    <cellStyle name="Normal 8 4 8 2 3" xfId="23831" xr:uid="{D57208BD-9718-4EE4-AFC4-56E489F446E4}"/>
    <cellStyle name="Normal 8 4 8 2 4" xfId="15383" xr:uid="{5C257B2E-5042-436A-B2A0-F17231AD7E2B}"/>
    <cellStyle name="Normal 8 4 8 3" xfId="28054" xr:uid="{0CADEB6B-D488-4F20-8D74-9FBB4E17870F}"/>
    <cellStyle name="Normal 8 4 8 4" xfId="19613" xr:uid="{8C1FB953-7505-4936-8D6E-0822A6FFA9D1}"/>
    <cellStyle name="Normal 8 4 8 5" xfId="11165" xr:uid="{A715AEEF-D00C-4D43-BA11-2157CFEB60B4}"/>
    <cellStyle name="Normal 8 4 9" xfId="4868" xr:uid="{00000000-0005-0000-0000-00001E1E0000}"/>
    <cellStyle name="Normal 8 4 9 2" xfId="30207" xr:uid="{F2D7676B-06AC-49BF-8A16-18BE5E342FBA}"/>
    <cellStyle name="Normal 8 4 9 3" xfId="21766" xr:uid="{A0B788A5-56EE-4015-A108-FDAE557EDC5E}"/>
    <cellStyle name="Normal 8 4 9 4" xfId="13318" xr:uid="{628F68D5-B9DA-4078-989D-E0CCF7CBD932}"/>
    <cellStyle name="Normal 8 5" xfId="507" xr:uid="{00000000-0005-0000-0000-00001F1E0000}"/>
    <cellStyle name="Normal 8 5 10" xfId="17552" xr:uid="{C9074ABB-76E6-470A-A77B-F5FB7FF581C8}"/>
    <cellStyle name="Normal 8 5 11" xfId="9104" xr:uid="{98FCBA2E-C552-44A9-BC6A-F39F6BAB9401}"/>
    <cellStyle name="Normal 8 5 2" xfId="508" xr:uid="{00000000-0005-0000-0000-0000201E0000}"/>
    <cellStyle name="Normal 8 5 2 10" xfId="9105" xr:uid="{167267EC-17B6-49C1-A73F-B5318413757F}"/>
    <cellStyle name="Normal 8 5 2 2" xfId="975" xr:uid="{00000000-0005-0000-0000-0000211E0000}"/>
    <cellStyle name="Normal 8 5 2 2 2" xfId="3209" xr:uid="{00000000-0005-0000-0000-0000221E0000}"/>
    <cellStyle name="Normal 8 5 2 2 2 2" xfId="7431" xr:uid="{00000000-0005-0000-0000-0000231E0000}"/>
    <cellStyle name="Normal 8 5 2 2 2 2 2" xfId="32770" xr:uid="{A81F7A4F-A09D-48D0-A296-649862A370F9}"/>
    <cellStyle name="Normal 8 5 2 2 2 2 3" xfId="24329" xr:uid="{F8AA8D1A-63C2-4496-91D6-51942C2F2630}"/>
    <cellStyle name="Normal 8 5 2 2 2 2 4" xfId="15881" xr:uid="{EE3E8A68-8974-4CB9-AFDD-9CD1C26B5A4F}"/>
    <cellStyle name="Normal 8 5 2 2 2 3" xfId="28552" xr:uid="{DE43F3F9-09DA-4489-B448-CD4014B61966}"/>
    <cellStyle name="Normal 8 5 2 2 2 4" xfId="20111" xr:uid="{7BA1A692-CE16-4E7D-AE5C-5ABBF137E506}"/>
    <cellStyle name="Normal 8 5 2 2 2 5" xfId="11663" xr:uid="{FA3975E4-9943-4173-9F08-AC3BDD19B8FA}"/>
    <cellStyle name="Normal 8 5 2 2 3" xfId="5286" xr:uid="{00000000-0005-0000-0000-0000241E0000}"/>
    <cellStyle name="Normal 8 5 2 2 3 2" xfId="30625" xr:uid="{A77B105C-62CF-41AE-B7F6-0E958900AB27}"/>
    <cellStyle name="Normal 8 5 2 2 3 3" xfId="22184" xr:uid="{B68FCE29-CA7F-46AC-8E71-B202162E9A3F}"/>
    <cellStyle name="Normal 8 5 2 2 3 4" xfId="13736" xr:uid="{89D2D2A0-F18C-4449-AB1D-D96326B7D638}"/>
    <cellStyle name="Normal 8 5 2 2 4" xfId="26407" xr:uid="{91569B5D-4704-4AFF-A163-340A95F0798D}"/>
    <cellStyle name="Normal 8 5 2 2 5" xfId="17966" xr:uid="{997D970A-82E2-4F08-A7A1-B12763AD9B98}"/>
    <cellStyle name="Normal 8 5 2 2 6" xfId="9518" xr:uid="{AFA4BB35-DEDD-4BC3-B9D3-E3895D0F2B02}"/>
    <cellStyle name="Normal 8 5 2 3" xfId="1392" xr:uid="{00000000-0005-0000-0000-0000251E0000}"/>
    <cellStyle name="Normal 8 5 2 3 2" xfId="3622" xr:uid="{00000000-0005-0000-0000-0000261E0000}"/>
    <cellStyle name="Normal 8 5 2 3 2 2" xfId="7844" xr:uid="{00000000-0005-0000-0000-0000271E0000}"/>
    <cellStyle name="Normal 8 5 2 3 2 2 2" xfId="33183" xr:uid="{35EB1F72-17E3-4FF6-8B40-2C64D0C8B89A}"/>
    <cellStyle name="Normal 8 5 2 3 2 2 3" xfId="24742" xr:uid="{2848718F-C606-4244-9AF8-FC06D7080BCE}"/>
    <cellStyle name="Normal 8 5 2 3 2 2 4" xfId="16294" xr:uid="{B401577F-A3A8-412B-B9F1-29B868CF532A}"/>
    <cellStyle name="Normal 8 5 2 3 2 3" xfId="28965" xr:uid="{18411ECE-2281-457F-8111-CBCF87D9F8E3}"/>
    <cellStyle name="Normal 8 5 2 3 2 4" xfId="20524" xr:uid="{614B3C12-797E-4C48-A723-C9E9643949D3}"/>
    <cellStyle name="Normal 8 5 2 3 2 5" xfId="12076" xr:uid="{074226C5-0D44-4651-BDA8-D033D6920DEC}"/>
    <cellStyle name="Normal 8 5 2 3 3" xfId="5699" xr:uid="{00000000-0005-0000-0000-0000281E0000}"/>
    <cellStyle name="Normal 8 5 2 3 3 2" xfId="31038" xr:uid="{1ADD6EF3-3A52-49D8-A58A-E79C618A9D32}"/>
    <cellStyle name="Normal 8 5 2 3 3 3" xfId="22597" xr:uid="{70A38A9C-994D-45A9-9348-6EE6578B79AA}"/>
    <cellStyle name="Normal 8 5 2 3 3 4" xfId="14149" xr:uid="{8E48A1DA-3FB6-4B06-B50D-6200926FFE19}"/>
    <cellStyle name="Normal 8 5 2 3 4" xfId="26820" xr:uid="{9737C4AB-6666-4CB0-AC4E-3899BD95C7A7}"/>
    <cellStyle name="Normal 8 5 2 3 5" xfId="18379" xr:uid="{DFCB882C-FD6E-44CB-9214-FE6BA4300A67}"/>
    <cellStyle name="Normal 8 5 2 3 6" xfId="9931" xr:uid="{8E7A43EF-FDC7-4599-8A1B-94B68B037E5C}"/>
    <cellStyle name="Normal 8 5 2 4" xfId="1805" xr:uid="{00000000-0005-0000-0000-0000291E0000}"/>
    <cellStyle name="Normal 8 5 2 4 2" xfId="4035" xr:uid="{00000000-0005-0000-0000-00002A1E0000}"/>
    <cellStyle name="Normal 8 5 2 4 2 2" xfId="8257" xr:uid="{00000000-0005-0000-0000-00002B1E0000}"/>
    <cellStyle name="Normal 8 5 2 4 2 2 2" xfId="33596" xr:uid="{30B4BEE9-A5F1-4320-A18D-A5E336BA3B61}"/>
    <cellStyle name="Normal 8 5 2 4 2 2 3" xfId="25155" xr:uid="{19B6C23B-7458-4A44-87A9-A4556A41789F}"/>
    <cellStyle name="Normal 8 5 2 4 2 2 4" xfId="16707" xr:uid="{14F02EC0-D81B-4C1D-BF1F-02CBCA8B76C4}"/>
    <cellStyle name="Normal 8 5 2 4 2 3" xfId="29378" xr:uid="{CD32671A-780A-466F-AA98-2B76D52E43E4}"/>
    <cellStyle name="Normal 8 5 2 4 2 4" xfId="20937" xr:uid="{B92FCB00-0A9E-46B9-8FE3-F2EEEA6B2546}"/>
    <cellStyle name="Normal 8 5 2 4 2 5" xfId="12489" xr:uid="{5752711E-9F94-478E-9868-7FE1B8EF4CE0}"/>
    <cellStyle name="Normal 8 5 2 4 3" xfId="6112" xr:uid="{00000000-0005-0000-0000-00002C1E0000}"/>
    <cellStyle name="Normal 8 5 2 4 3 2" xfId="31451" xr:uid="{6F0366FF-6844-4943-8F8F-81B73D74E2B6}"/>
    <cellStyle name="Normal 8 5 2 4 3 3" xfId="23010" xr:uid="{04F24242-B739-47F4-B14E-BE9032088C2A}"/>
    <cellStyle name="Normal 8 5 2 4 3 4" xfId="14562" xr:uid="{2B4B5992-339D-4E6B-A4B5-350348F361A5}"/>
    <cellStyle name="Normal 8 5 2 4 4" xfId="27233" xr:uid="{8BCE855E-3F63-4025-8960-C2A7EF1C81D3}"/>
    <cellStyle name="Normal 8 5 2 4 5" xfId="18792" xr:uid="{E52ABF21-016B-4496-9B7D-DC989618550A}"/>
    <cellStyle name="Normal 8 5 2 4 6" xfId="10344" xr:uid="{43EA6D10-2F55-443A-9267-D4DBB77390E7}"/>
    <cellStyle name="Normal 8 5 2 5" xfId="2219" xr:uid="{00000000-0005-0000-0000-00002D1E0000}"/>
    <cellStyle name="Normal 8 5 2 5 2" xfId="4448" xr:uid="{00000000-0005-0000-0000-00002E1E0000}"/>
    <cellStyle name="Normal 8 5 2 5 2 2" xfId="8670" xr:uid="{00000000-0005-0000-0000-00002F1E0000}"/>
    <cellStyle name="Normal 8 5 2 5 2 2 2" xfId="34009" xr:uid="{A05AFE1B-917B-4982-A1C8-217982D1918D}"/>
    <cellStyle name="Normal 8 5 2 5 2 2 3" xfId="25568" xr:uid="{55212AF4-CA3F-471D-B713-B3D03EA0FF44}"/>
    <cellStyle name="Normal 8 5 2 5 2 2 4" xfId="17120" xr:uid="{C77C711B-D202-43F5-8F6A-C3F5E381D65A}"/>
    <cellStyle name="Normal 8 5 2 5 2 3" xfId="29791" xr:uid="{F8B18EF8-960C-4688-8E47-3FE2EA9419B1}"/>
    <cellStyle name="Normal 8 5 2 5 2 4" xfId="21350" xr:uid="{AE9E4CD2-CDF6-4BB9-8A83-D32CA399F80B}"/>
    <cellStyle name="Normal 8 5 2 5 2 5" xfId="12902" xr:uid="{EC262839-906F-4BF1-AA7B-81740943D59C}"/>
    <cellStyle name="Normal 8 5 2 5 3" xfId="6525" xr:uid="{00000000-0005-0000-0000-0000301E0000}"/>
    <cellStyle name="Normal 8 5 2 5 3 2" xfId="31864" xr:uid="{25F654A5-1B75-48CC-B4F4-56FFCE4D856F}"/>
    <cellStyle name="Normal 8 5 2 5 3 3" xfId="23423" xr:uid="{B2D2D8A5-CF5B-4CD1-8996-DD86EE911E30}"/>
    <cellStyle name="Normal 8 5 2 5 3 4" xfId="14975" xr:uid="{1501017C-0B8E-40B0-84D7-E1F28B621065}"/>
    <cellStyle name="Normal 8 5 2 5 4" xfId="27646" xr:uid="{B1AEEEA6-A326-4998-A25C-6A007DFE034A}"/>
    <cellStyle name="Normal 8 5 2 5 5" xfId="19205" xr:uid="{AA62E2C2-AB3C-4536-A6DE-C3EF13FFD1E4}"/>
    <cellStyle name="Normal 8 5 2 5 6" xfId="10757" xr:uid="{D4F2EA6A-7011-4E78-B198-99405EFBB925}"/>
    <cellStyle name="Normal 8 5 2 6" xfId="2655" xr:uid="{00000000-0005-0000-0000-0000311E0000}"/>
    <cellStyle name="Normal 8 5 2 6 2" xfId="6938" xr:uid="{00000000-0005-0000-0000-0000321E0000}"/>
    <cellStyle name="Normal 8 5 2 6 2 2" xfId="32277" xr:uid="{DC1EB220-76D7-43DE-8679-7B7A8D300FE1}"/>
    <cellStyle name="Normal 8 5 2 6 2 3" xfId="23836" xr:uid="{BDA98BAA-2701-4DAE-A3E2-8AAADEE0FA37}"/>
    <cellStyle name="Normal 8 5 2 6 2 4" xfId="15388" xr:uid="{A9D602F1-B6C2-4E0F-9691-C925333B8332}"/>
    <cellStyle name="Normal 8 5 2 6 3" xfId="28059" xr:uid="{006A31D5-15CA-4F6F-AC4C-1576596C5116}"/>
    <cellStyle name="Normal 8 5 2 6 4" xfId="19618" xr:uid="{738ECE40-61DE-4CB0-A47B-C92469702C60}"/>
    <cellStyle name="Normal 8 5 2 6 5" xfId="11170" xr:uid="{DCE39D0D-64F8-4A73-91E8-1CFE70D2014B}"/>
    <cellStyle name="Normal 8 5 2 7" xfId="4873" xr:uid="{00000000-0005-0000-0000-0000331E0000}"/>
    <cellStyle name="Normal 8 5 2 7 2" xfId="30212" xr:uid="{9CEA7625-5422-4FC2-9737-B51BBCD25A70}"/>
    <cellStyle name="Normal 8 5 2 7 3" xfId="21771" xr:uid="{5909E6BF-FF57-4C55-B7A5-143B7B04025E}"/>
    <cellStyle name="Normal 8 5 2 7 4" xfId="13323" xr:uid="{CEFAD2FD-CD8D-4F28-BFCD-1EE7535680D5}"/>
    <cellStyle name="Normal 8 5 2 8" xfId="25994" xr:uid="{6FABDB7D-65D9-44B6-804D-A004BB7CADFF}"/>
    <cellStyle name="Normal 8 5 2 9" xfId="17553" xr:uid="{9A21C52E-DBED-4C91-88A6-586C96A3E781}"/>
    <cellStyle name="Normal 8 5 3" xfId="974" xr:uid="{00000000-0005-0000-0000-0000341E0000}"/>
    <cellStyle name="Normal 8 5 3 2" xfId="3208" xr:uid="{00000000-0005-0000-0000-0000351E0000}"/>
    <cellStyle name="Normal 8 5 3 2 2" xfId="7430" xr:uid="{00000000-0005-0000-0000-0000361E0000}"/>
    <cellStyle name="Normal 8 5 3 2 2 2" xfId="32769" xr:uid="{4DC783D2-62AC-4104-9EEC-6ED6B0E8AC0F}"/>
    <cellStyle name="Normal 8 5 3 2 2 3" xfId="24328" xr:uid="{74EEA8B0-6CAD-4341-9177-771A54024785}"/>
    <cellStyle name="Normal 8 5 3 2 2 4" xfId="15880" xr:uid="{6026B8F2-4D9C-4B88-9B40-D5DB60678433}"/>
    <cellStyle name="Normal 8 5 3 2 3" xfId="28551" xr:uid="{3FBD705D-A521-4480-96DB-4B6A2AA73BBA}"/>
    <cellStyle name="Normal 8 5 3 2 4" xfId="20110" xr:uid="{880A9F19-D2A7-4D83-AE50-61F9956BF2A0}"/>
    <cellStyle name="Normal 8 5 3 2 5" xfId="11662" xr:uid="{F3032773-71BC-4D1E-9706-3F29D5FA370D}"/>
    <cellStyle name="Normal 8 5 3 3" xfId="5285" xr:uid="{00000000-0005-0000-0000-0000371E0000}"/>
    <cellStyle name="Normal 8 5 3 3 2" xfId="30624" xr:uid="{F4A253F6-06A7-46E7-8BE5-4B1ACD3E266E}"/>
    <cellStyle name="Normal 8 5 3 3 3" xfId="22183" xr:uid="{4F1A14EB-1EFB-4747-9187-F1BD1B154930}"/>
    <cellStyle name="Normal 8 5 3 3 4" xfId="13735" xr:uid="{B7545BEB-BB10-46C3-8246-3365595D51C9}"/>
    <cellStyle name="Normal 8 5 3 4" xfId="26406" xr:uid="{12D6483F-903F-45D8-99B0-96E6AF738B16}"/>
    <cellStyle name="Normal 8 5 3 5" xfId="17965" xr:uid="{3385F29F-31F0-4A6C-9097-367A145B3D7A}"/>
    <cellStyle name="Normal 8 5 3 6" xfId="9517" xr:uid="{BE2A083B-9D9D-4A02-9645-C7D720501BC3}"/>
    <cellStyle name="Normal 8 5 4" xfId="1391" xr:uid="{00000000-0005-0000-0000-0000381E0000}"/>
    <cellStyle name="Normal 8 5 4 2" xfId="3621" xr:uid="{00000000-0005-0000-0000-0000391E0000}"/>
    <cellStyle name="Normal 8 5 4 2 2" xfId="7843" xr:uid="{00000000-0005-0000-0000-00003A1E0000}"/>
    <cellStyle name="Normal 8 5 4 2 2 2" xfId="33182" xr:uid="{E82190B6-FE5F-4FD0-A149-842B053971AA}"/>
    <cellStyle name="Normal 8 5 4 2 2 3" xfId="24741" xr:uid="{35BC530D-ED53-48C3-8EE6-5031E6773CA1}"/>
    <cellStyle name="Normal 8 5 4 2 2 4" xfId="16293" xr:uid="{5A0C5842-AEC5-4990-B73D-3CC2DEDF745D}"/>
    <cellStyle name="Normal 8 5 4 2 3" xfId="28964" xr:uid="{F59A8B7B-4A60-460A-B748-8C5020C396C6}"/>
    <cellStyle name="Normal 8 5 4 2 4" xfId="20523" xr:uid="{FDD6C54F-2F4A-4675-98F8-D8C95383944B}"/>
    <cellStyle name="Normal 8 5 4 2 5" xfId="12075" xr:uid="{5057D98C-B5B2-42B5-BE02-E095FAA7E2A3}"/>
    <cellStyle name="Normal 8 5 4 3" xfId="5698" xr:uid="{00000000-0005-0000-0000-00003B1E0000}"/>
    <cellStyle name="Normal 8 5 4 3 2" xfId="31037" xr:uid="{57CA49E9-278A-4ECE-94E7-A733A434149B}"/>
    <cellStyle name="Normal 8 5 4 3 3" xfId="22596" xr:uid="{F6300FB6-2DF7-40F4-8FFB-BB4D7BFAABDD}"/>
    <cellStyle name="Normal 8 5 4 3 4" xfId="14148" xr:uid="{EABC665E-E005-4B40-97E0-C79245FC8502}"/>
    <cellStyle name="Normal 8 5 4 4" xfId="26819" xr:uid="{646ADB22-3886-49E4-9786-EC7A0227582D}"/>
    <cellStyle name="Normal 8 5 4 5" xfId="18378" xr:uid="{03AAC3CA-3F16-4C6B-8950-D477EE44E6B8}"/>
    <cellStyle name="Normal 8 5 4 6" xfId="9930" xr:uid="{64108270-13EE-42BD-BE4C-D57B04AF87C5}"/>
    <cellStyle name="Normal 8 5 5" xfId="1804" xr:uid="{00000000-0005-0000-0000-00003C1E0000}"/>
    <cellStyle name="Normal 8 5 5 2" xfId="4034" xr:uid="{00000000-0005-0000-0000-00003D1E0000}"/>
    <cellStyle name="Normal 8 5 5 2 2" xfId="8256" xr:uid="{00000000-0005-0000-0000-00003E1E0000}"/>
    <cellStyle name="Normal 8 5 5 2 2 2" xfId="33595" xr:uid="{E6B41510-6E53-4AD4-83AB-DB56BD024D9A}"/>
    <cellStyle name="Normal 8 5 5 2 2 3" xfId="25154" xr:uid="{3CCB26EB-D8D8-490D-A73F-8D3C20373D96}"/>
    <cellStyle name="Normal 8 5 5 2 2 4" xfId="16706" xr:uid="{A45539F1-E2D6-42E3-B222-D9BE3EB27504}"/>
    <cellStyle name="Normal 8 5 5 2 3" xfId="29377" xr:uid="{47F7C9FD-942F-41B0-859F-257B343615EA}"/>
    <cellStyle name="Normal 8 5 5 2 4" xfId="20936" xr:uid="{D8C44CE0-BD26-4300-8B6B-7DCCA4EED5D8}"/>
    <cellStyle name="Normal 8 5 5 2 5" xfId="12488" xr:uid="{E96304CD-C569-4C7A-BAB7-4CCF8B895624}"/>
    <cellStyle name="Normal 8 5 5 3" xfId="6111" xr:uid="{00000000-0005-0000-0000-00003F1E0000}"/>
    <cellStyle name="Normal 8 5 5 3 2" xfId="31450" xr:uid="{FD22C996-8703-47D9-98BA-FDD5E249FA8B}"/>
    <cellStyle name="Normal 8 5 5 3 3" xfId="23009" xr:uid="{F8305098-3036-4F62-B9BB-F8468B856835}"/>
    <cellStyle name="Normal 8 5 5 3 4" xfId="14561" xr:uid="{A6455DD6-4F06-4181-B324-1E33A3C176B5}"/>
    <cellStyle name="Normal 8 5 5 4" xfId="27232" xr:uid="{A707CFE5-B86B-4028-BC2A-A2FEEED6B7C4}"/>
    <cellStyle name="Normal 8 5 5 5" xfId="18791" xr:uid="{336A43E7-11EA-429E-A592-B3D3E6E28B93}"/>
    <cellStyle name="Normal 8 5 5 6" xfId="10343" xr:uid="{6FBD6448-5D05-4339-B094-45318CEB277F}"/>
    <cellStyle name="Normal 8 5 6" xfId="2218" xr:uid="{00000000-0005-0000-0000-0000401E0000}"/>
    <cellStyle name="Normal 8 5 6 2" xfId="4447" xr:uid="{00000000-0005-0000-0000-0000411E0000}"/>
    <cellStyle name="Normal 8 5 6 2 2" xfId="8669" xr:uid="{00000000-0005-0000-0000-0000421E0000}"/>
    <cellStyle name="Normal 8 5 6 2 2 2" xfId="34008" xr:uid="{9A7D340E-AA27-47ED-A704-498CD504BD80}"/>
    <cellStyle name="Normal 8 5 6 2 2 3" xfId="25567" xr:uid="{9E2C38F8-1A36-4BBE-85AA-E56065615A8A}"/>
    <cellStyle name="Normal 8 5 6 2 2 4" xfId="17119" xr:uid="{EF3AE628-7D57-4DE8-9EC2-4CEFAC6E48BA}"/>
    <cellStyle name="Normal 8 5 6 2 3" xfId="29790" xr:uid="{A91AA411-6F8F-42FA-BF75-6A32FDDA9000}"/>
    <cellStyle name="Normal 8 5 6 2 4" xfId="21349" xr:uid="{0A850FDA-BAC3-45EB-AB5B-CAD686E92F59}"/>
    <cellStyle name="Normal 8 5 6 2 5" xfId="12901" xr:uid="{07D25820-CF95-405D-B4CF-89F1150C5DE5}"/>
    <cellStyle name="Normal 8 5 6 3" xfId="6524" xr:uid="{00000000-0005-0000-0000-0000431E0000}"/>
    <cellStyle name="Normal 8 5 6 3 2" xfId="31863" xr:uid="{1C42CAA8-65D2-409A-86F3-E36F2BF3C7CC}"/>
    <cellStyle name="Normal 8 5 6 3 3" xfId="23422" xr:uid="{781E1401-66D5-4A4F-BD0B-DCAE6DCA865D}"/>
    <cellStyle name="Normal 8 5 6 3 4" xfId="14974" xr:uid="{286EFFE8-8A61-4A32-94D1-A264FAEEE701}"/>
    <cellStyle name="Normal 8 5 6 4" xfId="27645" xr:uid="{8FF1383C-266A-4D35-B262-B1B766B7CB14}"/>
    <cellStyle name="Normal 8 5 6 5" xfId="19204" xr:uid="{8AAED773-F0E9-4E14-8EBD-D272B73F5306}"/>
    <cellStyle name="Normal 8 5 6 6" xfId="10756" xr:uid="{90CBCF6D-A0E3-4DB6-8897-D20329868800}"/>
    <cellStyle name="Normal 8 5 7" xfId="2654" xr:uid="{00000000-0005-0000-0000-0000441E0000}"/>
    <cellStyle name="Normal 8 5 7 2" xfId="6937" xr:uid="{00000000-0005-0000-0000-0000451E0000}"/>
    <cellStyle name="Normal 8 5 7 2 2" xfId="32276" xr:uid="{DA5699FE-1820-454A-9DF0-4D33371EA163}"/>
    <cellStyle name="Normal 8 5 7 2 3" xfId="23835" xr:uid="{B9784007-905A-4CC6-9BD4-61818F471A8C}"/>
    <cellStyle name="Normal 8 5 7 2 4" xfId="15387" xr:uid="{441F2FC2-59ED-46E5-9F78-B38429E7519E}"/>
    <cellStyle name="Normal 8 5 7 3" xfId="28058" xr:uid="{B3BC9998-F6DD-49B9-80DD-666EEB0427F3}"/>
    <cellStyle name="Normal 8 5 7 4" xfId="19617" xr:uid="{E67B4D95-AEAB-4CDF-946A-77E581BAEE61}"/>
    <cellStyle name="Normal 8 5 7 5" xfId="11169" xr:uid="{297834AF-D567-4E27-B212-CEE63715BFF0}"/>
    <cellStyle name="Normal 8 5 8" xfId="4872" xr:uid="{00000000-0005-0000-0000-0000461E0000}"/>
    <cellStyle name="Normal 8 5 8 2" xfId="30211" xr:uid="{8430B42D-7D62-4BFF-9510-DDF5B5B871C8}"/>
    <cellStyle name="Normal 8 5 8 3" xfId="21770" xr:uid="{5E0A51FB-1EC6-4D9B-8FA6-85D4561508BC}"/>
    <cellStyle name="Normal 8 5 8 4" xfId="13322" xr:uid="{1660E1CF-5AC1-41DB-A2B8-15447001FD82}"/>
    <cellStyle name="Normal 8 5 9" xfId="25993" xr:uid="{21EB6289-5695-4644-9787-E95E040DBC6D}"/>
    <cellStyle name="Normal 8 6" xfId="509" xr:uid="{00000000-0005-0000-0000-0000471E0000}"/>
    <cellStyle name="Normal 8 6 10" xfId="9106" xr:uid="{D65C88A3-3D22-4AC8-9D0D-CBC3F783737C}"/>
    <cellStyle name="Normal 8 6 2" xfId="976" xr:uid="{00000000-0005-0000-0000-0000481E0000}"/>
    <cellStyle name="Normal 8 6 2 2" xfId="3210" xr:uid="{00000000-0005-0000-0000-0000491E0000}"/>
    <cellStyle name="Normal 8 6 2 2 2" xfId="7432" xr:uid="{00000000-0005-0000-0000-00004A1E0000}"/>
    <cellStyle name="Normal 8 6 2 2 2 2" xfId="32771" xr:uid="{8DD60C1B-4830-4D09-9982-B71057A95A2E}"/>
    <cellStyle name="Normal 8 6 2 2 2 3" xfId="24330" xr:uid="{122185B0-FB23-4706-AFC4-EE3BC9F9CD6C}"/>
    <cellStyle name="Normal 8 6 2 2 2 4" xfId="15882" xr:uid="{9CE77C0D-31DA-483F-8220-93341D2E58F8}"/>
    <cellStyle name="Normal 8 6 2 2 3" xfId="28553" xr:uid="{57B50D67-B2D7-4901-9A81-59A3C3E3B355}"/>
    <cellStyle name="Normal 8 6 2 2 4" xfId="20112" xr:uid="{31DE8163-49E3-4851-B134-97F2AE78A39C}"/>
    <cellStyle name="Normal 8 6 2 2 5" xfId="11664" xr:uid="{FB345A61-FA7C-405E-94DF-6A9F396C3059}"/>
    <cellStyle name="Normal 8 6 2 3" xfId="5287" xr:uid="{00000000-0005-0000-0000-00004B1E0000}"/>
    <cellStyle name="Normal 8 6 2 3 2" xfId="30626" xr:uid="{50F64997-3916-462A-81D2-1E4031CF371C}"/>
    <cellStyle name="Normal 8 6 2 3 3" xfId="22185" xr:uid="{DA393EC7-A8EC-4D39-8A8C-3B807BEB3556}"/>
    <cellStyle name="Normal 8 6 2 3 4" xfId="13737" xr:uid="{FBA584C7-C540-4179-AD1D-8B4BE4E6EEDC}"/>
    <cellStyle name="Normal 8 6 2 4" xfId="26408" xr:uid="{FF64C2C5-E635-45E5-91B3-F152CE28E39F}"/>
    <cellStyle name="Normal 8 6 2 5" xfId="17967" xr:uid="{0719DF41-AF2D-4D30-A414-6B592518AE8D}"/>
    <cellStyle name="Normal 8 6 2 6" xfId="9519" xr:uid="{CCE4711A-091E-47EB-8F00-4DE9BD4F6F5A}"/>
    <cellStyle name="Normal 8 6 3" xfId="1393" xr:uid="{00000000-0005-0000-0000-00004C1E0000}"/>
    <cellStyle name="Normal 8 6 3 2" xfId="3623" xr:uid="{00000000-0005-0000-0000-00004D1E0000}"/>
    <cellStyle name="Normal 8 6 3 2 2" xfId="7845" xr:uid="{00000000-0005-0000-0000-00004E1E0000}"/>
    <cellStyle name="Normal 8 6 3 2 2 2" xfId="33184" xr:uid="{635CEDE2-1A11-46AA-9454-96CE89703924}"/>
    <cellStyle name="Normal 8 6 3 2 2 3" xfId="24743" xr:uid="{8CDCF8E9-2B3E-40E1-9A18-EDE022F86BB5}"/>
    <cellStyle name="Normal 8 6 3 2 2 4" xfId="16295" xr:uid="{6FC3FDD6-9495-4D5C-9590-C7ABE284A03B}"/>
    <cellStyle name="Normal 8 6 3 2 3" xfId="28966" xr:uid="{D8219783-5E57-4B1B-BBB2-B930DCD6B0C6}"/>
    <cellStyle name="Normal 8 6 3 2 4" xfId="20525" xr:uid="{E7789BCE-DC6F-47F0-8101-EE87D21FF7F2}"/>
    <cellStyle name="Normal 8 6 3 2 5" xfId="12077" xr:uid="{904CE157-EBD8-4993-B1F8-8AD8BA1F53AD}"/>
    <cellStyle name="Normal 8 6 3 3" xfId="5700" xr:uid="{00000000-0005-0000-0000-00004F1E0000}"/>
    <cellStyle name="Normal 8 6 3 3 2" xfId="31039" xr:uid="{8FFE9D1A-A87D-4C54-AABA-C4A9ED5B97B5}"/>
    <cellStyle name="Normal 8 6 3 3 3" xfId="22598" xr:uid="{285AF58F-B11A-4EC6-A4FD-6506F3FEDDC2}"/>
    <cellStyle name="Normal 8 6 3 3 4" xfId="14150" xr:uid="{2F5A9DD4-A139-4476-8815-59DAFE88D8A7}"/>
    <cellStyle name="Normal 8 6 3 4" xfId="26821" xr:uid="{5981252B-862B-46EC-86E1-8857DE19F9A1}"/>
    <cellStyle name="Normal 8 6 3 5" xfId="18380" xr:uid="{174423D7-045F-4334-9F4B-03895A447387}"/>
    <cellStyle name="Normal 8 6 3 6" xfId="9932" xr:uid="{A04ADCC0-C35F-4DEC-A7F7-5BDACEE3F4BB}"/>
    <cellStyle name="Normal 8 6 4" xfId="1806" xr:uid="{00000000-0005-0000-0000-0000501E0000}"/>
    <cellStyle name="Normal 8 6 4 2" xfId="4036" xr:uid="{00000000-0005-0000-0000-0000511E0000}"/>
    <cellStyle name="Normal 8 6 4 2 2" xfId="8258" xr:uid="{00000000-0005-0000-0000-0000521E0000}"/>
    <cellStyle name="Normal 8 6 4 2 2 2" xfId="33597" xr:uid="{90F849C0-C7E1-4558-A8CF-8E24CEC2E567}"/>
    <cellStyle name="Normal 8 6 4 2 2 3" xfId="25156" xr:uid="{216F3514-ADDC-4DD9-83E3-2DB84C8EB706}"/>
    <cellStyle name="Normal 8 6 4 2 2 4" xfId="16708" xr:uid="{BAD57614-055F-4111-B6A0-AFEC68FCBE21}"/>
    <cellStyle name="Normal 8 6 4 2 3" xfId="29379" xr:uid="{30ED824B-E048-4B7C-8C6F-0B4958B48448}"/>
    <cellStyle name="Normal 8 6 4 2 4" xfId="20938" xr:uid="{A66E0490-0A85-4E16-B2C1-49F6293DD0D7}"/>
    <cellStyle name="Normal 8 6 4 2 5" xfId="12490" xr:uid="{01DEF58E-4083-44C0-981D-1024E73FB447}"/>
    <cellStyle name="Normal 8 6 4 3" xfId="6113" xr:uid="{00000000-0005-0000-0000-0000531E0000}"/>
    <cellStyle name="Normal 8 6 4 3 2" xfId="31452" xr:uid="{8BE0455E-986B-48AB-A734-5E028BD3E14C}"/>
    <cellStyle name="Normal 8 6 4 3 3" xfId="23011" xr:uid="{CEA45115-18CA-4097-9B26-F2E133C1409D}"/>
    <cellStyle name="Normal 8 6 4 3 4" xfId="14563" xr:uid="{3BAD1CE5-9329-4057-8C1E-0A0614D01750}"/>
    <cellStyle name="Normal 8 6 4 4" xfId="27234" xr:uid="{BE0F03FD-64FD-40DE-A325-7A0FFE23CEDB}"/>
    <cellStyle name="Normal 8 6 4 5" xfId="18793" xr:uid="{1489439E-CE20-42F2-89E7-2094D2EE7D8A}"/>
    <cellStyle name="Normal 8 6 4 6" xfId="10345" xr:uid="{5CA29A7A-1C3E-4807-A133-1161B5323296}"/>
    <cellStyle name="Normal 8 6 5" xfId="2220" xr:uid="{00000000-0005-0000-0000-0000541E0000}"/>
    <cellStyle name="Normal 8 6 5 2" xfId="4449" xr:uid="{00000000-0005-0000-0000-0000551E0000}"/>
    <cellStyle name="Normal 8 6 5 2 2" xfId="8671" xr:uid="{00000000-0005-0000-0000-0000561E0000}"/>
    <cellStyle name="Normal 8 6 5 2 2 2" xfId="34010" xr:uid="{E0BC9FA2-AC55-4264-A03E-313B4B86F6D7}"/>
    <cellStyle name="Normal 8 6 5 2 2 3" xfId="25569" xr:uid="{F2CDD112-85A5-48D0-B4E2-F9E55A825DF9}"/>
    <cellStyle name="Normal 8 6 5 2 2 4" xfId="17121" xr:uid="{D126C690-DE25-4C91-B66D-B8C5BFCBB9A0}"/>
    <cellStyle name="Normal 8 6 5 2 3" xfId="29792" xr:uid="{B5E592ED-0AE8-4FCB-94D8-A20546707CED}"/>
    <cellStyle name="Normal 8 6 5 2 4" xfId="21351" xr:uid="{6A02B7AF-10B4-4D3F-AB1A-BE84B2BD77F5}"/>
    <cellStyle name="Normal 8 6 5 2 5" xfId="12903" xr:uid="{6B5C7A4B-9800-4C4C-A7C6-5D86F8AFCC98}"/>
    <cellStyle name="Normal 8 6 5 3" xfId="6526" xr:uid="{00000000-0005-0000-0000-0000571E0000}"/>
    <cellStyle name="Normal 8 6 5 3 2" xfId="31865" xr:uid="{9E5354BF-A92D-41B8-8270-99A9ADDC74C8}"/>
    <cellStyle name="Normal 8 6 5 3 3" xfId="23424" xr:uid="{29263F99-EA9C-4481-BDFD-B8EF9D9C9EB1}"/>
    <cellStyle name="Normal 8 6 5 3 4" xfId="14976" xr:uid="{7D8A34FA-851F-47F6-A4E1-3F3F629823C6}"/>
    <cellStyle name="Normal 8 6 5 4" xfId="27647" xr:uid="{0F562B55-8397-4DCE-AA79-411DCC6EA96B}"/>
    <cellStyle name="Normal 8 6 5 5" xfId="19206" xr:uid="{8EA7E196-6203-428F-8865-5EA5DBD8516E}"/>
    <cellStyle name="Normal 8 6 5 6" xfId="10758" xr:uid="{391E742A-68F8-4A3B-9B47-D532FA960D5A}"/>
    <cellStyle name="Normal 8 6 6" xfId="2656" xr:uid="{00000000-0005-0000-0000-0000581E0000}"/>
    <cellStyle name="Normal 8 6 6 2" xfId="6939" xr:uid="{00000000-0005-0000-0000-0000591E0000}"/>
    <cellStyle name="Normal 8 6 6 2 2" xfId="32278" xr:uid="{29A36CC7-2283-447A-B339-F33237D56FBE}"/>
    <cellStyle name="Normal 8 6 6 2 3" xfId="23837" xr:uid="{41CB4CB5-C40D-4B72-954B-3636937D1624}"/>
    <cellStyle name="Normal 8 6 6 2 4" xfId="15389" xr:uid="{E6CDF0CE-17D6-495F-A17B-DC05A8748993}"/>
    <cellStyle name="Normal 8 6 6 3" xfId="28060" xr:uid="{76BC053B-D9F9-4802-867B-5434EB39FF9C}"/>
    <cellStyle name="Normal 8 6 6 4" xfId="19619" xr:uid="{DA06075E-AC95-49F8-9950-3824D009F4DC}"/>
    <cellStyle name="Normal 8 6 6 5" xfId="11171" xr:uid="{665609D2-9604-4E5E-8797-9642455197AE}"/>
    <cellStyle name="Normal 8 6 7" xfId="4874" xr:uid="{00000000-0005-0000-0000-00005A1E0000}"/>
    <cellStyle name="Normal 8 6 7 2" xfId="30213" xr:uid="{8A81A84E-808C-4A89-B256-FF76F4BED635}"/>
    <cellStyle name="Normal 8 6 7 3" xfId="21772" xr:uid="{639AEBC7-E16A-48DB-9355-EBB0652565DA}"/>
    <cellStyle name="Normal 8 6 7 4" xfId="13324" xr:uid="{BF1CBF05-5439-46BD-BD19-ED87D2A562BB}"/>
    <cellStyle name="Normal 8 6 8" xfId="25995" xr:uid="{942D3AFC-D4B0-4C4A-A80A-A7E8EC83C752}"/>
    <cellStyle name="Normal 8 6 9" xfId="17554" xr:uid="{0BB21D1E-6F0B-48E2-9E6D-60B90BD8F943}"/>
    <cellStyle name="Normal 8 7" xfId="945" xr:uid="{00000000-0005-0000-0000-00005B1E0000}"/>
    <cellStyle name="Normal 8 7 2" xfId="3179" xr:uid="{00000000-0005-0000-0000-00005C1E0000}"/>
    <cellStyle name="Normal 8 7 2 2" xfId="7401" xr:uid="{00000000-0005-0000-0000-00005D1E0000}"/>
    <cellStyle name="Normal 8 7 2 2 2" xfId="32740" xr:uid="{D6891601-1550-4939-BC31-E4FE22487BB2}"/>
    <cellStyle name="Normal 8 7 2 2 3" xfId="24299" xr:uid="{A6233A18-88DC-4D50-8CEB-3629738CE9CD}"/>
    <cellStyle name="Normal 8 7 2 2 4" xfId="15851" xr:uid="{0119459F-38F9-429B-BB78-FCE81DBD505D}"/>
    <cellStyle name="Normal 8 7 2 3" xfId="28522" xr:uid="{867A58BB-7F44-4A2E-8930-DE4F0EC23B9A}"/>
    <cellStyle name="Normal 8 7 2 4" xfId="20081" xr:uid="{C39494C4-0B62-4732-AD10-CFE753976B46}"/>
    <cellStyle name="Normal 8 7 2 5" xfId="11633" xr:uid="{30BFAEC0-D645-4839-A6EF-B2CBC748AB63}"/>
    <cellStyle name="Normal 8 7 3" xfId="5256" xr:uid="{00000000-0005-0000-0000-00005E1E0000}"/>
    <cellStyle name="Normal 8 7 3 2" xfId="30595" xr:uid="{9495DAB6-EFE5-408E-954D-13D260CB5B06}"/>
    <cellStyle name="Normal 8 7 3 3" xfId="22154" xr:uid="{874B441D-2C58-467C-9A38-1FDAA70A32B1}"/>
    <cellStyle name="Normal 8 7 3 4" xfId="13706" xr:uid="{DB94AE8A-AE92-4BF1-BDFA-C7957604E8A5}"/>
    <cellStyle name="Normal 8 7 4" xfId="26377" xr:uid="{273984C1-FBA2-4E75-89FC-D24F616F7F06}"/>
    <cellStyle name="Normal 8 7 5" xfId="17936" xr:uid="{1368AA2E-2EC0-4283-985D-8CE763971B69}"/>
    <cellStyle name="Normal 8 7 6" xfId="9488" xr:uid="{6005277F-5043-40C8-AF15-90F32A47404E}"/>
    <cellStyle name="Normal 8 8" xfId="1362" xr:uid="{00000000-0005-0000-0000-00005F1E0000}"/>
    <cellStyle name="Normal 8 8 2" xfId="3592" xr:uid="{00000000-0005-0000-0000-0000601E0000}"/>
    <cellStyle name="Normal 8 8 2 2" xfId="7814" xr:uid="{00000000-0005-0000-0000-0000611E0000}"/>
    <cellStyle name="Normal 8 8 2 2 2" xfId="33153" xr:uid="{A3DAB4E8-0B38-42E9-8E2D-188F6CC783AB}"/>
    <cellStyle name="Normal 8 8 2 2 3" xfId="24712" xr:uid="{1562879D-DB09-45FA-840A-431BFE65D188}"/>
    <cellStyle name="Normal 8 8 2 2 4" xfId="16264" xr:uid="{25AED695-6A9F-4566-BC26-E6491FABD15C}"/>
    <cellStyle name="Normal 8 8 2 3" xfId="28935" xr:uid="{A3DA5A05-ED1C-4153-A5B2-18AAB3E353E7}"/>
    <cellStyle name="Normal 8 8 2 4" xfId="20494" xr:uid="{6E496761-7FF0-4C55-BCFC-E72957F26522}"/>
    <cellStyle name="Normal 8 8 2 5" xfId="12046" xr:uid="{B88BD7EC-B4AD-4ADA-B776-D3757466585B}"/>
    <cellStyle name="Normal 8 8 3" xfId="5669" xr:uid="{00000000-0005-0000-0000-0000621E0000}"/>
    <cellStyle name="Normal 8 8 3 2" xfId="31008" xr:uid="{B1E39EC9-309A-47B6-BF13-3A5BAE56F953}"/>
    <cellStyle name="Normal 8 8 3 3" xfId="22567" xr:uid="{ECA4CD68-5406-4CF7-920A-91FF4C9CE657}"/>
    <cellStyle name="Normal 8 8 3 4" xfId="14119" xr:uid="{CC5783B4-5B7B-41A0-B0E2-595FFF3F7ACD}"/>
    <cellStyle name="Normal 8 8 4" xfId="26790" xr:uid="{4464CF1A-4B40-47AB-BACC-3C4911C3D13D}"/>
    <cellStyle name="Normal 8 8 5" xfId="18349" xr:uid="{57C4ADA5-D733-4292-827C-51A3568238D6}"/>
    <cellStyle name="Normal 8 8 6" xfId="9901" xr:uid="{3FA2CC81-E522-4732-B905-B75D32B008FF}"/>
    <cellStyle name="Normal 8 9" xfId="1775" xr:uid="{00000000-0005-0000-0000-0000631E0000}"/>
    <cellStyle name="Normal 8 9 2" xfId="4005" xr:uid="{00000000-0005-0000-0000-0000641E0000}"/>
    <cellStyle name="Normal 8 9 2 2" xfId="8227" xr:uid="{00000000-0005-0000-0000-0000651E0000}"/>
    <cellStyle name="Normal 8 9 2 2 2" xfId="33566" xr:uid="{B788D090-F5C0-4938-ABCC-CD8E4B609C93}"/>
    <cellStyle name="Normal 8 9 2 2 3" xfId="25125" xr:uid="{3EC7A5A6-9677-43D6-AA69-A99A85321398}"/>
    <cellStyle name="Normal 8 9 2 2 4" xfId="16677" xr:uid="{1A98E9AB-EF25-4F52-A5D7-B85F90BC6004}"/>
    <cellStyle name="Normal 8 9 2 3" xfId="29348" xr:uid="{7D8EA784-0F59-4792-AB64-3E2563F8727C}"/>
    <cellStyle name="Normal 8 9 2 4" xfId="20907" xr:uid="{FAFE7130-74E4-4823-A13E-04F0BA76B09E}"/>
    <cellStyle name="Normal 8 9 2 5" xfId="12459" xr:uid="{E24964E4-7E6B-4524-A7C6-B611195044E3}"/>
    <cellStyle name="Normal 8 9 3" xfId="6082" xr:uid="{00000000-0005-0000-0000-0000661E0000}"/>
    <cellStyle name="Normal 8 9 3 2" xfId="31421" xr:uid="{2EDE4CBE-0B0B-450D-8A28-15EF04A97AE7}"/>
    <cellStyle name="Normal 8 9 3 3" xfId="22980" xr:uid="{D554BB0E-CB91-4DF7-9271-B89FC9C94DA1}"/>
    <cellStyle name="Normal 8 9 3 4" xfId="14532" xr:uid="{DDE80C92-BC58-4BA7-B90A-25AC890F7285}"/>
    <cellStyle name="Normal 8 9 4" xfId="27203" xr:uid="{FED01404-4173-4ABA-BCD4-4D2A68367DE4}"/>
    <cellStyle name="Normal 8 9 5" xfId="18762" xr:uid="{382455E2-6AF9-4F80-B021-972F0C07CC10}"/>
    <cellStyle name="Normal 8 9 6" xfId="10314" xr:uid="{57BAA4C4-4553-4AE1-B591-D6AC5A036EE2}"/>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32279" xr:uid="{7768E76D-3C22-4125-931C-68F524DC5C8F}"/>
    <cellStyle name="Normal 9 2 10 2 3" xfId="23838" xr:uid="{3DF36E0B-9F6F-4B5F-8C28-7D22A53F076C}"/>
    <cellStyle name="Normal 9 2 10 2 4" xfId="15390" xr:uid="{4730E5A0-8102-4FE4-9D5D-D56DEC8C7777}"/>
    <cellStyle name="Normal 9 2 10 3" xfId="28061" xr:uid="{824C12DA-A0E8-4D9D-A172-270802225BF0}"/>
    <cellStyle name="Normal 9 2 10 4" xfId="19620" xr:uid="{CC1CA7AF-AFF8-4785-BF9A-3F9D0BB11D10}"/>
    <cellStyle name="Normal 9 2 10 5" xfId="11172" xr:uid="{7986E6F7-90A5-4350-855B-E4FE42B37253}"/>
    <cellStyle name="Normal 9 2 11" xfId="4875" xr:uid="{00000000-0005-0000-0000-00006B1E0000}"/>
    <cellStyle name="Normal 9 2 11 2" xfId="30214" xr:uid="{41C08055-2621-48EE-A1BB-F183870359CA}"/>
    <cellStyle name="Normal 9 2 11 3" xfId="21773" xr:uid="{3F6F608A-BDC1-43AC-AEA5-77E2AE4E3D9B}"/>
    <cellStyle name="Normal 9 2 11 4" xfId="13325" xr:uid="{2653E986-8A34-43AC-8C62-1308D5D5E610}"/>
    <cellStyle name="Normal 9 2 12" xfId="25996" xr:uid="{812807F7-F376-475F-9166-EF975D93FCD2}"/>
    <cellStyle name="Normal 9 2 13" xfId="17555" xr:uid="{E2D1B692-5D78-4DEB-AFE8-A3B33933B2FB}"/>
    <cellStyle name="Normal 9 2 14" xfId="9107" xr:uid="{94F318AB-7E41-41AB-8BB6-4C7D5BF96288}"/>
    <cellStyle name="Normal 9 2 2" xfId="512" xr:uid="{00000000-0005-0000-0000-00006C1E0000}"/>
    <cellStyle name="Normal 9 2 2 10" xfId="4876" xr:uid="{00000000-0005-0000-0000-00006D1E0000}"/>
    <cellStyle name="Normal 9 2 2 10 2" xfId="30215" xr:uid="{E428E329-803C-4514-888F-B2D051D5369D}"/>
    <cellStyle name="Normal 9 2 2 10 3" xfId="21774" xr:uid="{0576EFFE-3674-4C95-B448-E6E984D7CA35}"/>
    <cellStyle name="Normal 9 2 2 10 4" xfId="13326" xr:uid="{42B0B2E0-349D-4676-9C4E-AB0DCDF22BB9}"/>
    <cellStyle name="Normal 9 2 2 11" xfId="25997" xr:uid="{7A85ECA9-1BFE-4B56-A312-47E895256B6D}"/>
    <cellStyle name="Normal 9 2 2 12" xfId="17556" xr:uid="{B306A5ED-5126-48D0-8CB9-3B0AC3CDB2BC}"/>
    <cellStyle name="Normal 9 2 2 13" xfId="9108" xr:uid="{DE8DDB3E-021A-41FB-9205-EDF79E4E2C95}"/>
    <cellStyle name="Normal 9 2 2 2" xfId="513" xr:uid="{00000000-0005-0000-0000-00006E1E0000}"/>
    <cellStyle name="Normal 9 2 2 2 10" xfId="25998" xr:uid="{E38F7052-BFBE-453C-8FD2-DD58CE2F5827}"/>
    <cellStyle name="Normal 9 2 2 2 11" xfId="17557" xr:uid="{795AE7ED-3D69-47ED-A3F0-706852C3C738}"/>
    <cellStyle name="Normal 9 2 2 2 12" xfId="9109" xr:uid="{7A120767-09BF-4DA9-98FC-3A46FBCC8FFD}"/>
    <cellStyle name="Normal 9 2 2 2 2" xfId="514" xr:uid="{00000000-0005-0000-0000-00006F1E0000}"/>
    <cellStyle name="Normal 9 2 2 2 2 10" xfId="17558" xr:uid="{85816BDD-F790-4C7B-88E6-E205FC43DAB5}"/>
    <cellStyle name="Normal 9 2 2 2 2 11" xfId="9110" xr:uid="{E180F867-1E34-499C-AE5D-8443D62156B5}"/>
    <cellStyle name="Normal 9 2 2 2 2 2" xfId="515" xr:uid="{00000000-0005-0000-0000-0000701E0000}"/>
    <cellStyle name="Normal 9 2 2 2 2 2 10" xfId="9111" xr:uid="{7804376A-73B6-4556-9A58-E0C4B94D2ECA}"/>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32776" xr:uid="{4539E80D-CF9F-4512-8F3A-BD5D9A3530BD}"/>
    <cellStyle name="Normal 9 2 2 2 2 2 2 2 2 3" xfId="24335" xr:uid="{D12DD14D-3FA4-48B8-BDEA-BE47CF4DC21F}"/>
    <cellStyle name="Normal 9 2 2 2 2 2 2 2 2 4" xfId="15887" xr:uid="{E1348951-EE55-414B-8F6E-8739582BD34B}"/>
    <cellStyle name="Normal 9 2 2 2 2 2 2 2 3" xfId="28558" xr:uid="{13C59BB7-9AAD-40D5-AB3B-3563439E3AED}"/>
    <cellStyle name="Normal 9 2 2 2 2 2 2 2 4" xfId="20117" xr:uid="{480D414D-81A8-4C86-8399-3F064D0A106D}"/>
    <cellStyle name="Normal 9 2 2 2 2 2 2 2 5" xfId="11669" xr:uid="{39F2B7D0-9150-4C36-B83F-AB54A32514CD}"/>
    <cellStyle name="Normal 9 2 2 2 2 2 2 3" xfId="5292" xr:uid="{00000000-0005-0000-0000-0000741E0000}"/>
    <cellStyle name="Normal 9 2 2 2 2 2 2 3 2" xfId="30631" xr:uid="{6623220C-9526-436D-82E3-254E407A1169}"/>
    <cellStyle name="Normal 9 2 2 2 2 2 2 3 3" xfId="22190" xr:uid="{5F26B469-7688-453E-8680-C1ACD6869EBA}"/>
    <cellStyle name="Normal 9 2 2 2 2 2 2 3 4" xfId="13742" xr:uid="{0EB66145-AF00-4DEC-9ABE-4E4206043449}"/>
    <cellStyle name="Normal 9 2 2 2 2 2 2 4" xfId="26413" xr:uid="{B348000F-9BF8-42FB-9BEB-95D149C9D2DB}"/>
    <cellStyle name="Normal 9 2 2 2 2 2 2 5" xfId="17972" xr:uid="{19EC6580-85AF-4D90-9F71-5B4FD438C38E}"/>
    <cellStyle name="Normal 9 2 2 2 2 2 2 6" xfId="9524" xr:uid="{A4548936-F7A7-44F6-B6E2-CBC993D9FD8E}"/>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33189" xr:uid="{F0916C7A-11C5-4B02-91D6-DCCDB834D120}"/>
    <cellStyle name="Normal 9 2 2 2 2 2 3 2 2 3" xfId="24748" xr:uid="{997303AA-8A78-42E7-8DDA-65A3B8C69383}"/>
    <cellStyle name="Normal 9 2 2 2 2 2 3 2 2 4" xfId="16300" xr:uid="{31BD2C1F-A1C7-4F1C-8D80-C1FF6DBD1E41}"/>
    <cellStyle name="Normal 9 2 2 2 2 2 3 2 3" xfId="28971" xr:uid="{535F456C-72CD-4AC7-A8E2-9022FBB367BE}"/>
    <cellStyle name="Normal 9 2 2 2 2 2 3 2 4" xfId="20530" xr:uid="{8C4B5707-D2A5-464B-97B5-484E9213B0BC}"/>
    <cellStyle name="Normal 9 2 2 2 2 2 3 2 5" xfId="12082" xr:uid="{8DD572D7-463A-4EE0-B4B5-B3038D3719D3}"/>
    <cellStyle name="Normal 9 2 2 2 2 2 3 3" xfId="5705" xr:uid="{00000000-0005-0000-0000-0000781E0000}"/>
    <cellStyle name="Normal 9 2 2 2 2 2 3 3 2" xfId="31044" xr:uid="{DF090BFA-E7AB-4CC5-9822-97D747458B51}"/>
    <cellStyle name="Normal 9 2 2 2 2 2 3 3 3" xfId="22603" xr:uid="{C724BE7D-267E-491A-9664-69D5CE233B0A}"/>
    <cellStyle name="Normal 9 2 2 2 2 2 3 3 4" xfId="14155" xr:uid="{827804C3-2926-4AE2-9F03-0F67B66B006C}"/>
    <cellStyle name="Normal 9 2 2 2 2 2 3 4" xfId="26826" xr:uid="{700A5AC6-53F9-4D40-94DE-F310BCF47AB1}"/>
    <cellStyle name="Normal 9 2 2 2 2 2 3 5" xfId="18385" xr:uid="{807624A4-2EC6-49AD-ADD1-CF662984706D}"/>
    <cellStyle name="Normal 9 2 2 2 2 2 3 6" xfId="9937" xr:uid="{310D5BBB-4ECB-4886-8315-5DB09C64F53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33602" xr:uid="{0B64488E-64E1-43E7-9A31-9C806275F73B}"/>
    <cellStyle name="Normal 9 2 2 2 2 2 4 2 2 3" xfId="25161" xr:uid="{9BAAFDF1-A25D-424D-9235-5CD4270C0C68}"/>
    <cellStyle name="Normal 9 2 2 2 2 2 4 2 2 4" xfId="16713" xr:uid="{1A1B26D0-1456-4F30-A84A-FDA1F54E87A4}"/>
    <cellStyle name="Normal 9 2 2 2 2 2 4 2 3" xfId="29384" xr:uid="{2AC6A16A-BEB0-43E6-8D26-AD7E4194252F}"/>
    <cellStyle name="Normal 9 2 2 2 2 2 4 2 4" xfId="20943" xr:uid="{1111A67E-4985-4505-9E54-22F3F890CAA1}"/>
    <cellStyle name="Normal 9 2 2 2 2 2 4 2 5" xfId="12495" xr:uid="{3C410A44-4DD6-43E8-AFA6-0BB189B10459}"/>
    <cellStyle name="Normal 9 2 2 2 2 2 4 3" xfId="6118" xr:uid="{00000000-0005-0000-0000-00007C1E0000}"/>
    <cellStyle name="Normal 9 2 2 2 2 2 4 3 2" xfId="31457" xr:uid="{9B4EBA76-4163-48A4-BC8C-C08A97187AA0}"/>
    <cellStyle name="Normal 9 2 2 2 2 2 4 3 3" xfId="23016" xr:uid="{00132AB4-DE28-48A8-A1AC-FC8C11F171E8}"/>
    <cellStyle name="Normal 9 2 2 2 2 2 4 3 4" xfId="14568" xr:uid="{93EEA12F-0059-4E11-B291-1881C1470168}"/>
    <cellStyle name="Normal 9 2 2 2 2 2 4 4" xfId="27239" xr:uid="{78F44008-2E59-4805-90F2-0CDFA43A97F0}"/>
    <cellStyle name="Normal 9 2 2 2 2 2 4 5" xfId="18798" xr:uid="{5AD336E1-98DC-4D8D-AD5E-CB386408C365}"/>
    <cellStyle name="Normal 9 2 2 2 2 2 4 6" xfId="10350" xr:uid="{B691C539-3C70-480C-AAD0-8487A7824874}"/>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34015" xr:uid="{83615B6E-C11D-4CAC-841B-7B8706734FD1}"/>
    <cellStyle name="Normal 9 2 2 2 2 2 5 2 2 3" xfId="25574" xr:uid="{06EA33FE-321A-477A-96DA-206318660F5D}"/>
    <cellStyle name="Normal 9 2 2 2 2 2 5 2 2 4" xfId="17126" xr:uid="{77B6C16D-9A8A-4C76-8D86-86706EF5271D}"/>
    <cellStyle name="Normal 9 2 2 2 2 2 5 2 3" xfId="29797" xr:uid="{EDFFF1B8-25E9-4F78-8F0D-33459372BABE}"/>
    <cellStyle name="Normal 9 2 2 2 2 2 5 2 4" xfId="21356" xr:uid="{0F4878EA-290F-4A81-B7CD-8A45415A6D1C}"/>
    <cellStyle name="Normal 9 2 2 2 2 2 5 2 5" xfId="12908" xr:uid="{93B2E91B-E94E-4FBF-857E-6063F27E0675}"/>
    <cellStyle name="Normal 9 2 2 2 2 2 5 3" xfId="6531" xr:uid="{00000000-0005-0000-0000-0000801E0000}"/>
    <cellStyle name="Normal 9 2 2 2 2 2 5 3 2" xfId="31870" xr:uid="{A60989FD-953D-43DF-9C92-2CBDB609C450}"/>
    <cellStyle name="Normal 9 2 2 2 2 2 5 3 3" xfId="23429" xr:uid="{B270640B-07FE-44FD-939B-3959C58DF59D}"/>
    <cellStyle name="Normal 9 2 2 2 2 2 5 3 4" xfId="14981" xr:uid="{1A0A9805-8AD8-49A1-9FB5-7AA196AEF7EA}"/>
    <cellStyle name="Normal 9 2 2 2 2 2 5 4" xfId="27652" xr:uid="{D997DF92-400E-4D41-8474-074ECB6F2A0D}"/>
    <cellStyle name="Normal 9 2 2 2 2 2 5 5" xfId="19211" xr:uid="{8A273808-DA90-4F90-B927-E293B0F865D2}"/>
    <cellStyle name="Normal 9 2 2 2 2 2 5 6" xfId="10763" xr:uid="{A10759F5-DE34-4E9A-ADD9-52480369A94C}"/>
    <cellStyle name="Normal 9 2 2 2 2 2 6" xfId="2661" xr:uid="{00000000-0005-0000-0000-0000811E0000}"/>
    <cellStyle name="Normal 9 2 2 2 2 2 6 2" xfId="6944" xr:uid="{00000000-0005-0000-0000-0000821E0000}"/>
    <cellStyle name="Normal 9 2 2 2 2 2 6 2 2" xfId="32283" xr:uid="{1973D216-4949-4575-A172-AB3B956F60C4}"/>
    <cellStyle name="Normal 9 2 2 2 2 2 6 2 3" xfId="23842" xr:uid="{297F4BA5-9AFE-4F0F-A4E9-1B307111BA03}"/>
    <cellStyle name="Normal 9 2 2 2 2 2 6 2 4" xfId="15394" xr:uid="{EE501E5F-9978-40AC-8E2F-4686E9AE88B2}"/>
    <cellStyle name="Normal 9 2 2 2 2 2 6 3" xfId="28065" xr:uid="{D75B7C6E-C69F-44E4-A65D-001F7744D713}"/>
    <cellStyle name="Normal 9 2 2 2 2 2 6 4" xfId="19624" xr:uid="{11C62903-DAEC-4185-BE2C-AA47AB08E3C5}"/>
    <cellStyle name="Normal 9 2 2 2 2 2 6 5" xfId="11176" xr:uid="{341C2581-0871-4D9D-A663-B3987E9EF6AC}"/>
    <cellStyle name="Normal 9 2 2 2 2 2 7" xfId="4879" xr:uid="{00000000-0005-0000-0000-0000831E0000}"/>
    <cellStyle name="Normal 9 2 2 2 2 2 7 2" xfId="30218" xr:uid="{B149996A-F39F-489B-BFE4-354EF0082119}"/>
    <cellStyle name="Normal 9 2 2 2 2 2 7 3" xfId="21777" xr:uid="{A3957953-893B-465A-9811-170E683786ED}"/>
    <cellStyle name="Normal 9 2 2 2 2 2 7 4" xfId="13329" xr:uid="{59B2D4D2-BD1F-4AE6-865D-5CE977E1B7F7}"/>
    <cellStyle name="Normal 9 2 2 2 2 2 8" xfId="26000" xr:uid="{15580314-C03F-4045-98C4-2EA635DFBC00}"/>
    <cellStyle name="Normal 9 2 2 2 2 2 9" xfId="17559" xr:uid="{DD7865EA-602B-47CC-8BB7-0ABF3EBF4554}"/>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32775" xr:uid="{340D852F-D2CA-4B16-BDE1-0B1965A3068C}"/>
    <cellStyle name="Normal 9 2 2 2 2 3 2 2 3" xfId="24334" xr:uid="{541BA68B-7819-453A-A1FA-7E6176EC34F0}"/>
    <cellStyle name="Normal 9 2 2 2 2 3 2 2 4" xfId="15886" xr:uid="{A2F1D2F1-D535-4891-90F4-E3A33B5F2B24}"/>
    <cellStyle name="Normal 9 2 2 2 2 3 2 3" xfId="28557" xr:uid="{CB9E3AA2-9D06-46B6-907F-0045FAF8FCE1}"/>
    <cellStyle name="Normal 9 2 2 2 2 3 2 4" xfId="20116" xr:uid="{F6317822-EA05-4690-BFB5-9DEE7EDDD9E0}"/>
    <cellStyle name="Normal 9 2 2 2 2 3 2 5" xfId="11668" xr:uid="{DCCCAF70-FEE0-4E4B-A70B-E5AF90C5F635}"/>
    <cellStyle name="Normal 9 2 2 2 2 3 3" xfId="5291" xr:uid="{00000000-0005-0000-0000-0000871E0000}"/>
    <cellStyle name="Normal 9 2 2 2 2 3 3 2" xfId="30630" xr:uid="{F226AC92-9464-4146-9FF6-CDA8ACF8CC16}"/>
    <cellStyle name="Normal 9 2 2 2 2 3 3 3" xfId="22189" xr:uid="{122B2E63-A729-43BD-9952-7597052ABDCB}"/>
    <cellStyle name="Normal 9 2 2 2 2 3 3 4" xfId="13741" xr:uid="{B5F92EA0-2A0D-41ED-B268-1B8CF011AA98}"/>
    <cellStyle name="Normal 9 2 2 2 2 3 4" xfId="26412" xr:uid="{D86AF1C2-3F99-4196-987E-2B337C4A12E9}"/>
    <cellStyle name="Normal 9 2 2 2 2 3 5" xfId="17971" xr:uid="{73EDA75C-EE0C-49DC-BDE7-9D3A65027D6B}"/>
    <cellStyle name="Normal 9 2 2 2 2 3 6" xfId="9523" xr:uid="{77EAD125-0A3A-4C48-A060-B70B9D065EA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33188" xr:uid="{F620A615-1E93-4723-8A09-D637D54294CA}"/>
    <cellStyle name="Normal 9 2 2 2 2 4 2 2 3" xfId="24747" xr:uid="{5C8C3A10-0895-448C-9556-1021A7EA9BC7}"/>
    <cellStyle name="Normal 9 2 2 2 2 4 2 2 4" xfId="16299" xr:uid="{7F883BAB-D6F2-41D3-940A-BC4008DC5C14}"/>
    <cellStyle name="Normal 9 2 2 2 2 4 2 3" xfId="28970" xr:uid="{2D7A0F2A-E748-4425-A273-10D78786FAC7}"/>
    <cellStyle name="Normal 9 2 2 2 2 4 2 4" xfId="20529" xr:uid="{01E3F38D-EF5E-4474-A1BB-B7EE71EAFC2B}"/>
    <cellStyle name="Normal 9 2 2 2 2 4 2 5" xfId="12081" xr:uid="{6007909E-24DC-4CE1-A834-C9DE5692C692}"/>
    <cellStyle name="Normal 9 2 2 2 2 4 3" xfId="5704" xr:uid="{00000000-0005-0000-0000-00008B1E0000}"/>
    <cellStyle name="Normal 9 2 2 2 2 4 3 2" xfId="31043" xr:uid="{BB76A672-2272-4748-9979-FB528AC845BC}"/>
    <cellStyle name="Normal 9 2 2 2 2 4 3 3" xfId="22602" xr:uid="{697722B6-A63F-420D-8205-820E2F194265}"/>
    <cellStyle name="Normal 9 2 2 2 2 4 3 4" xfId="14154" xr:uid="{50ECCCC3-1C33-4EBD-BB08-0E004AB307FE}"/>
    <cellStyle name="Normal 9 2 2 2 2 4 4" xfId="26825" xr:uid="{4817F1F9-C6FC-48A8-B986-7BBD3F70F29F}"/>
    <cellStyle name="Normal 9 2 2 2 2 4 5" xfId="18384" xr:uid="{166F3952-8CA9-426D-9C01-C8D0163412D8}"/>
    <cellStyle name="Normal 9 2 2 2 2 4 6" xfId="9936" xr:uid="{8F7209ED-05CF-4553-A96D-80ABD2203C4F}"/>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33601" xr:uid="{0BC29961-C963-462B-9387-D9491F32A3A6}"/>
    <cellStyle name="Normal 9 2 2 2 2 5 2 2 3" xfId="25160" xr:uid="{1FF05A5D-51F6-4049-9863-02AAD8C02B77}"/>
    <cellStyle name="Normal 9 2 2 2 2 5 2 2 4" xfId="16712" xr:uid="{A8E0F8AA-12D8-49EB-990A-31DED54BAFD5}"/>
    <cellStyle name="Normal 9 2 2 2 2 5 2 3" xfId="29383" xr:uid="{AA254102-B863-44C0-8673-368D612F5E9C}"/>
    <cellStyle name="Normal 9 2 2 2 2 5 2 4" xfId="20942" xr:uid="{0D84E230-00B5-453E-9A6A-FE05B7DA8847}"/>
    <cellStyle name="Normal 9 2 2 2 2 5 2 5" xfId="12494" xr:uid="{21CDC03C-4FF0-416D-9049-C475454707D5}"/>
    <cellStyle name="Normal 9 2 2 2 2 5 3" xfId="6117" xr:uid="{00000000-0005-0000-0000-00008F1E0000}"/>
    <cellStyle name="Normal 9 2 2 2 2 5 3 2" xfId="31456" xr:uid="{DA86CDCE-B4FD-472C-A584-FAB6C584836C}"/>
    <cellStyle name="Normal 9 2 2 2 2 5 3 3" xfId="23015" xr:uid="{06B8F37B-5CA3-41E8-8DB7-EDB47F0CBA01}"/>
    <cellStyle name="Normal 9 2 2 2 2 5 3 4" xfId="14567" xr:uid="{15CA35E1-5D75-4D08-B1CB-5C1BAB1C52A2}"/>
    <cellStyle name="Normal 9 2 2 2 2 5 4" xfId="27238" xr:uid="{4E8164F6-B6A3-4CA8-9C34-6C358AD854DC}"/>
    <cellStyle name="Normal 9 2 2 2 2 5 5" xfId="18797" xr:uid="{347EFBB8-5F5F-4096-BAB7-7B48EFD65083}"/>
    <cellStyle name="Normal 9 2 2 2 2 5 6" xfId="10349" xr:uid="{5A54B7A4-C36B-49F5-A5B6-DC5CA20558C8}"/>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34014" xr:uid="{15CF9C1C-5827-4D46-84CF-6DB0E8FC0EB6}"/>
    <cellStyle name="Normal 9 2 2 2 2 6 2 2 3" xfId="25573" xr:uid="{FEA5B871-6A8C-4741-98F7-25983DAA3E09}"/>
    <cellStyle name="Normal 9 2 2 2 2 6 2 2 4" xfId="17125" xr:uid="{3190C49A-1D18-4D40-AAD1-BF731E0ECC2C}"/>
    <cellStyle name="Normal 9 2 2 2 2 6 2 3" xfId="29796" xr:uid="{839563DD-8F27-4956-9154-C1C565B71BB8}"/>
    <cellStyle name="Normal 9 2 2 2 2 6 2 4" xfId="21355" xr:uid="{9AF4E31C-1A84-4ACA-B2DF-D7CD500D3283}"/>
    <cellStyle name="Normal 9 2 2 2 2 6 2 5" xfId="12907" xr:uid="{590FCA12-E443-4617-8B4B-7BC7F1A05A18}"/>
    <cellStyle name="Normal 9 2 2 2 2 6 3" xfId="6530" xr:uid="{00000000-0005-0000-0000-0000931E0000}"/>
    <cellStyle name="Normal 9 2 2 2 2 6 3 2" xfId="31869" xr:uid="{0E63774B-A6A9-4C7D-A3D2-75B662F4BDF9}"/>
    <cellStyle name="Normal 9 2 2 2 2 6 3 3" xfId="23428" xr:uid="{DD6BDA17-DA53-4F29-804E-A548B803AAFB}"/>
    <cellStyle name="Normal 9 2 2 2 2 6 3 4" xfId="14980" xr:uid="{41F378C0-34D0-40D6-B3F8-B84378612823}"/>
    <cellStyle name="Normal 9 2 2 2 2 6 4" xfId="27651" xr:uid="{3F77F2CC-2159-4182-8D6B-8E8E134C25D8}"/>
    <cellStyle name="Normal 9 2 2 2 2 6 5" xfId="19210" xr:uid="{EE982F6C-04FB-4D2A-919E-C32BBE4355F8}"/>
    <cellStyle name="Normal 9 2 2 2 2 6 6" xfId="10762" xr:uid="{2BACC4E0-FC94-4991-8A20-8245A1CD71B3}"/>
    <cellStyle name="Normal 9 2 2 2 2 7" xfId="2660" xr:uid="{00000000-0005-0000-0000-0000941E0000}"/>
    <cellStyle name="Normal 9 2 2 2 2 7 2" xfId="6943" xr:uid="{00000000-0005-0000-0000-0000951E0000}"/>
    <cellStyle name="Normal 9 2 2 2 2 7 2 2" xfId="32282" xr:uid="{316BCCD4-7E34-4293-8FF6-9592F9A177E9}"/>
    <cellStyle name="Normal 9 2 2 2 2 7 2 3" xfId="23841" xr:uid="{8537DB70-B579-464A-9E60-8809C76432E3}"/>
    <cellStyle name="Normal 9 2 2 2 2 7 2 4" xfId="15393" xr:uid="{6C6A80E9-95EB-4340-9DE7-989FCFD58941}"/>
    <cellStyle name="Normal 9 2 2 2 2 7 3" xfId="28064" xr:uid="{BA2001CA-806F-4707-9C1F-0491F37DCF4B}"/>
    <cellStyle name="Normal 9 2 2 2 2 7 4" xfId="19623" xr:uid="{FB68E592-7780-473E-A4A7-9D9A23311104}"/>
    <cellStyle name="Normal 9 2 2 2 2 7 5" xfId="11175" xr:uid="{7BBAF1DC-7CF5-4FEA-9FA0-B10276E875A4}"/>
    <cellStyle name="Normal 9 2 2 2 2 8" xfId="4878" xr:uid="{00000000-0005-0000-0000-0000961E0000}"/>
    <cellStyle name="Normal 9 2 2 2 2 8 2" xfId="30217" xr:uid="{75F6A778-2065-4661-B070-FB27604DE896}"/>
    <cellStyle name="Normal 9 2 2 2 2 8 3" xfId="21776" xr:uid="{23FA2441-72E8-4219-81AD-D57EFA12CFF3}"/>
    <cellStyle name="Normal 9 2 2 2 2 8 4" xfId="13328" xr:uid="{6C6AE40E-BC32-4425-AB01-61EF9ABAA0DC}"/>
    <cellStyle name="Normal 9 2 2 2 2 9" xfId="25999" xr:uid="{DC675D11-4EB9-44FB-92CF-A8D0D7CD5479}"/>
    <cellStyle name="Normal 9 2 2 2 3" xfId="516" xr:uid="{00000000-0005-0000-0000-0000971E0000}"/>
    <cellStyle name="Normal 9 2 2 2 3 10" xfId="9112" xr:uid="{4F85D377-7762-453D-9381-06FF1E6646B2}"/>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32777" xr:uid="{C58D4296-8CE7-4D67-AF5C-A3C6E92442FC}"/>
    <cellStyle name="Normal 9 2 2 2 3 2 2 2 3" xfId="24336" xr:uid="{7324C801-6A31-426D-A135-D0A3DE181FE6}"/>
    <cellStyle name="Normal 9 2 2 2 3 2 2 2 4" xfId="15888" xr:uid="{F39C72AE-59E6-4FEB-BAA3-480E9E02593C}"/>
    <cellStyle name="Normal 9 2 2 2 3 2 2 3" xfId="28559" xr:uid="{394A8C07-359C-429C-824E-F07BE3625F33}"/>
    <cellStyle name="Normal 9 2 2 2 3 2 2 4" xfId="20118" xr:uid="{D6DBCD9C-C41F-4725-A55F-964050928AFA}"/>
    <cellStyle name="Normal 9 2 2 2 3 2 2 5" xfId="11670" xr:uid="{004DDC22-C86B-4018-B07C-C665BFF4F5AC}"/>
    <cellStyle name="Normal 9 2 2 2 3 2 3" xfId="5293" xr:uid="{00000000-0005-0000-0000-00009B1E0000}"/>
    <cellStyle name="Normal 9 2 2 2 3 2 3 2" xfId="30632" xr:uid="{9B41FC24-A475-4B15-8FE5-653CD4BAFCB3}"/>
    <cellStyle name="Normal 9 2 2 2 3 2 3 3" xfId="22191" xr:uid="{97019813-64C8-424A-9043-01CDFD19D162}"/>
    <cellStyle name="Normal 9 2 2 2 3 2 3 4" xfId="13743" xr:uid="{43CE829F-3D71-459B-A85D-E9063E6FE171}"/>
    <cellStyle name="Normal 9 2 2 2 3 2 4" xfId="26414" xr:uid="{ACF5EB63-8C89-4A3A-9877-7A34DAB2ADC9}"/>
    <cellStyle name="Normal 9 2 2 2 3 2 5" xfId="17973" xr:uid="{99EBD4F8-4420-42E5-9CCF-3FF5AB4463CC}"/>
    <cellStyle name="Normal 9 2 2 2 3 2 6" xfId="9525" xr:uid="{56AD5F2A-145D-4AE7-8F85-B2C4E40A8AAE}"/>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33190" xr:uid="{20E77DA5-A524-46AC-9FD9-876D9DA3E2BB}"/>
    <cellStyle name="Normal 9 2 2 2 3 3 2 2 3" xfId="24749" xr:uid="{485B4F57-A2E9-46D7-9358-DEB74C4955E6}"/>
    <cellStyle name="Normal 9 2 2 2 3 3 2 2 4" xfId="16301" xr:uid="{08AB6CBF-BB84-440E-A839-2AB299ECA713}"/>
    <cellStyle name="Normal 9 2 2 2 3 3 2 3" xfId="28972" xr:uid="{E22BA11D-E28E-48BB-A3DF-A9D8C9211480}"/>
    <cellStyle name="Normal 9 2 2 2 3 3 2 4" xfId="20531" xr:uid="{C2B6ED45-F83E-43DB-85F4-35001543F01C}"/>
    <cellStyle name="Normal 9 2 2 2 3 3 2 5" xfId="12083" xr:uid="{516CF2C8-DE64-43C3-9D24-F9B07843C4BF}"/>
    <cellStyle name="Normal 9 2 2 2 3 3 3" xfId="5706" xr:uid="{00000000-0005-0000-0000-00009F1E0000}"/>
    <cellStyle name="Normal 9 2 2 2 3 3 3 2" xfId="31045" xr:uid="{36064BC7-DBDA-4DD4-8312-B8B2D5031B36}"/>
    <cellStyle name="Normal 9 2 2 2 3 3 3 3" xfId="22604" xr:uid="{B521304F-989E-4445-BC05-D9873DD414F7}"/>
    <cellStyle name="Normal 9 2 2 2 3 3 3 4" xfId="14156" xr:uid="{3D960063-EA8A-4E17-8F98-830BD2872DC1}"/>
    <cellStyle name="Normal 9 2 2 2 3 3 4" xfId="26827" xr:uid="{D186BDB2-4E9F-41E7-826F-C7D8D5FD53A3}"/>
    <cellStyle name="Normal 9 2 2 2 3 3 5" xfId="18386" xr:uid="{6953938F-F86F-4007-AEE3-C81F7A0301C1}"/>
    <cellStyle name="Normal 9 2 2 2 3 3 6" xfId="9938" xr:uid="{A9E29150-E5BA-4BD2-945D-B0EAE12B0CD3}"/>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33603" xr:uid="{B7156858-444E-4116-A233-9A8C2C285B2D}"/>
    <cellStyle name="Normal 9 2 2 2 3 4 2 2 3" xfId="25162" xr:uid="{7E8FFAC0-DD8E-46CE-BF87-A98D75A93D42}"/>
    <cellStyle name="Normal 9 2 2 2 3 4 2 2 4" xfId="16714" xr:uid="{DAF1DAA9-0479-48B5-B6C6-DC63A05766F9}"/>
    <cellStyle name="Normal 9 2 2 2 3 4 2 3" xfId="29385" xr:uid="{2D826721-80F6-448D-B604-69401A7B8FD2}"/>
    <cellStyle name="Normal 9 2 2 2 3 4 2 4" xfId="20944" xr:uid="{E0006808-E688-4771-B85A-26B46C62D25B}"/>
    <cellStyle name="Normal 9 2 2 2 3 4 2 5" xfId="12496" xr:uid="{CEF94468-26EE-4737-8DF7-D39727722FA6}"/>
    <cellStyle name="Normal 9 2 2 2 3 4 3" xfId="6119" xr:uid="{00000000-0005-0000-0000-0000A31E0000}"/>
    <cellStyle name="Normal 9 2 2 2 3 4 3 2" xfId="31458" xr:uid="{7F021055-9519-4940-B73A-18533D35EDEC}"/>
    <cellStyle name="Normal 9 2 2 2 3 4 3 3" xfId="23017" xr:uid="{AE958FB1-916A-4CB7-B059-4C59ECBF8357}"/>
    <cellStyle name="Normal 9 2 2 2 3 4 3 4" xfId="14569" xr:uid="{C344701A-1317-4ED3-8B23-9A3126844CD1}"/>
    <cellStyle name="Normal 9 2 2 2 3 4 4" xfId="27240" xr:uid="{0D4FA1FF-6905-4567-AC3C-B11BC5F39758}"/>
    <cellStyle name="Normal 9 2 2 2 3 4 5" xfId="18799" xr:uid="{20CB2138-5E68-495F-9EC8-D169AB172911}"/>
    <cellStyle name="Normal 9 2 2 2 3 4 6" xfId="10351" xr:uid="{F75728E9-76F5-4D53-A893-B0FFD29217CE}"/>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34016" xr:uid="{418FDCC3-223A-4DFC-A5E7-3E7E5595A0EA}"/>
    <cellStyle name="Normal 9 2 2 2 3 5 2 2 3" xfId="25575" xr:uid="{B374D519-1978-4784-B594-08B706CC436A}"/>
    <cellStyle name="Normal 9 2 2 2 3 5 2 2 4" xfId="17127" xr:uid="{5A7A39E8-CF24-4F0C-AE10-136FC9FE0E13}"/>
    <cellStyle name="Normal 9 2 2 2 3 5 2 3" xfId="29798" xr:uid="{74581D48-39CF-4F65-8AE2-66339F863ABA}"/>
    <cellStyle name="Normal 9 2 2 2 3 5 2 4" xfId="21357" xr:uid="{193E383E-E99F-458B-B5B7-1E23DBDC674D}"/>
    <cellStyle name="Normal 9 2 2 2 3 5 2 5" xfId="12909" xr:uid="{78E83B56-596E-4A67-9C14-99CB1906FF98}"/>
    <cellStyle name="Normal 9 2 2 2 3 5 3" xfId="6532" xr:uid="{00000000-0005-0000-0000-0000A71E0000}"/>
    <cellStyle name="Normal 9 2 2 2 3 5 3 2" xfId="31871" xr:uid="{7F7B4DEB-41DD-4FF9-BCE3-770DCF0D1410}"/>
    <cellStyle name="Normal 9 2 2 2 3 5 3 3" xfId="23430" xr:uid="{2F28D40A-8DE6-4D7B-8DA2-EC5A1DC6F995}"/>
    <cellStyle name="Normal 9 2 2 2 3 5 3 4" xfId="14982" xr:uid="{CE4BC5CB-A2ED-43AD-A4C0-95E2BA454D3F}"/>
    <cellStyle name="Normal 9 2 2 2 3 5 4" xfId="27653" xr:uid="{30AE154A-7F4D-4F40-B94E-4F2F5DD5BBBA}"/>
    <cellStyle name="Normal 9 2 2 2 3 5 5" xfId="19212" xr:uid="{3A7E0804-E077-4FF5-9B1F-35A134D99EF6}"/>
    <cellStyle name="Normal 9 2 2 2 3 5 6" xfId="10764" xr:uid="{540A6BDF-557B-46BD-9931-B5B1199D55B4}"/>
    <cellStyle name="Normal 9 2 2 2 3 6" xfId="2662" xr:uid="{00000000-0005-0000-0000-0000A81E0000}"/>
    <cellStyle name="Normal 9 2 2 2 3 6 2" xfId="6945" xr:uid="{00000000-0005-0000-0000-0000A91E0000}"/>
    <cellStyle name="Normal 9 2 2 2 3 6 2 2" xfId="32284" xr:uid="{ED3B4A91-84C5-43FE-B0F5-2FABDCE9FBE2}"/>
    <cellStyle name="Normal 9 2 2 2 3 6 2 3" xfId="23843" xr:uid="{4D28CB2B-685A-4055-8660-915EDA91EC62}"/>
    <cellStyle name="Normal 9 2 2 2 3 6 2 4" xfId="15395" xr:uid="{A4FA32D3-682C-4578-8B9F-B60EC379F7A3}"/>
    <cellStyle name="Normal 9 2 2 2 3 6 3" xfId="28066" xr:uid="{409C70F8-9379-4AC4-9C02-B2F8768D98C3}"/>
    <cellStyle name="Normal 9 2 2 2 3 6 4" xfId="19625" xr:uid="{A1E2D701-632B-4B3B-9C82-7234CA7DD4F8}"/>
    <cellStyle name="Normal 9 2 2 2 3 6 5" xfId="11177" xr:uid="{38EDD275-9D13-4406-8847-C04E746E5517}"/>
    <cellStyle name="Normal 9 2 2 2 3 7" xfId="4880" xr:uid="{00000000-0005-0000-0000-0000AA1E0000}"/>
    <cellStyle name="Normal 9 2 2 2 3 7 2" xfId="30219" xr:uid="{5D080312-F4BF-4833-A1F2-B367A24E1773}"/>
    <cellStyle name="Normal 9 2 2 2 3 7 3" xfId="21778" xr:uid="{5F0AD3F3-E18B-4745-A9E8-583323DDAB89}"/>
    <cellStyle name="Normal 9 2 2 2 3 7 4" xfId="13330" xr:uid="{E860C49F-B859-449E-A6D2-21F0A84AA8AB}"/>
    <cellStyle name="Normal 9 2 2 2 3 8" xfId="26001" xr:uid="{56A1EE32-5778-4D7E-9F4E-AE5AFD9FA803}"/>
    <cellStyle name="Normal 9 2 2 2 3 9" xfId="17560" xr:uid="{C24154D1-76FC-4637-8EC7-5B6155D7421C}"/>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32774" xr:uid="{13838781-2822-48A8-9495-FB1DD2C47990}"/>
    <cellStyle name="Normal 9 2 2 2 4 2 2 3" xfId="24333" xr:uid="{0DA44C74-442A-4556-B0BE-C7368E63F81D}"/>
    <cellStyle name="Normal 9 2 2 2 4 2 2 4" xfId="15885" xr:uid="{D9D8BB28-D87F-4058-8394-AF554AE76D8A}"/>
    <cellStyle name="Normal 9 2 2 2 4 2 3" xfId="28556" xr:uid="{27E91CCA-D47C-4664-9B06-9F8E46A35018}"/>
    <cellStyle name="Normal 9 2 2 2 4 2 4" xfId="20115" xr:uid="{07A9A72C-3063-4B48-A87B-52D38112FF54}"/>
    <cellStyle name="Normal 9 2 2 2 4 2 5" xfId="11667" xr:uid="{EAF2B61A-33BF-4E5A-A8BA-45A86FC6FF9F}"/>
    <cellStyle name="Normal 9 2 2 2 4 3" xfId="5290" xr:uid="{00000000-0005-0000-0000-0000AE1E0000}"/>
    <cellStyle name="Normal 9 2 2 2 4 3 2" xfId="30629" xr:uid="{1A489F28-3BF9-4049-8ED9-68DC9D577E1C}"/>
    <cellStyle name="Normal 9 2 2 2 4 3 3" xfId="22188" xr:uid="{B60B586D-A153-4E88-A8F6-D64618F81B05}"/>
    <cellStyle name="Normal 9 2 2 2 4 3 4" xfId="13740" xr:uid="{D958E4CF-CC24-4C5E-9704-28C589D5B88A}"/>
    <cellStyle name="Normal 9 2 2 2 4 4" xfId="26411" xr:uid="{89EDB078-8C6F-4F77-AB8C-A92B3562D450}"/>
    <cellStyle name="Normal 9 2 2 2 4 5" xfId="17970" xr:uid="{B156178D-5FAD-4E40-88BC-5BC6A843D215}"/>
    <cellStyle name="Normal 9 2 2 2 4 6" xfId="9522" xr:uid="{5681C58D-FAAE-4505-867E-39504F94100D}"/>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33187" xr:uid="{89E42442-A270-4388-9532-391A31EBB9D7}"/>
    <cellStyle name="Normal 9 2 2 2 5 2 2 3" xfId="24746" xr:uid="{30332D21-3C44-4FC4-872A-D3EEE9519074}"/>
    <cellStyle name="Normal 9 2 2 2 5 2 2 4" xfId="16298" xr:uid="{BD7973FD-CF92-4986-A0BE-2B42310B6794}"/>
    <cellStyle name="Normal 9 2 2 2 5 2 3" xfId="28969" xr:uid="{77419472-36C1-46A0-97F9-47D63935ECBE}"/>
    <cellStyle name="Normal 9 2 2 2 5 2 4" xfId="20528" xr:uid="{1104F441-5F16-4405-A830-271179912EA6}"/>
    <cellStyle name="Normal 9 2 2 2 5 2 5" xfId="12080" xr:uid="{F14B6DB2-2B40-4D79-BE79-E1BBCABD280C}"/>
    <cellStyle name="Normal 9 2 2 2 5 3" xfId="5703" xr:uid="{00000000-0005-0000-0000-0000B21E0000}"/>
    <cellStyle name="Normal 9 2 2 2 5 3 2" xfId="31042" xr:uid="{0799828B-5E2C-4170-A8B1-74F2EC075A9B}"/>
    <cellStyle name="Normal 9 2 2 2 5 3 3" xfId="22601" xr:uid="{B356A821-29A3-41CC-9009-5A6C6C887E94}"/>
    <cellStyle name="Normal 9 2 2 2 5 3 4" xfId="14153" xr:uid="{891FBE41-7F05-40E6-8BBD-8632EF6FE08B}"/>
    <cellStyle name="Normal 9 2 2 2 5 4" xfId="26824" xr:uid="{AB568720-714E-4A29-8E3D-E3423E246458}"/>
    <cellStyle name="Normal 9 2 2 2 5 5" xfId="18383" xr:uid="{8F3F5C97-36FC-4D3E-B0FB-8C424477C1B0}"/>
    <cellStyle name="Normal 9 2 2 2 5 6" xfId="9935" xr:uid="{FAF18ABD-69BE-486D-92BF-ED30A0AB3603}"/>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33600" xr:uid="{AB47B831-5000-439E-82D5-FA2A1B0BA095}"/>
    <cellStyle name="Normal 9 2 2 2 6 2 2 3" xfId="25159" xr:uid="{A5BC1570-6185-45F9-A84D-764545EE07A6}"/>
    <cellStyle name="Normal 9 2 2 2 6 2 2 4" xfId="16711" xr:uid="{5ACDC0FC-2DF7-4DCC-8868-3658C28CFBB1}"/>
    <cellStyle name="Normal 9 2 2 2 6 2 3" xfId="29382" xr:uid="{F3DBC816-9410-4C63-A353-D2ED66D1973E}"/>
    <cellStyle name="Normal 9 2 2 2 6 2 4" xfId="20941" xr:uid="{2746B23D-E00A-4A5C-A335-10DFEDD448FA}"/>
    <cellStyle name="Normal 9 2 2 2 6 2 5" xfId="12493" xr:uid="{BA506C8F-73C7-49B5-8A78-FA452D7D336E}"/>
    <cellStyle name="Normal 9 2 2 2 6 3" xfId="6116" xr:uid="{00000000-0005-0000-0000-0000B61E0000}"/>
    <cellStyle name="Normal 9 2 2 2 6 3 2" xfId="31455" xr:uid="{9D432739-7A14-44BE-9635-AC3AB0E24D82}"/>
    <cellStyle name="Normal 9 2 2 2 6 3 3" xfId="23014" xr:uid="{A2842F9A-3BE9-4D19-9BEF-E560FBE355B5}"/>
    <cellStyle name="Normal 9 2 2 2 6 3 4" xfId="14566" xr:uid="{EA9CA09D-748D-436C-A389-32DAEE66A445}"/>
    <cellStyle name="Normal 9 2 2 2 6 4" xfId="27237" xr:uid="{B1A748F6-8D75-467C-AD53-A8A71068037B}"/>
    <cellStyle name="Normal 9 2 2 2 6 5" xfId="18796" xr:uid="{5D04B36C-8D29-4FBF-AD94-67342A38E8BF}"/>
    <cellStyle name="Normal 9 2 2 2 6 6" xfId="10348" xr:uid="{C2B6C21C-3E6F-48B6-B4B7-74265F7CA9B5}"/>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34013" xr:uid="{71970E36-8970-4675-BE15-17EDFAB3C8BA}"/>
    <cellStyle name="Normal 9 2 2 2 7 2 2 3" xfId="25572" xr:uid="{B5DDBA95-1618-415D-87CC-36741672E671}"/>
    <cellStyle name="Normal 9 2 2 2 7 2 2 4" xfId="17124" xr:uid="{52A0BE9E-84CE-44BE-82EE-308F9C840192}"/>
    <cellStyle name="Normal 9 2 2 2 7 2 3" xfId="29795" xr:uid="{602AFC25-2A1E-4587-9AFE-DC3DC12C1156}"/>
    <cellStyle name="Normal 9 2 2 2 7 2 4" xfId="21354" xr:uid="{6192D781-B8E1-49B8-825F-F874E064A992}"/>
    <cellStyle name="Normal 9 2 2 2 7 2 5" xfId="12906" xr:uid="{9BB05CB4-35F7-4E00-BE40-6BC87DC9A9FA}"/>
    <cellStyle name="Normal 9 2 2 2 7 3" xfId="6529" xr:uid="{00000000-0005-0000-0000-0000BA1E0000}"/>
    <cellStyle name="Normal 9 2 2 2 7 3 2" xfId="31868" xr:uid="{49D17B7C-3A43-4730-80CC-49A72DF8DD5C}"/>
    <cellStyle name="Normal 9 2 2 2 7 3 3" xfId="23427" xr:uid="{227A3A45-6B94-4ADA-ABF3-98CC3430517D}"/>
    <cellStyle name="Normal 9 2 2 2 7 3 4" xfId="14979" xr:uid="{2690C91B-83C6-4FBC-B2B0-F1E8EAFE7A02}"/>
    <cellStyle name="Normal 9 2 2 2 7 4" xfId="27650" xr:uid="{A72E0AAE-8971-4C28-A607-94AC4C041B4E}"/>
    <cellStyle name="Normal 9 2 2 2 7 5" xfId="19209" xr:uid="{4FBC6B49-0CE1-4175-9B23-E8EECBF8F4A6}"/>
    <cellStyle name="Normal 9 2 2 2 7 6" xfId="10761" xr:uid="{4792FC8B-EB53-4C28-ACCC-B674A07D3A4E}"/>
    <cellStyle name="Normal 9 2 2 2 8" xfId="2659" xr:uid="{00000000-0005-0000-0000-0000BB1E0000}"/>
    <cellStyle name="Normal 9 2 2 2 8 2" xfId="6942" xr:uid="{00000000-0005-0000-0000-0000BC1E0000}"/>
    <cellStyle name="Normal 9 2 2 2 8 2 2" xfId="32281" xr:uid="{BA22EE00-02E2-4F85-98FB-A0AD39605758}"/>
    <cellStyle name="Normal 9 2 2 2 8 2 3" xfId="23840" xr:uid="{0F929B92-FD3F-4746-9760-562AA056D123}"/>
    <cellStyle name="Normal 9 2 2 2 8 2 4" xfId="15392" xr:uid="{95AB6558-FAB2-48C0-84E4-096C1A157549}"/>
    <cellStyle name="Normal 9 2 2 2 8 3" xfId="28063" xr:uid="{4CAE69C9-0A28-49E2-ABB3-247B650F7B9B}"/>
    <cellStyle name="Normal 9 2 2 2 8 4" xfId="19622" xr:uid="{8934885D-D188-45F6-B151-4CD1ED426992}"/>
    <cellStyle name="Normal 9 2 2 2 8 5" xfId="11174" xr:uid="{684DC18B-1E7E-4CE4-AECD-062CE48997D7}"/>
    <cellStyle name="Normal 9 2 2 2 9" xfId="4877" xr:uid="{00000000-0005-0000-0000-0000BD1E0000}"/>
    <cellStyle name="Normal 9 2 2 2 9 2" xfId="30216" xr:uid="{0685F1D5-EB18-4D22-816A-DF0ECF5270FF}"/>
    <cellStyle name="Normal 9 2 2 2 9 3" xfId="21775" xr:uid="{8FDC115F-95EE-47B6-9308-033113A2106A}"/>
    <cellStyle name="Normal 9 2 2 2 9 4" xfId="13327" xr:uid="{A50770CA-0658-4276-8904-554B0A36A74F}"/>
    <cellStyle name="Normal 9 2 2 3" xfId="517" xr:uid="{00000000-0005-0000-0000-0000BE1E0000}"/>
    <cellStyle name="Normal 9 2 2 3 10" xfId="17561" xr:uid="{CC1F1218-7486-4365-ADAB-AA5E02550568}"/>
    <cellStyle name="Normal 9 2 2 3 11" xfId="9113" xr:uid="{F6759810-8A52-47F6-9265-EBABEF0A06D5}"/>
    <cellStyle name="Normal 9 2 2 3 2" xfId="518" xr:uid="{00000000-0005-0000-0000-0000BF1E0000}"/>
    <cellStyle name="Normal 9 2 2 3 2 10" xfId="9114" xr:uid="{C50B6DDF-4B8C-4A6E-B918-35F26B3F70C1}"/>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32779" xr:uid="{B01C5D25-52EA-4997-8DEC-B6C17CFC3B1D}"/>
    <cellStyle name="Normal 9 2 2 3 2 2 2 2 3" xfId="24338" xr:uid="{9487EB28-515E-4C47-A843-912843477B2E}"/>
    <cellStyle name="Normal 9 2 2 3 2 2 2 2 4" xfId="15890" xr:uid="{2A4398CA-24A9-4C55-82AE-1992B52EB40B}"/>
    <cellStyle name="Normal 9 2 2 3 2 2 2 3" xfId="28561" xr:uid="{8390FE44-7E00-49E7-947A-2AD37C98544D}"/>
    <cellStyle name="Normal 9 2 2 3 2 2 2 4" xfId="20120" xr:uid="{1B0A878B-D23D-41E8-B242-5B57A2FFF496}"/>
    <cellStyle name="Normal 9 2 2 3 2 2 2 5" xfId="11672" xr:uid="{489941A2-3E51-47BB-B532-6488BFDF186A}"/>
    <cellStyle name="Normal 9 2 2 3 2 2 3" xfId="5295" xr:uid="{00000000-0005-0000-0000-0000C31E0000}"/>
    <cellStyle name="Normal 9 2 2 3 2 2 3 2" xfId="30634" xr:uid="{AA065FF7-B0FF-4315-9F02-50E492CDA306}"/>
    <cellStyle name="Normal 9 2 2 3 2 2 3 3" xfId="22193" xr:uid="{0668F768-84A9-4B8D-94FA-212AC74B02D8}"/>
    <cellStyle name="Normal 9 2 2 3 2 2 3 4" xfId="13745" xr:uid="{CDE0B3D1-29D6-45DE-9C72-F0925A7C8D89}"/>
    <cellStyle name="Normal 9 2 2 3 2 2 4" xfId="26416" xr:uid="{8BAB4E98-AEBF-4A57-AF99-F3E6AB18DF98}"/>
    <cellStyle name="Normal 9 2 2 3 2 2 5" xfId="17975" xr:uid="{49736CFA-79DD-4A3A-94F8-75BE8222F976}"/>
    <cellStyle name="Normal 9 2 2 3 2 2 6" xfId="9527" xr:uid="{368C96F8-79F1-4F30-B58D-D97608F1824B}"/>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33192" xr:uid="{5844FDFA-547B-4D6E-89AF-5C82D575B50A}"/>
    <cellStyle name="Normal 9 2 2 3 2 3 2 2 3" xfId="24751" xr:uid="{6BC008A0-6D96-40B9-8CD1-E71FBE835F46}"/>
    <cellStyle name="Normal 9 2 2 3 2 3 2 2 4" xfId="16303" xr:uid="{49C94BFE-0E0A-4C28-81CD-7A727BD2CB37}"/>
    <cellStyle name="Normal 9 2 2 3 2 3 2 3" xfId="28974" xr:uid="{1AA70B73-1C49-4984-B6C2-7DD5DB0F77C2}"/>
    <cellStyle name="Normal 9 2 2 3 2 3 2 4" xfId="20533" xr:uid="{6CF437F7-772F-4AA0-95AE-F45E6C0BB10E}"/>
    <cellStyle name="Normal 9 2 2 3 2 3 2 5" xfId="12085" xr:uid="{BB99599F-A5CD-4AAE-B7C7-CDFB5DEEC6FA}"/>
    <cellStyle name="Normal 9 2 2 3 2 3 3" xfId="5708" xr:uid="{00000000-0005-0000-0000-0000C71E0000}"/>
    <cellStyle name="Normal 9 2 2 3 2 3 3 2" xfId="31047" xr:uid="{F50167B4-44CA-4A75-8AF7-36273B63C903}"/>
    <cellStyle name="Normal 9 2 2 3 2 3 3 3" xfId="22606" xr:uid="{76FEF523-1D3E-485E-8327-1D17C0C188FC}"/>
    <cellStyle name="Normal 9 2 2 3 2 3 3 4" xfId="14158" xr:uid="{1868FB56-1F19-4C33-A2BD-AD3AD4F3AD35}"/>
    <cellStyle name="Normal 9 2 2 3 2 3 4" xfId="26829" xr:uid="{21E57115-99E3-4E68-897E-B26583E8E07C}"/>
    <cellStyle name="Normal 9 2 2 3 2 3 5" xfId="18388" xr:uid="{32BCE097-F984-4F90-9BAF-9B43D4056D20}"/>
    <cellStyle name="Normal 9 2 2 3 2 3 6" xfId="9940" xr:uid="{49DFCA97-903A-4881-BE0C-EF690C264083}"/>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33605" xr:uid="{03562220-1A5D-49DF-9A4D-921C8F7971D2}"/>
    <cellStyle name="Normal 9 2 2 3 2 4 2 2 3" xfId="25164" xr:uid="{95EB822F-B0F8-45A1-A27C-9B3B1B10143C}"/>
    <cellStyle name="Normal 9 2 2 3 2 4 2 2 4" xfId="16716" xr:uid="{E03E9AA0-9758-4E1D-934E-B89525232DD2}"/>
    <cellStyle name="Normal 9 2 2 3 2 4 2 3" xfId="29387" xr:uid="{FDAF454D-DE37-4AD9-8898-98F666D9D874}"/>
    <cellStyle name="Normal 9 2 2 3 2 4 2 4" xfId="20946" xr:uid="{2B99F834-8EF5-4F7E-9AB3-735EF5513A8D}"/>
    <cellStyle name="Normal 9 2 2 3 2 4 2 5" xfId="12498" xr:uid="{4A8908E5-9260-4021-A274-885935470B1D}"/>
    <cellStyle name="Normal 9 2 2 3 2 4 3" xfId="6121" xr:uid="{00000000-0005-0000-0000-0000CB1E0000}"/>
    <cellStyle name="Normal 9 2 2 3 2 4 3 2" xfId="31460" xr:uid="{6CA6B64B-28BB-48B7-BD00-D602AE84681D}"/>
    <cellStyle name="Normal 9 2 2 3 2 4 3 3" xfId="23019" xr:uid="{C9F0A95B-23BB-4C7D-B9AF-533FAAA04E53}"/>
    <cellStyle name="Normal 9 2 2 3 2 4 3 4" xfId="14571" xr:uid="{CE0031DF-7962-4382-A29F-6E80DFB7A127}"/>
    <cellStyle name="Normal 9 2 2 3 2 4 4" xfId="27242" xr:uid="{A6046B06-CBB0-4A73-BFAC-FF2CF1DAE468}"/>
    <cellStyle name="Normal 9 2 2 3 2 4 5" xfId="18801" xr:uid="{1FA6A869-8EE7-43C6-93AC-EDC8F649788F}"/>
    <cellStyle name="Normal 9 2 2 3 2 4 6" xfId="10353" xr:uid="{D5AA830A-D709-4526-91F3-0795301DC937}"/>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34018" xr:uid="{2B04D216-E2C2-4344-8E82-85E0D27D5FA1}"/>
    <cellStyle name="Normal 9 2 2 3 2 5 2 2 3" xfId="25577" xr:uid="{2D0A8232-037D-4DEA-9B9D-77FABCCE647D}"/>
    <cellStyle name="Normal 9 2 2 3 2 5 2 2 4" xfId="17129" xr:uid="{E7DC09CA-73F1-4981-BA34-0EDDD48DFFA2}"/>
    <cellStyle name="Normal 9 2 2 3 2 5 2 3" xfId="29800" xr:uid="{8F5249BD-D4B9-4D6C-AD1B-76A139E6D7B7}"/>
    <cellStyle name="Normal 9 2 2 3 2 5 2 4" xfId="21359" xr:uid="{A642A60E-5DE8-42AC-9749-AB2CEE0C1BAC}"/>
    <cellStyle name="Normal 9 2 2 3 2 5 2 5" xfId="12911" xr:uid="{9DBB7EBD-4E20-4983-9D13-A8ECB4FB99F6}"/>
    <cellStyle name="Normal 9 2 2 3 2 5 3" xfId="6534" xr:uid="{00000000-0005-0000-0000-0000CF1E0000}"/>
    <cellStyle name="Normal 9 2 2 3 2 5 3 2" xfId="31873" xr:uid="{261D9716-4F61-41D5-9B40-4FE10917384A}"/>
    <cellStyle name="Normal 9 2 2 3 2 5 3 3" xfId="23432" xr:uid="{C0040265-F107-4F4B-B71D-032B402665BB}"/>
    <cellStyle name="Normal 9 2 2 3 2 5 3 4" xfId="14984" xr:uid="{9224728C-4EFD-4334-A764-6EC361BCB263}"/>
    <cellStyle name="Normal 9 2 2 3 2 5 4" xfId="27655" xr:uid="{8F538CE0-0219-405F-AE2E-84BE550D9309}"/>
    <cellStyle name="Normal 9 2 2 3 2 5 5" xfId="19214" xr:uid="{CCC2F72D-29E9-473C-B65C-6FD4FD48C1E4}"/>
    <cellStyle name="Normal 9 2 2 3 2 5 6" xfId="10766" xr:uid="{A885B46E-9198-4865-B361-28ACF03A6A10}"/>
    <cellStyle name="Normal 9 2 2 3 2 6" xfId="2664" xr:uid="{00000000-0005-0000-0000-0000D01E0000}"/>
    <cellStyle name="Normal 9 2 2 3 2 6 2" xfId="6947" xr:uid="{00000000-0005-0000-0000-0000D11E0000}"/>
    <cellStyle name="Normal 9 2 2 3 2 6 2 2" xfId="32286" xr:uid="{2825D51E-5D21-426A-AADB-BE09985D56AC}"/>
    <cellStyle name="Normal 9 2 2 3 2 6 2 3" xfId="23845" xr:uid="{0620B272-B6DE-49CC-9B48-2D31AA715C49}"/>
    <cellStyle name="Normal 9 2 2 3 2 6 2 4" xfId="15397" xr:uid="{2C6287F7-A061-4627-A694-015FCA3228AF}"/>
    <cellStyle name="Normal 9 2 2 3 2 6 3" xfId="28068" xr:uid="{13073E62-BDA5-4A06-A367-B242CF032F5C}"/>
    <cellStyle name="Normal 9 2 2 3 2 6 4" xfId="19627" xr:uid="{9DE01E03-9151-400F-9E6B-0F0B05DD57F6}"/>
    <cellStyle name="Normal 9 2 2 3 2 6 5" xfId="11179" xr:uid="{152FED13-D857-4C92-9444-9903717BA84C}"/>
    <cellStyle name="Normal 9 2 2 3 2 7" xfId="4882" xr:uid="{00000000-0005-0000-0000-0000D21E0000}"/>
    <cellStyle name="Normal 9 2 2 3 2 7 2" xfId="30221" xr:uid="{26D28144-C8C5-47F8-8519-5D9EABEAB7CD}"/>
    <cellStyle name="Normal 9 2 2 3 2 7 3" xfId="21780" xr:uid="{9C404E3D-D220-4A30-9DEA-DA96235097B0}"/>
    <cellStyle name="Normal 9 2 2 3 2 7 4" xfId="13332" xr:uid="{22DD2AD8-358D-433E-B012-33AD46B778FF}"/>
    <cellStyle name="Normal 9 2 2 3 2 8" xfId="26003" xr:uid="{9ED0076B-0CD7-4862-8DC4-0B9771247374}"/>
    <cellStyle name="Normal 9 2 2 3 2 9" xfId="17562" xr:uid="{A06C413F-3026-4310-83D0-9F4E2842EE4C}"/>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32778" xr:uid="{E0514770-C6CD-414B-A95B-3A95817CC71E}"/>
    <cellStyle name="Normal 9 2 2 3 3 2 2 3" xfId="24337" xr:uid="{C57A7C07-8428-47F1-96C8-103B638C7135}"/>
    <cellStyle name="Normal 9 2 2 3 3 2 2 4" xfId="15889" xr:uid="{27F64AF3-F224-40D8-99D2-C9A9B5723508}"/>
    <cellStyle name="Normal 9 2 2 3 3 2 3" xfId="28560" xr:uid="{F5AC5675-A2EA-4C3B-A8D5-3EBDCF4312B6}"/>
    <cellStyle name="Normal 9 2 2 3 3 2 4" xfId="20119" xr:uid="{FC84F8CB-9B66-4400-9894-3B10B306D229}"/>
    <cellStyle name="Normal 9 2 2 3 3 2 5" xfId="11671" xr:uid="{058D346A-EB18-4458-8090-F7207C727EE1}"/>
    <cellStyle name="Normal 9 2 2 3 3 3" xfId="5294" xr:uid="{00000000-0005-0000-0000-0000D61E0000}"/>
    <cellStyle name="Normal 9 2 2 3 3 3 2" xfId="30633" xr:uid="{0ED4E9EB-A103-4A4B-B3FF-4B332175ECF4}"/>
    <cellStyle name="Normal 9 2 2 3 3 3 3" xfId="22192" xr:uid="{F686535B-570A-461B-8D0B-48E2888060BB}"/>
    <cellStyle name="Normal 9 2 2 3 3 3 4" xfId="13744" xr:uid="{DE0616CA-4A64-4345-99AD-A2CF060B4394}"/>
    <cellStyle name="Normal 9 2 2 3 3 4" xfId="26415" xr:uid="{C735416F-B8A0-4D7B-B948-ADCFCCABB60E}"/>
    <cellStyle name="Normal 9 2 2 3 3 5" xfId="17974" xr:uid="{7FAAAF2C-7E52-465C-9260-841EF3A210B3}"/>
    <cellStyle name="Normal 9 2 2 3 3 6" xfId="9526" xr:uid="{CF54C07A-317F-4D17-83F4-5A600F6737D9}"/>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33191" xr:uid="{E1F521DF-9BFA-428F-9873-FC4C63EE8793}"/>
    <cellStyle name="Normal 9 2 2 3 4 2 2 3" xfId="24750" xr:uid="{16FBC364-63EB-415E-A3C9-72D9CF34607F}"/>
    <cellStyle name="Normal 9 2 2 3 4 2 2 4" xfId="16302" xr:uid="{3C627717-D583-4E5F-A350-FD4D1B9E7B9E}"/>
    <cellStyle name="Normal 9 2 2 3 4 2 3" xfId="28973" xr:uid="{2161F56C-2C8E-47EA-AB36-B5D3123B8782}"/>
    <cellStyle name="Normal 9 2 2 3 4 2 4" xfId="20532" xr:uid="{A36563D7-861B-4850-878C-A5F1F502E9AB}"/>
    <cellStyle name="Normal 9 2 2 3 4 2 5" xfId="12084" xr:uid="{4E22AC79-F2FB-454F-9455-56512CB9BB21}"/>
    <cellStyle name="Normal 9 2 2 3 4 3" xfId="5707" xr:uid="{00000000-0005-0000-0000-0000DA1E0000}"/>
    <cellStyle name="Normal 9 2 2 3 4 3 2" xfId="31046" xr:uid="{5BA8B0CB-BB10-4EFB-8FBE-374D1A5A6874}"/>
    <cellStyle name="Normal 9 2 2 3 4 3 3" xfId="22605" xr:uid="{F8ECB83D-2F9D-4F6F-B5F8-32BC29968EEC}"/>
    <cellStyle name="Normal 9 2 2 3 4 3 4" xfId="14157" xr:uid="{A4D9B2C8-4185-4B61-BC23-BC7B4C4B4E01}"/>
    <cellStyle name="Normal 9 2 2 3 4 4" xfId="26828" xr:uid="{FB234256-FFE6-4199-9F2F-149717B2E1E8}"/>
    <cellStyle name="Normal 9 2 2 3 4 5" xfId="18387" xr:uid="{49FA5A63-CD5D-4BDB-BBFC-9C59B033AB7F}"/>
    <cellStyle name="Normal 9 2 2 3 4 6" xfId="9939" xr:uid="{99B77650-2200-4087-8D4D-FA1B96D6417E}"/>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33604" xr:uid="{4F26A06F-3E1A-48E7-9F0C-F03BA0C55A85}"/>
    <cellStyle name="Normal 9 2 2 3 5 2 2 3" xfId="25163" xr:uid="{BC191259-E0A9-4DDC-8441-E7B1B8026B02}"/>
    <cellStyle name="Normal 9 2 2 3 5 2 2 4" xfId="16715" xr:uid="{4B559DCB-4198-42BB-9C04-A4FE25DCE380}"/>
    <cellStyle name="Normal 9 2 2 3 5 2 3" xfId="29386" xr:uid="{0781EC0D-A415-486C-ABC4-222FA570DC4D}"/>
    <cellStyle name="Normal 9 2 2 3 5 2 4" xfId="20945" xr:uid="{52935E8F-18E4-4B68-9A91-8BA65FCB0944}"/>
    <cellStyle name="Normal 9 2 2 3 5 2 5" xfId="12497" xr:uid="{07F92F21-65C2-4CA0-AAE5-60A92AE41F7A}"/>
    <cellStyle name="Normal 9 2 2 3 5 3" xfId="6120" xr:uid="{00000000-0005-0000-0000-0000DE1E0000}"/>
    <cellStyle name="Normal 9 2 2 3 5 3 2" xfId="31459" xr:uid="{67BF4622-8878-46D1-B3B7-E11EA32634F0}"/>
    <cellStyle name="Normal 9 2 2 3 5 3 3" xfId="23018" xr:uid="{DD4227AB-865A-47B4-B452-B45105B88C71}"/>
    <cellStyle name="Normal 9 2 2 3 5 3 4" xfId="14570" xr:uid="{177F2DBD-27CE-4B69-828C-E703A9B64C58}"/>
    <cellStyle name="Normal 9 2 2 3 5 4" xfId="27241" xr:uid="{0A0CC244-9AC5-4565-9BBF-20205F1BCE24}"/>
    <cellStyle name="Normal 9 2 2 3 5 5" xfId="18800" xr:uid="{EDE0A305-BECD-46C5-A75C-50A0645F7B5D}"/>
    <cellStyle name="Normal 9 2 2 3 5 6" xfId="10352" xr:uid="{F0BA27B1-BB39-4639-B6FA-DDF2864CBFFE}"/>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34017" xr:uid="{00AE5170-8113-4400-8DBF-137A34A28665}"/>
    <cellStyle name="Normal 9 2 2 3 6 2 2 3" xfId="25576" xr:uid="{8265430F-9264-407B-A6B5-A0565D8AA792}"/>
    <cellStyle name="Normal 9 2 2 3 6 2 2 4" xfId="17128" xr:uid="{18F9C37B-99D6-4EE3-97BF-C656F0019855}"/>
    <cellStyle name="Normal 9 2 2 3 6 2 3" xfId="29799" xr:uid="{838CD28E-AE60-4A5F-A73B-3744A8EA6D02}"/>
    <cellStyle name="Normal 9 2 2 3 6 2 4" xfId="21358" xr:uid="{FCD0EB28-064E-4EF9-8E89-3A2B17E1BFCE}"/>
    <cellStyle name="Normal 9 2 2 3 6 2 5" xfId="12910" xr:uid="{EC416D28-706C-413A-9CB4-B6A9A80CDEE2}"/>
    <cellStyle name="Normal 9 2 2 3 6 3" xfId="6533" xr:uid="{00000000-0005-0000-0000-0000E21E0000}"/>
    <cellStyle name="Normal 9 2 2 3 6 3 2" xfId="31872" xr:uid="{173BACE3-D17C-4798-B15D-B47F096E1CC0}"/>
    <cellStyle name="Normal 9 2 2 3 6 3 3" xfId="23431" xr:uid="{6444DA78-867D-4D1C-A05D-55B5D8116203}"/>
    <cellStyle name="Normal 9 2 2 3 6 3 4" xfId="14983" xr:uid="{E70A9512-188A-459B-A754-F88EB2839314}"/>
    <cellStyle name="Normal 9 2 2 3 6 4" xfId="27654" xr:uid="{1F94F10C-D8FC-4B4A-BC46-EFC2C6D11586}"/>
    <cellStyle name="Normal 9 2 2 3 6 5" xfId="19213" xr:uid="{2EEF82D3-7786-4269-95BA-B9B71470C96D}"/>
    <cellStyle name="Normal 9 2 2 3 6 6" xfId="10765" xr:uid="{D0F58F06-7C9B-435F-AFFB-E236ACE827D0}"/>
    <cellStyle name="Normal 9 2 2 3 7" xfId="2663" xr:uid="{00000000-0005-0000-0000-0000E31E0000}"/>
    <cellStyle name="Normal 9 2 2 3 7 2" xfId="6946" xr:uid="{00000000-0005-0000-0000-0000E41E0000}"/>
    <cellStyle name="Normal 9 2 2 3 7 2 2" xfId="32285" xr:uid="{EE92BF62-6C88-479F-A1A5-35948C133C17}"/>
    <cellStyle name="Normal 9 2 2 3 7 2 3" xfId="23844" xr:uid="{1B7D59B9-2EF0-4C06-AC42-59117484B5AD}"/>
    <cellStyle name="Normal 9 2 2 3 7 2 4" xfId="15396" xr:uid="{24C2152F-4D68-421A-8EBF-FF5128422B94}"/>
    <cellStyle name="Normal 9 2 2 3 7 3" xfId="28067" xr:uid="{170E8334-DE82-451C-A279-10F336145750}"/>
    <cellStyle name="Normal 9 2 2 3 7 4" xfId="19626" xr:uid="{C581F328-DFAD-4779-83A0-B7B66E513464}"/>
    <cellStyle name="Normal 9 2 2 3 7 5" xfId="11178" xr:uid="{0314CB62-91EA-44E5-9B3F-DE3831472D54}"/>
    <cellStyle name="Normal 9 2 2 3 8" xfId="4881" xr:uid="{00000000-0005-0000-0000-0000E51E0000}"/>
    <cellStyle name="Normal 9 2 2 3 8 2" xfId="30220" xr:uid="{C2B07026-DA1C-4980-B453-A75DDF629265}"/>
    <cellStyle name="Normal 9 2 2 3 8 3" xfId="21779" xr:uid="{7A596FE0-89AD-48FF-B88F-D31CC77E9659}"/>
    <cellStyle name="Normal 9 2 2 3 8 4" xfId="13331" xr:uid="{647AFA19-1C26-4E87-92F3-4CCF872F6690}"/>
    <cellStyle name="Normal 9 2 2 3 9" xfId="26002" xr:uid="{B201232D-6DB0-4A39-B369-53F7737D71FB}"/>
    <cellStyle name="Normal 9 2 2 4" xfId="519" xr:uid="{00000000-0005-0000-0000-0000E61E0000}"/>
    <cellStyle name="Normal 9 2 2 4 10" xfId="9115" xr:uid="{C81B5C08-8EBA-4EA4-A79D-BEB3C4143B7C}"/>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32780" xr:uid="{627DE49B-460C-4F33-8B7A-809853BBF1DE}"/>
    <cellStyle name="Normal 9 2 2 4 2 2 2 3" xfId="24339" xr:uid="{87CA78E2-9061-4ACC-9EAC-006C90F0B68A}"/>
    <cellStyle name="Normal 9 2 2 4 2 2 2 4" xfId="15891" xr:uid="{0CD91C24-38CC-41E5-A821-9D9AA49FF72F}"/>
    <cellStyle name="Normal 9 2 2 4 2 2 3" xfId="28562" xr:uid="{58F62B14-A7D8-4BEF-AD27-7F63EECEC1A5}"/>
    <cellStyle name="Normal 9 2 2 4 2 2 4" xfId="20121" xr:uid="{5FBC73D6-6793-42CF-8355-E2BD7187B31C}"/>
    <cellStyle name="Normal 9 2 2 4 2 2 5" xfId="11673" xr:uid="{988E345D-2CED-4153-A4F6-BED55F22078C}"/>
    <cellStyle name="Normal 9 2 2 4 2 3" xfId="5296" xr:uid="{00000000-0005-0000-0000-0000EA1E0000}"/>
    <cellStyle name="Normal 9 2 2 4 2 3 2" xfId="30635" xr:uid="{CB263EF0-0A4E-4A52-BCD7-3E438250D7BD}"/>
    <cellStyle name="Normal 9 2 2 4 2 3 3" xfId="22194" xr:uid="{C5DBD604-ED8A-4658-B81E-23860BA0D49A}"/>
    <cellStyle name="Normal 9 2 2 4 2 3 4" xfId="13746" xr:uid="{684DCEF9-6582-4E1D-A303-97153767CE6B}"/>
    <cellStyle name="Normal 9 2 2 4 2 4" xfId="26417" xr:uid="{CAFB99B0-5627-4ECC-A2BC-06A7E841135B}"/>
    <cellStyle name="Normal 9 2 2 4 2 5" xfId="17976" xr:uid="{3FAA3971-8B78-4BF1-AFEC-055447C078DA}"/>
    <cellStyle name="Normal 9 2 2 4 2 6" xfId="9528" xr:uid="{5938349A-C5B3-4621-BDCF-CF10B1F79A75}"/>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33193" xr:uid="{DA9AC82E-542A-4828-BB18-DB1F1D6BBFF7}"/>
    <cellStyle name="Normal 9 2 2 4 3 2 2 3" xfId="24752" xr:uid="{124E0406-74C4-42C5-9F92-7DFB4FED4A3E}"/>
    <cellStyle name="Normal 9 2 2 4 3 2 2 4" xfId="16304" xr:uid="{9B70EA07-62D7-4743-896D-44F8495DCAEC}"/>
    <cellStyle name="Normal 9 2 2 4 3 2 3" xfId="28975" xr:uid="{2136D6DF-2F36-4510-B805-A7D7771886A2}"/>
    <cellStyle name="Normal 9 2 2 4 3 2 4" xfId="20534" xr:uid="{1F1DCC3B-3551-4A1D-BB52-107E1CE99AFB}"/>
    <cellStyle name="Normal 9 2 2 4 3 2 5" xfId="12086" xr:uid="{CE86F956-3BE2-4630-B13D-3F205C5F330D}"/>
    <cellStyle name="Normal 9 2 2 4 3 3" xfId="5709" xr:uid="{00000000-0005-0000-0000-0000EE1E0000}"/>
    <cellStyle name="Normal 9 2 2 4 3 3 2" xfId="31048" xr:uid="{13FDFF3D-A5DB-49BA-A150-C93F0B872BC4}"/>
    <cellStyle name="Normal 9 2 2 4 3 3 3" xfId="22607" xr:uid="{9B9F408D-B6CB-48D2-A7C2-7AB4327974DC}"/>
    <cellStyle name="Normal 9 2 2 4 3 3 4" xfId="14159" xr:uid="{BB72512D-CDD2-4BDA-A81C-F9F30F848D3C}"/>
    <cellStyle name="Normal 9 2 2 4 3 4" xfId="26830" xr:uid="{34AA1CB5-0CE7-4794-A101-852843F88C15}"/>
    <cellStyle name="Normal 9 2 2 4 3 5" xfId="18389" xr:uid="{CA364ED1-D161-44E9-9BEF-0CF8909B3DC9}"/>
    <cellStyle name="Normal 9 2 2 4 3 6" xfId="9941" xr:uid="{9A9D82FA-BD35-46F5-A37E-B25EAD6F8D46}"/>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33606" xr:uid="{F35BBBBB-28F3-4CC7-855C-4EC5BBD61922}"/>
    <cellStyle name="Normal 9 2 2 4 4 2 2 3" xfId="25165" xr:uid="{ABFC054A-3FD8-4076-A09B-AA49C7D8B490}"/>
    <cellStyle name="Normal 9 2 2 4 4 2 2 4" xfId="16717" xr:uid="{8E930B1E-01D1-4F64-B12B-D8A51B52B756}"/>
    <cellStyle name="Normal 9 2 2 4 4 2 3" xfId="29388" xr:uid="{E0FF0A90-40CF-4B2F-983A-9D334BD081ED}"/>
    <cellStyle name="Normal 9 2 2 4 4 2 4" xfId="20947" xr:uid="{3F622E1C-DDD4-47BC-BA7A-25AC8342609F}"/>
    <cellStyle name="Normal 9 2 2 4 4 2 5" xfId="12499" xr:uid="{61B0D129-AC14-4453-BDDE-276A9D215585}"/>
    <cellStyle name="Normal 9 2 2 4 4 3" xfId="6122" xr:uid="{00000000-0005-0000-0000-0000F21E0000}"/>
    <cellStyle name="Normal 9 2 2 4 4 3 2" xfId="31461" xr:uid="{BB23E9E3-39F7-41D4-80D3-B7F09E47E3BB}"/>
    <cellStyle name="Normal 9 2 2 4 4 3 3" xfId="23020" xr:uid="{9AAE5E48-BEFA-447C-A574-477FD5DA136B}"/>
    <cellStyle name="Normal 9 2 2 4 4 3 4" xfId="14572" xr:uid="{307AE87A-1754-4CA6-A9DC-1D65B9A1DBF3}"/>
    <cellStyle name="Normal 9 2 2 4 4 4" xfId="27243" xr:uid="{6F9517BF-D1D4-40C1-A415-C34D6BC39FD0}"/>
    <cellStyle name="Normal 9 2 2 4 4 5" xfId="18802" xr:uid="{3819BFCD-B263-40A0-80C7-A1EE3505F05F}"/>
    <cellStyle name="Normal 9 2 2 4 4 6" xfId="10354" xr:uid="{21AACBDB-BDDC-4755-954D-36728A73CE36}"/>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34019" xr:uid="{75477274-2062-4DAC-BE33-9E1CC59A8416}"/>
    <cellStyle name="Normal 9 2 2 4 5 2 2 3" xfId="25578" xr:uid="{A6A294A3-416A-40BF-906C-2F7E844F6AB8}"/>
    <cellStyle name="Normal 9 2 2 4 5 2 2 4" xfId="17130" xr:uid="{DC33C3C3-D12F-4C69-8EA1-0C90167CCF88}"/>
    <cellStyle name="Normal 9 2 2 4 5 2 3" xfId="29801" xr:uid="{7B753DBA-CC2D-4851-91A5-C82153510C6F}"/>
    <cellStyle name="Normal 9 2 2 4 5 2 4" xfId="21360" xr:uid="{66C064A5-F029-4BD8-B391-444B6E00179B}"/>
    <cellStyle name="Normal 9 2 2 4 5 2 5" xfId="12912" xr:uid="{0E5AB3B7-A706-492D-8897-925208085FED}"/>
    <cellStyle name="Normal 9 2 2 4 5 3" xfId="6535" xr:uid="{00000000-0005-0000-0000-0000F61E0000}"/>
    <cellStyle name="Normal 9 2 2 4 5 3 2" xfId="31874" xr:uid="{B3F2AEF0-D4EB-4F02-A2ED-B3F4CAA8055F}"/>
    <cellStyle name="Normal 9 2 2 4 5 3 3" xfId="23433" xr:uid="{1FE39625-F071-4F64-B7D0-5B5823275B09}"/>
    <cellStyle name="Normal 9 2 2 4 5 3 4" xfId="14985" xr:uid="{24B34D09-143B-4E89-8750-3592661C5B63}"/>
    <cellStyle name="Normal 9 2 2 4 5 4" xfId="27656" xr:uid="{5831B202-95F8-4DF4-920D-3207EDD1742D}"/>
    <cellStyle name="Normal 9 2 2 4 5 5" xfId="19215" xr:uid="{5A67ED75-BCF3-485E-98B7-921762CD078A}"/>
    <cellStyle name="Normal 9 2 2 4 5 6" xfId="10767" xr:uid="{A1C208A2-90FB-4F4B-8CA5-B78B25052FCC}"/>
    <cellStyle name="Normal 9 2 2 4 6" xfId="2665" xr:uid="{00000000-0005-0000-0000-0000F71E0000}"/>
    <cellStyle name="Normal 9 2 2 4 6 2" xfId="6948" xr:uid="{00000000-0005-0000-0000-0000F81E0000}"/>
    <cellStyle name="Normal 9 2 2 4 6 2 2" xfId="32287" xr:uid="{AB2F4742-5CA2-4F0B-8496-7BDCBCA201EE}"/>
    <cellStyle name="Normal 9 2 2 4 6 2 3" xfId="23846" xr:uid="{B9BACA54-71A8-43DD-9992-5B4EAB8ACF38}"/>
    <cellStyle name="Normal 9 2 2 4 6 2 4" xfId="15398" xr:uid="{01225CE6-A2D5-441D-B704-D9DAD04C9BDD}"/>
    <cellStyle name="Normal 9 2 2 4 6 3" xfId="28069" xr:uid="{D4564562-D610-4E42-843B-A355CDCABA5C}"/>
    <cellStyle name="Normal 9 2 2 4 6 4" xfId="19628" xr:uid="{0688F050-BCDB-4073-A10F-B599CDD303B4}"/>
    <cellStyle name="Normal 9 2 2 4 6 5" xfId="11180" xr:uid="{F9C985B1-389A-41D4-B2E0-474473C752E5}"/>
    <cellStyle name="Normal 9 2 2 4 7" xfId="4883" xr:uid="{00000000-0005-0000-0000-0000F91E0000}"/>
    <cellStyle name="Normal 9 2 2 4 7 2" xfId="30222" xr:uid="{8DB21668-9488-4463-975A-F5397F5325C1}"/>
    <cellStyle name="Normal 9 2 2 4 7 3" xfId="21781" xr:uid="{B00F14B2-5268-4BC1-BCD2-59596967DC51}"/>
    <cellStyle name="Normal 9 2 2 4 7 4" xfId="13333" xr:uid="{2ED351ED-2B4A-441C-9F26-BD8F0BE93732}"/>
    <cellStyle name="Normal 9 2 2 4 8" xfId="26004" xr:uid="{22F6D0DA-0491-4F08-9817-EE26283E0E17}"/>
    <cellStyle name="Normal 9 2 2 4 9" xfId="17563" xr:uid="{0FE9F82F-BA8A-422A-88E1-47B5014A3FA6}"/>
    <cellStyle name="Normal 9 2 2 5" xfId="979" xr:uid="{00000000-0005-0000-0000-0000FA1E0000}"/>
    <cellStyle name="Normal 9 2 2 5 2" xfId="3212" xr:uid="{00000000-0005-0000-0000-0000FB1E0000}"/>
    <cellStyle name="Normal 9 2 2 5 2 2" xfId="7434" xr:uid="{00000000-0005-0000-0000-0000FC1E0000}"/>
    <cellStyle name="Normal 9 2 2 5 2 2 2" xfId="32773" xr:uid="{2B1BB947-4000-4CF3-858D-9E3996ABEDD5}"/>
    <cellStyle name="Normal 9 2 2 5 2 2 3" xfId="24332" xr:uid="{B0D13792-C656-4E9C-9975-9EA7FF4B03C9}"/>
    <cellStyle name="Normal 9 2 2 5 2 2 4" xfId="15884" xr:uid="{7935007B-8EB7-4162-B338-740E55ECEF11}"/>
    <cellStyle name="Normal 9 2 2 5 2 3" xfId="28555" xr:uid="{638E3795-2456-43FE-9AC6-390961DB35A4}"/>
    <cellStyle name="Normal 9 2 2 5 2 4" xfId="20114" xr:uid="{B6E41267-36A6-4FEA-9F30-634237BAAC61}"/>
    <cellStyle name="Normal 9 2 2 5 2 5" xfId="11666" xr:uid="{76F71EC0-BFE2-47D6-997F-905C4A0F28CB}"/>
    <cellStyle name="Normal 9 2 2 5 3" xfId="5289" xr:uid="{00000000-0005-0000-0000-0000FD1E0000}"/>
    <cellStyle name="Normal 9 2 2 5 3 2" xfId="30628" xr:uid="{1FA74C6C-05B2-4D02-97B8-16F1A2BA1D7F}"/>
    <cellStyle name="Normal 9 2 2 5 3 3" xfId="22187" xr:uid="{A3BB6ED5-2B7C-41CB-8A95-16345AF8F65C}"/>
    <cellStyle name="Normal 9 2 2 5 3 4" xfId="13739" xr:uid="{48F92DF3-A106-410B-AF69-57DBEDA0FA29}"/>
    <cellStyle name="Normal 9 2 2 5 4" xfId="26410" xr:uid="{3A5BBFAF-D7D8-47FB-B2A6-EAD756025E43}"/>
    <cellStyle name="Normal 9 2 2 5 5" xfId="17969" xr:uid="{27DF2D62-6160-4AB7-9A1C-FF940AC845E6}"/>
    <cellStyle name="Normal 9 2 2 5 6" xfId="9521" xr:uid="{5C31590C-31BB-4E19-B8F7-BA5D64C9037A}"/>
    <cellStyle name="Normal 9 2 2 6" xfId="1395" xr:uid="{00000000-0005-0000-0000-0000FE1E0000}"/>
    <cellStyle name="Normal 9 2 2 6 2" xfId="3625" xr:uid="{00000000-0005-0000-0000-0000FF1E0000}"/>
    <cellStyle name="Normal 9 2 2 6 2 2" xfId="7847" xr:uid="{00000000-0005-0000-0000-0000001F0000}"/>
    <cellStyle name="Normal 9 2 2 6 2 2 2" xfId="33186" xr:uid="{14F5CC94-540C-4222-8006-741F70E772C8}"/>
    <cellStyle name="Normal 9 2 2 6 2 2 3" xfId="24745" xr:uid="{B249BC90-B8AA-4413-A5D0-CDFDDD28AAB2}"/>
    <cellStyle name="Normal 9 2 2 6 2 2 4" xfId="16297" xr:uid="{23A2DCB2-1AAE-4AFB-9903-8E8C73E83C49}"/>
    <cellStyle name="Normal 9 2 2 6 2 3" xfId="28968" xr:uid="{B0476E17-FFB8-48EA-8D2A-8C33BA63D256}"/>
    <cellStyle name="Normal 9 2 2 6 2 4" xfId="20527" xr:uid="{7EBF4B8D-75AC-4CBC-9E68-BC4D38534FA2}"/>
    <cellStyle name="Normal 9 2 2 6 2 5" xfId="12079" xr:uid="{319B0206-C5FB-42FF-8961-C4C83BD79ECE}"/>
    <cellStyle name="Normal 9 2 2 6 3" xfId="5702" xr:uid="{00000000-0005-0000-0000-0000011F0000}"/>
    <cellStyle name="Normal 9 2 2 6 3 2" xfId="31041" xr:uid="{B81E8D55-F052-4225-90B9-528E45BD6D10}"/>
    <cellStyle name="Normal 9 2 2 6 3 3" xfId="22600" xr:uid="{A176FFDE-F921-45CA-B614-DAF0B6DF48F0}"/>
    <cellStyle name="Normal 9 2 2 6 3 4" xfId="14152" xr:uid="{AE06BBF3-6FB1-4038-B0AE-7A755F5DFF20}"/>
    <cellStyle name="Normal 9 2 2 6 4" xfId="26823" xr:uid="{8FB97BE1-96B2-46BE-ABAA-48C49AF372E7}"/>
    <cellStyle name="Normal 9 2 2 6 5" xfId="18382" xr:uid="{B44A4D4E-120F-423C-B4B2-AB1E46054DBA}"/>
    <cellStyle name="Normal 9 2 2 6 6" xfId="9934" xr:uid="{02E520E7-ABC3-42E3-BA94-64D6A85866FF}"/>
    <cellStyle name="Normal 9 2 2 7" xfId="1808" xr:uid="{00000000-0005-0000-0000-0000021F0000}"/>
    <cellStyle name="Normal 9 2 2 7 2" xfId="4038" xr:uid="{00000000-0005-0000-0000-0000031F0000}"/>
    <cellStyle name="Normal 9 2 2 7 2 2" xfId="8260" xr:uid="{00000000-0005-0000-0000-0000041F0000}"/>
    <cellStyle name="Normal 9 2 2 7 2 2 2" xfId="33599" xr:uid="{69A6E064-45ED-4B30-8AE5-0C578D0CF714}"/>
    <cellStyle name="Normal 9 2 2 7 2 2 3" xfId="25158" xr:uid="{AC631B5E-9085-4FC2-A305-E1A54B2DD612}"/>
    <cellStyle name="Normal 9 2 2 7 2 2 4" xfId="16710" xr:uid="{2246C1C9-FADD-43B5-8955-CE4E44FED918}"/>
    <cellStyle name="Normal 9 2 2 7 2 3" xfId="29381" xr:uid="{F00FF98F-CF13-460E-AF5F-9F5C1D14F784}"/>
    <cellStyle name="Normal 9 2 2 7 2 4" xfId="20940" xr:uid="{045B203B-DC5C-4265-8948-9FE20D8ED674}"/>
    <cellStyle name="Normal 9 2 2 7 2 5" xfId="12492" xr:uid="{17113281-4088-462B-9724-CF6846A455B4}"/>
    <cellStyle name="Normal 9 2 2 7 3" xfId="6115" xr:uid="{00000000-0005-0000-0000-0000051F0000}"/>
    <cellStyle name="Normal 9 2 2 7 3 2" xfId="31454" xr:uid="{E85FB378-91E8-4922-BE54-BEF9BA425FDA}"/>
    <cellStyle name="Normal 9 2 2 7 3 3" xfId="23013" xr:uid="{EA2256E6-65CB-4C8D-B4A5-CB51CE7EE332}"/>
    <cellStyle name="Normal 9 2 2 7 3 4" xfId="14565" xr:uid="{473C67B3-CE75-4A1A-8236-86DC43193559}"/>
    <cellStyle name="Normal 9 2 2 7 4" xfId="27236" xr:uid="{FE640F0F-898B-4BBF-ADBA-61AC039DD157}"/>
    <cellStyle name="Normal 9 2 2 7 5" xfId="18795" xr:uid="{51FA3E76-C5FB-4540-9C6A-69D1EA5B0F6A}"/>
    <cellStyle name="Normal 9 2 2 7 6" xfId="10347" xr:uid="{FE9DDE8F-C4AE-45AD-A9F1-66DCD9A10DA3}"/>
    <cellStyle name="Normal 9 2 2 8" xfId="2222" xr:uid="{00000000-0005-0000-0000-0000061F0000}"/>
    <cellStyle name="Normal 9 2 2 8 2" xfId="4451" xr:uid="{00000000-0005-0000-0000-0000071F0000}"/>
    <cellStyle name="Normal 9 2 2 8 2 2" xfId="8673" xr:uid="{00000000-0005-0000-0000-0000081F0000}"/>
    <cellStyle name="Normal 9 2 2 8 2 2 2" xfId="34012" xr:uid="{8FC76083-1348-4548-B33A-DBE3ABE936B2}"/>
    <cellStyle name="Normal 9 2 2 8 2 2 3" xfId="25571" xr:uid="{1D58E81E-205E-4C21-93A4-9CA14D06E97F}"/>
    <cellStyle name="Normal 9 2 2 8 2 2 4" xfId="17123" xr:uid="{EF57B360-E91F-4240-B1CB-17050CAEB124}"/>
    <cellStyle name="Normal 9 2 2 8 2 3" xfId="29794" xr:uid="{40C3BDC9-1A50-41EC-AB63-ABA047770522}"/>
    <cellStyle name="Normal 9 2 2 8 2 4" xfId="21353" xr:uid="{5B57AA59-2857-4C36-9CFA-10F16DD4645D}"/>
    <cellStyle name="Normal 9 2 2 8 2 5" xfId="12905" xr:uid="{05D9FCB5-B56E-4057-B23A-ECFB79C1BF61}"/>
    <cellStyle name="Normal 9 2 2 8 3" xfId="6528" xr:uid="{00000000-0005-0000-0000-0000091F0000}"/>
    <cellStyle name="Normal 9 2 2 8 3 2" xfId="31867" xr:uid="{862CFCBA-BD65-4433-92A7-4A8CEB13FCEA}"/>
    <cellStyle name="Normal 9 2 2 8 3 3" xfId="23426" xr:uid="{CA323D65-C824-4443-BA76-A5F1F455CEC5}"/>
    <cellStyle name="Normal 9 2 2 8 3 4" xfId="14978" xr:uid="{E8F7ECD4-8652-4064-8692-ADC7223CD962}"/>
    <cellStyle name="Normal 9 2 2 8 4" xfId="27649" xr:uid="{E03D3C18-7434-4455-AA2A-E8C05E4D5967}"/>
    <cellStyle name="Normal 9 2 2 8 5" xfId="19208" xr:uid="{3B1C8738-6EE3-4DE2-B698-C15F4BC6C6A8}"/>
    <cellStyle name="Normal 9 2 2 8 6" xfId="10760" xr:uid="{1FDBEFE5-7D5F-4A3E-AF7C-2679FE7D0E41}"/>
    <cellStyle name="Normal 9 2 2 9" xfId="2658" xr:uid="{00000000-0005-0000-0000-00000A1F0000}"/>
    <cellStyle name="Normal 9 2 2 9 2" xfId="6941" xr:uid="{00000000-0005-0000-0000-00000B1F0000}"/>
    <cellStyle name="Normal 9 2 2 9 2 2" xfId="32280" xr:uid="{E1DAD510-8659-4961-AC04-6360CBD0EB08}"/>
    <cellStyle name="Normal 9 2 2 9 2 3" xfId="23839" xr:uid="{E69A3A0B-470A-4882-AEDF-BDDE28EF3EFE}"/>
    <cellStyle name="Normal 9 2 2 9 2 4" xfId="15391" xr:uid="{FAA506DB-DBB6-4FBF-A008-00C0EEB58F97}"/>
    <cellStyle name="Normal 9 2 2 9 3" xfId="28062" xr:uid="{B9F0A91C-BBF5-488E-B966-2B55C3D6451E}"/>
    <cellStyle name="Normal 9 2 2 9 4" xfId="19621" xr:uid="{93EB931A-602D-492F-BCB2-3B70BF751C9F}"/>
    <cellStyle name="Normal 9 2 2 9 5" xfId="11173" xr:uid="{5C07B787-B312-4193-AE05-F6977EB7D6E9}"/>
    <cellStyle name="Normal 9 2 3" xfId="520" xr:uid="{00000000-0005-0000-0000-00000C1F0000}"/>
    <cellStyle name="Normal 9 2 3 10" xfId="26005" xr:uid="{EF1100FE-A32D-40D7-A7C2-26F0445341CA}"/>
    <cellStyle name="Normal 9 2 3 11" xfId="17564" xr:uid="{BBECBE62-02F0-407D-987E-5480F7FC75DD}"/>
    <cellStyle name="Normal 9 2 3 12" xfId="9116" xr:uid="{262D53C1-93E5-4E87-AA2F-E7D014B71444}"/>
    <cellStyle name="Normal 9 2 3 2" xfId="521" xr:uid="{00000000-0005-0000-0000-00000D1F0000}"/>
    <cellStyle name="Normal 9 2 3 2 10" xfId="17565" xr:uid="{497FC09F-C6A8-400F-BBFB-2B574EB4501C}"/>
    <cellStyle name="Normal 9 2 3 2 11" xfId="9117" xr:uid="{933786C3-DE5E-4309-B2D6-CE3CB3EAAEC1}"/>
    <cellStyle name="Normal 9 2 3 2 2" xfId="522" xr:uid="{00000000-0005-0000-0000-00000E1F0000}"/>
    <cellStyle name="Normal 9 2 3 2 2 10" xfId="9118" xr:uid="{86D7872E-6CA5-46B1-BC24-AC299B6068AA}"/>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32783" xr:uid="{FF83D813-30AE-4923-B803-5DFA8FD1497D}"/>
    <cellStyle name="Normal 9 2 3 2 2 2 2 2 3" xfId="24342" xr:uid="{0584B1D9-D498-4BB7-8228-EC9FB408E449}"/>
    <cellStyle name="Normal 9 2 3 2 2 2 2 2 4" xfId="15894" xr:uid="{B186C77D-AE72-43CE-8EBC-490E778F3BD6}"/>
    <cellStyle name="Normal 9 2 3 2 2 2 2 3" xfId="28565" xr:uid="{FC4EFEA7-710D-4FC9-8D5D-698E08702066}"/>
    <cellStyle name="Normal 9 2 3 2 2 2 2 4" xfId="20124" xr:uid="{23214628-C7E9-4E61-992A-2867479C8225}"/>
    <cellStyle name="Normal 9 2 3 2 2 2 2 5" xfId="11676" xr:uid="{E6445459-CB49-42E5-916C-BCEC8F1446B5}"/>
    <cellStyle name="Normal 9 2 3 2 2 2 3" xfId="5299" xr:uid="{00000000-0005-0000-0000-0000121F0000}"/>
    <cellStyle name="Normal 9 2 3 2 2 2 3 2" xfId="30638" xr:uid="{AC42ECF4-5CEB-43A8-B1FD-B91559FF0902}"/>
    <cellStyle name="Normal 9 2 3 2 2 2 3 3" xfId="22197" xr:uid="{A7C61601-F160-4236-8932-ED020A5922C6}"/>
    <cellStyle name="Normal 9 2 3 2 2 2 3 4" xfId="13749" xr:uid="{172B4256-89B9-4CBC-9F6F-44FD484D4957}"/>
    <cellStyle name="Normal 9 2 3 2 2 2 4" xfId="26420" xr:uid="{B63B5E0B-7C34-4C7C-96E6-7864302A17C7}"/>
    <cellStyle name="Normal 9 2 3 2 2 2 5" xfId="17979" xr:uid="{EF51DE5A-846E-4861-BDE4-4E8F93B7FD97}"/>
    <cellStyle name="Normal 9 2 3 2 2 2 6" xfId="9531" xr:uid="{4EE1DF91-DAF9-4490-928B-8DE31A1B88BF}"/>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33196" xr:uid="{0F34200E-32F9-4E17-B30F-A9E1D25BC761}"/>
    <cellStyle name="Normal 9 2 3 2 2 3 2 2 3" xfId="24755" xr:uid="{73093720-E36B-4BB3-AAB5-3DCFA1FC3876}"/>
    <cellStyle name="Normal 9 2 3 2 2 3 2 2 4" xfId="16307" xr:uid="{459A0F62-276D-49B4-B721-72D2A524E08C}"/>
    <cellStyle name="Normal 9 2 3 2 2 3 2 3" xfId="28978" xr:uid="{D66AC151-91DD-449E-8825-B5F3E0F93A29}"/>
    <cellStyle name="Normal 9 2 3 2 2 3 2 4" xfId="20537" xr:uid="{64619D22-4B56-4FC2-A7C8-66D9DC1878F9}"/>
    <cellStyle name="Normal 9 2 3 2 2 3 2 5" xfId="12089" xr:uid="{51799345-8768-409B-A55A-E934D06E66A7}"/>
    <cellStyle name="Normal 9 2 3 2 2 3 3" xfId="5712" xr:uid="{00000000-0005-0000-0000-0000161F0000}"/>
    <cellStyle name="Normal 9 2 3 2 2 3 3 2" xfId="31051" xr:uid="{FA82EA78-1F05-4084-B929-FFFB55B693B1}"/>
    <cellStyle name="Normal 9 2 3 2 2 3 3 3" xfId="22610" xr:uid="{251EB55A-5BEE-4189-A389-61BAF7A8359A}"/>
    <cellStyle name="Normal 9 2 3 2 2 3 3 4" xfId="14162" xr:uid="{2D88020D-6F93-4832-9F7D-ED03D8456BF7}"/>
    <cellStyle name="Normal 9 2 3 2 2 3 4" xfId="26833" xr:uid="{206EADCA-099A-4D0C-B42F-0DA206F3E916}"/>
    <cellStyle name="Normal 9 2 3 2 2 3 5" xfId="18392" xr:uid="{22FE9DD0-EAD9-4E27-8AD7-6E31CB51CE84}"/>
    <cellStyle name="Normal 9 2 3 2 2 3 6" xfId="9944" xr:uid="{94807F69-2C66-44E6-8C38-B95A53510B8F}"/>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33609" xr:uid="{099712AE-B71F-45B9-B2BE-13DEAFECBAE4}"/>
    <cellStyle name="Normal 9 2 3 2 2 4 2 2 3" xfId="25168" xr:uid="{CB2960AB-F62C-42F1-99C2-FC7A1EF8E853}"/>
    <cellStyle name="Normal 9 2 3 2 2 4 2 2 4" xfId="16720" xr:uid="{78C8CB1B-AD9A-45D4-AD91-275DF8A9F388}"/>
    <cellStyle name="Normal 9 2 3 2 2 4 2 3" xfId="29391" xr:uid="{515FF7A7-5D3F-44EB-BD07-AAA4A8C3EA9D}"/>
    <cellStyle name="Normal 9 2 3 2 2 4 2 4" xfId="20950" xr:uid="{8A05E723-31E8-4770-95D5-CE84ED8FE6B5}"/>
    <cellStyle name="Normal 9 2 3 2 2 4 2 5" xfId="12502" xr:uid="{3024D3E8-D4A4-4A04-96F4-B27388DEBA4D}"/>
    <cellStyle name="Normal 9 2 3 2 2 4 3" xfId="6125" xr:uid="{00000000-0005-0000-0000-00001A1F0000}"/>
    <cellStyle name="Normal 9 2 3 2 2 4 3 2" xfId="31464" xr:uid="{6FBAD172-10D9-405A-90A3-4819F62063C2}"/>
    <cellStyle name="Normal 9 2 3 2 2 4 3 3" xfId="23023" xr:uid="{B0D0EF05-21EC-43C9-80B6-293AD7CAF62A}"/>
    <cellStyle name="Normal 9 2 3 2 2 4 3 4" xfId="14575" xr:uid="{024D020A-3F94-463D-A09F-736020F9424E}"/>
    <cellStyle name="Normal 9 2 3 2 2 4 4" xfId="27246" xr:uid="{2C463288-0718-4C57-BD86-D313E699E813}"/>
    <cellStyle name="Normal 9 2 3 2 2 4 5" xfId="18805" xr:uid="{A4611EA2-4B3F-4ACD-8DCA-3A16A2427BF0}"/>
    <cellStyle name="Normal 9 2 3 2 2 4 6" xfId="10357" xr:uid="{494FA7B5-5FA0-449D-A127-9D378AF4BE58}"/>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34022" xr:uid="{DCED5B9E-5912-4F2E-B5BC-49461AF576BB}"/>
    <cellStyle name="Normal 9 2 3 2 2 5 2 2 3" xfId="25581" xr:uid="{7F27587D-6989-4BC0-B54C-45580D420292}"/>
    <cellStyle name="Normal 9 2 3 2 2 5 2 2 4" xfId="17133" xr:uid="{1D2BE6D9-C7BE-4BEE-A0E8-69D1D9AE1E12}"/>
    <cellStyle name="Normal 9 2 3 2 2 5 2 3" xfId="29804" xr:uid="{09D28229-12A0-4587-A829-2FFA75B72AE1}"/>
    <cellStyle name="Normal 9 2 3 2 2 5 2 4" xfId="21363" xr:uid="{471B7C90-343C-4620-A6D4-11F0B5FCB941}"/>
    <cellStyle name="Normal 9 2 3 2 2 5 2 5" xfId="12915" xr:uid="{5D5E6E6F-8FF8-4830-9F69-AE673D88BB9F}"/>
    <cellStyle name="Normal 9 2 3 2 2 5 3" xfId="6538" xr:uid="{00000000-0005-0000-0000-00001E1F0000}"/>
    <cellStyle name="Normal 9 2 3 2 2 5 3 2" xfId="31877" xr:uid="{E07D2452-FBE1-4EFE-B51C-51D7C2F216D4}"/>
    <cellStyle name="Normal 9 2 3 2 2 5 3 3" xfId="23436" xr:uid="{7FE83BA8-E7B8-4F39-9E8A-5B975493694E}"/>
    <cellStyle name="Normal 9 2 3 2 2 5 3 4" xfId="14988" xr:uid="{22DE0A81-A74F-4345-BF95-1BCA86FCE480}"/>
    <cellStyle name="Normal 9 2 3 2 2 5 4" xfId="27659" xr:uid="{9B90B744-FD01-4F87-816C-6F346526BD96}"/>
    <cellStyle name="Normal 9 2 3 2 2 5 5" xfId="19218" xr:uid="{E1550815-CC77-4982-955D-6FFE9007D797}"/>
    <cellStyle name="Normal 9 2 3 2 2 5 6" xfId="10770" xr:uid="{2F1354DB-2435-4E62-A56E-ABA38487A79C}"/>
    <cellStyle name="Normal 9 2 3 2 2 6" xfId="2668" xr:uid="{00000000-0005-0000-0000-00001F1F0000}"/>
    <cellStyle name="Normal 9 2 3 2 2 6 2" xfId="6951" xr:uid="{00000000-0005-0000-0000-0000201F0000}"/>
    <cellStyle name="Normal 9 2 3 2 2 6 2 2" xfId="32290" xr:uid="{B58D4652-E0EA-4225-A3BC-C61055B04756}"/>
    <cellStyle name="Normal 9 2 3 2 2 6 2 3" xfId="23849" xr:uid="{5542C9C6-B492-4A73-8DC1-9111D00482D6}"/>
    <cellStyle name="Normal 9 2 3 2 2 6 2 4" xfId="15401" xr:uid="{648C6EF5-2883-483B-9CC7-632F0082B2E3}"/>
    <cellStyle name="Normal 9 2 3 2 2 6 3" xfId="28072" xr:uid="{872325FA-E61F-497C-931B-9CB571C7620A}"/>
    <cellStyle name="Normal 9 2 3 2 2 6 4" xfId="19631" xr:uid="{0435C06F-88BB-4DFC-885A-17EB834E6DD4}"/>
    <cellStyle name="Normal 9 2 3 2 2 6 5" xfId="11183" xr:uid="{777D2A92-F45F-463E-A5AB-39EA884DE923}"/>
    <cellStyle name="Normal 9 2 3 2 2 7" xfId="4886" xr:uid="{00000000-0005-0000-0000-0000211F0000}"/>
    <cellStyle name="Normal 9 2 3 2 2 7 2" xfId="30225" xr:uid="{FCD81321-A068-4699-8DCE-AE9D5CFE30B0}"/>
    <cellStyle name="Normal 9 2 3 2 2 7 3" xfId="21784" xr:uid="{8AFDE98B-1577-437C-B8C5-847F8703AFBB}"/>
    <cellStyle name="Normal 9 2 3 2 2 7 4" xfId="13336" xr:uid="{30698652-0429-4FA9-B7A1-E162F5B8E30A}"/>
    <cellStyle name="Normal 9 2 3 2 2 8" xfId="26007" xr:uid="{14969B5D-D981-4D98-AC3A-604BF8EDBFCA}"/>
    <cellStyle name="Normal 9 2 3 2 2 9" xfId="17566" xr:uid="{1AD1C165-0658-4E6A-8189-555BC546C146}"/>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32782" xr:uid="{6F1129DA-9B2D-47B2-B393-26B99C1FD4F0}"/>
    <cellStyle name="Normal 9 2 3 2 3 2 2 3" xfId="24341" xr:uid="{87C5E4A0-DE9D-4CCD-AE1F-099F0DD85819}"/>
    <cellStyle name="Normal 9 2 3 2 3 2 2 4" xfId="15893" xr:uid="{6FC7D6BA-4447-4C42-BABC-0E7601A442A6}"/>
    <cellStyle name="Normal 9 2 3 2 3 2 3" xfId="28564" xr:uid="{31CACD0E-67FE-4DFA-99AA-753F7D1BD3A4}"/>
    <cellStyle name="Normal 9 2 3 2 3 2 4" xfId="20123" xr:uid="{3464D47E-3CDB-4E47-A2B9-759DD4681445}"/>
    <cellStyle name="Normal 9 2 3 2 3 2 5" xfId="11675" xr:uid="{BEAC6EC8-C58D-48A0-9804-8D793B15C713}"/>
    <cellStyle name="Normal 9 2 3 2 3 3" xfId="5298" xr:uid="{00000000-0005-0000-0000-0000251F0000}"/>
    <cellStyle name="Normal 9 2 3 2 3 3 2" xfId="30637" xr:uid="{551DCFDF-5418-48F9-8E0B-17522CF56369}"/>
    <cellStyle name="Normal 9 2 3 2 3 3 3" xfId="22196" xr:uid="{ECF1A669-11D2-471E-BD76-8B11754C8F85}"/>
    <cellStyle name="Normal 9 2 3 2 3 3 4" xfId="13748" xr:uid="{93633012-70CC-4011-A0BB-5F5842467F95}"/>
    <cellStyle name="Normal 9 2 3 2 3 4" xfId="26419" xr:uid="{3DC2B4DD-715B-4DF7-B1AC-2520F29282C7}"/>
    <cellStyle name="Normal 9 2 3 2 3 5" xfId="17978" xr:uid="{2CF1807E-3DF4-4F27-B02C-187A3639CF85}"/>
    <cellStyle name="Normal 9 2 3 2 3 6" xfId="9530" xr:uid="{674C91A5-8C8E-4A59-923A-FECA7BE18BF5}"/>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33195" xr:uid="{F2790572-B7C0-4B4D-8421-36F1D0269BBD}"/>
    <cellStyle name="Normal 9 2 3 2 4 2 2 3" xfId="24754" xr:uid="{FD9262FF-9442-4B66-A6DA-7B3A56B2360D}"/>
    <cellStyle name="Normal 9 2 3 2 4 2 2 4" xfId="16306" xr:uid="{9DBB0AB5-3ECC-4FE6-8B64-173CE9C1900F}"/>
    <cellStyle name="Normal 9 2 3 2 4 2 3" xfId="28977" xr:uid="{0C1D4C58-1A5B-497E-A009-38A43EC04DDD}"/>
    <cellStyle name="Normal 9 2 3 2 4 2 4" xfId="20536" xr:uid="{1BE7B58B-DFAE-430E-8593-5D4816B7B667}"/>
    <cellStyle name="Normal 9 2 3 2 4 2 5" xfId="12088" xr:uid="{1CE50BEA-60D2-4F32-A86B-C4DBABC67F45}"/>
    <cellStyle name="Normal 9 2 3 2 4 3" xfId="5711" xr:uid="{00000000-0005-0000-0000-0000291F0000}"/>
    <cellStyle name="Normal 9 2 3 2 4 3 2" xfId="31050" xr:uid="{1960378F-7CF4-4F7D-BE49-E5C0774F75A3}"/>
    <cellStyle name="Normal 9 2 3 2 4 3 3" xfId="22609" xr:uid="{67CCB457-0732-4849-B497-3A2D636914F5}"/>
    <cellStyle name="Normal 9 2 3 2 4 3 4" xfId="14161" xr:uid="{202F143F-2905-4C36-9A93-D6690DF0BD80}"/>
    <cellStyle name="Normal 9 2 3 2 4 4" xfId="26832" xr:uid="{7106963E-629E-4E6A-A536-76714AD39040}"/>
    <cellStyle name="Normal 9 2 3 2 4 5" xfId="18391" xr:uid="{3C591BA6-A17B-4E83-B243-CCA24347283F}"/>
    <cellStyle name="Normal 9 2 3 2 4 6" xfId="9943" xr:uid="{259E8DA2-F45E-4B21-8481-082FF09903C3}"/>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33608" xr:uid="{60FF7260-0B1D-4BD2-8C67-CE61DB6A88CD}"/>
    <cellStyle name="Normal 9 2 3 2 5 2 2 3" xfId="25167" xr:uid="{6223AF94-97A3-46D4-A7FC-2A6BBD50EF8F}"/>
    <cellStyle name="Normal 9 2 3 2 5 2 2 4" xfId="16719" xr:uid="{A6F8BFED-3166-4A54-8DA2-159BF64E8789}"/>
    <cellStyle name="Normal 9 2 3 2 5 2 3" xfId="29390" xr:uid="{B769F4AF-7B4E-47A4-B98E-11CF84CBEB09}"/>
    <cellStyle name="Normal 9 2 3 2 5 2 4" xfId="20949" xr:uid="{D27E2DE1-8D94-4D81-AAB2-74B86F8E5E89}"/>
    <cellStyle name="Normal 9 2 3 2 5 2 5" xfId="12501" xr:uid="{173C7922-5D0F-48E9-A2B9-583B26D7296E}"/>
    <cellStyle name="Normal 9 2 3 2 5 3" xfId="6124" xr:uid="{00000000-0005-0000-0000-00002D1F0000}"/>
    <cellStyle name="Normal 9 2 3 2 5 3 2" xfId="31463" xr:uid="{E983D552-890B-439D-B855-003C029614C1}"/>
    <cellStyle name="Normal 9 2 3 2 5 3 3" xfId="23022" xr:uid="{B7E4FD45-AB8D-4481-9213-2BBE1FAE2210}"/>
    <cellStyle name="Normal 9 2 3 2 5 3 4" xfId="14574" xr:uid="{E8B39041-3FBD-4835-AC16-E3F231DD444A}"/>
    <cellStyle name="Normal 9 2 3 2 5 4" xfId="27245" xr:uid="{FD96E0B2-05D6-4F65-BD16-D39C160CA4FF}"/>
    <cellStyle name="Normal 9 2 3 2 5 5" xfId="18804" xr:uid="{2D31AFF4-A328-45B9-A0D9-86A8BF705636}"/>
    <cellStyle name="Normal 9 2 3 2 5 6" xfId="10356" xr:uid="{43973B66-5A42-4CFA-868A-B6AA13293F12}"/>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34021" xr:uid="{8E2E49EC-EFFD-4E6C-AC7A-5982AFD0C86D}"/>
    <cellStyle name="Normal 9 2 3 2 6 2 2 3" xfId="25580" xr:uid="{D3BD829F-948A-484D-B607-8A85F4248554}"/>
    <cellStyle name="Normal 9 2 3 2 6 2 2 4" xfId="17132" xr:uid="{9C931E29-523A-4C0F-846A-270EA891A53D}"/>
    <cellStyle name="Normal 9 2 3 2 6 2 3" xfId="29803" xr:uid="{FA0A20AF-BAC9-4F88-8FE2-1856C098EC55}"/>
    <cellStyle name="Normal 9 2 3 2 6 2 4" xfId="21362" xr:uid="{0D37C452-3599-41E1-8792-E80486EC0638}"/>
    <cellStyle name="Normal 9 2 3 2 6 2 5" xfId="12914" xr:uid="{C3D79FB9-5867-46A0-9EA3-158E7E274318}"/>
    <cellStyle name="Normal 9 2 3 2 6 3" xfId="6537" xr:uid="{00000000-0005-0000-0000-0000311F0000}"/>
    <cellStyle name="Normal 9 2 3 2 6 3 2" xfId="31876" xr:uid="{C788602D-C0D6-45CF-9FFA-B535D8EF86A5}"/>
    <cellStyle name="Normal 9 2 3 2 6 3 3" xfId="23435" xr:uid="{F87972A7-B142-4799-8DE9-ABA96FEB2361}"/>
    <cellStyle name="Normal 9 2 3 2 6 3 4" xfId="14987" xr:uid="{4895A6BE-1A39-462B-9555-920E03F1206B}"/>
    <cellStyle name="Normal 9 2 3 2 6 4" xfId="27658" xr:uid="{377468BE-A602-421F-812D-6065E89B5C0A}"/>
    <cellStyle name="Normal 9 2 3 2 6 5" xfId="19217" xr:uid="{B420E652-D8A1-4C6C-A460-75D988A90572}"/>
    <cellStyle name="Normal 9 2 3 2 6 6" xfId="10769" xr:uid="{E65A42CA-00C2-4CE5-8715-7D078A100D37}"/>
    <cellStyle name="Normal 9 2 3 2 7" xfId="2667" xr:uid="{00000000-0005-0000-0000-0000321F0000}"/>
    <cellStyle name="Normal 9 2 3 2 7 2" xfId="6950" xr:uid="{00000000-0005-0000-0000-0000331F0000}"/>
    <cellStyle name="Normal 9 2 3 2 7 2 2" xfId="32289" xr:uid="{2E2AF753-E1DD-417F-A635-CDA1BBD3AB41}"/>
    <cellStyle name="Normal 9 2 3 2 7 2 3" xfId="23848" xr:uid="{FDE88EAC-CB35-4782-82C4-70FAC8C6251E}"/>
    <cellStyle name="Normal 9 2 3 2 7 2 4" xfId="15400" xr:uid="{7387DAD9-470C-49A8-BCA7-626416519B58}"/>
    <cellStyle name="Normal 9 2 3 2 7 3" xfId="28071" xr:uid="{470620C9-DC17-4E37-8F52-609EDBB63D38}"/>
    <cellStyle name="Normal 9 2 3 2 7 4" xfId="19630" xr:uid="{4F255F84-0C86-483B-B861-2D272E2D2668}"/>
    <cellStyle name="Normal 9 2 3 2 7 5" xfId="11182" xr:uid="{90AF3609-3EC2-4F09-AA24-BB97DD100B76}"/>
    <cellStyle name="Normal 9 2 3 2 8" xfId="4885" xr:uid="{00000000-0005-0000-0000-0000341F0000}"/>
    <cellStyle name="Normal 9 2 3 2 8 2" xfId="30224" xr:uid="{BDAA5EDE-390F-4AE7-B160-E07ED1C66603}"/>
    <cellStyle name="Normal 9 2 3 2 8 3" xfId="21783" xr:uid="{70E072C8-9077-4D30-8BE3-5BE86339B43A}"/>
    <cellStyle name="Normal 9 2 3 2 8 4" xfId="13335" xr:uid="{E9962346-602D-46B8-9373-D8C854134B8C}"/>
    <cellStyle name="Normal 9 2 3 2 9" xfId="26006" xr:uid="{2C30B6B5-6A22-4A4B-8419-F7F04AE205A8}"/>
    <cellStyle name="Normal 9 2 3 3" xfId="523" xr:uid="{00000000-0005-0000-0000-0000351F0000}"/>
    <cellStyle name="Normal 9 2 3 3 10" xfId="9119" xr:uid="{B3084483-106B-4028-8980-435FC0E35FCC}"/>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32784" xr:uid="{4CB904F9-AFA3-44E2-9A1E-FFB740512C29}"/>
    <cellStyle name="Normal 9 2 3 3 2 2 2 3" xfId="24343" xr:uid="{F2C825D5-7493-4466-9DBC-603A20576E25}"/>
    <cellStyle name="Normal 9 2 3 3 2 2 2 4" xfId="15895" xr:uid="{42DBCB57-511A-4382-BC90-2134CAD07051}"/>
    <cellStyle name="Normal 9 2 3 3 2 2 3" xfId="28566" xr:uid="{3F75BBBD-E819-4BB2-9A49-25B477D65D5A}"/>
    <cellStyle name="Normal 9 2 3 3 2 2 4" xfId="20125" xr:uid="{A4B3C699-984F-4C78-B4B4-FB8CAE6A7935}"/>
    <cellStyle name="Normal 9 2 3 3 2 2 5" xfId="11677" xr:uid="{2BEA1042-2B9D-4499-B137-B2867370C5AF}"/>
    <cellStyle name="Normal 9 2 3 3 2 3" xfId="5300" xr:uid="{00000000-0005-0000-0000-0000391F0000}"/>
    <cellStyle name="Normal 9 2 3 3 2 3 2" xfId="30639" xr:uid="{8819505B-32F1-4E75-A1F4-12F8D664644D}"/>
    <cellStyle name="Normal 9 2 3 3 2 3 3" xfId="22198" xr:uid="{524E0D9C-9C8B-4669-9E39-CC8A0E5702E8}"/>
    <cellStyle name="Normal 9 2 3 3 2 3 4" xfId="13750" xr:uid="{20412984-5546-475E-B7DD-B8AF1C57773C}"/>
    <cellStyle name="Normal 9 2 3 3 2 4" xfId="26421" xr:uid="{9CB0EE09-41E2-4354-B3A9-BF6F13609A0B}"/>
    <cellStyle name="Normal 9 2 3 3 2 5" xfId="17980" xr:uid="{65F3C2CE-473E-4813-BC28-D688001CB270}"/>
    <cellStyle name="Normal 9 2 3 3 2 6" xfId="9532" xr:uid="{13ECD849-6F0B-46E3-B844-4C11391E7BAA}"/>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33197" xr:uid="{68239F51-FDB5-4677-A2A7-3BA6F31DAF5C}"/>
    <cellStyle name="Normal 9 2 3 3 3 2 2 3" xfId="24756" xr:uid="{60E2F4FF-BE6B-4DB6-8E58-9A97F7EC47E5}"/>
    <cellStyle name="Normal 9 2 3 3 3 2 2 4" xfId="16308" xr:uid="{255E6140-3467-4B5D-B6A4-48C68C809A57}"/>
    <cellStyle name="Normal 9 2 3 3 3 2 3" xfId="28979" xr:uid="{36AA2C34-FFB9-4DF1-ADB2-F1E12469C922}"/>
    <cellStyle name="Normal 9 2 3 3 3 2 4" xfId="20538" xr:uid="{092542B4-4186-4EED-BCCD-971A0A564BE9}"/>
    <cellStyle name="Normal 9 2 3 3 3 2 5" xfId="12090" xr:uid="{17134579-AF12-4600-AEAC-37D629C7E071}"/>
    <cellStyle name="Normal 9 2 3 3 3 3" xfId="5713" xr:uid="{00000000-0005-0000-0000-00003D1F0000}"/>
    <cellStyle name="Normal 9 2 3 3 3 3 2" xfId="31052" xr:uid="{E712CB3A-39B5-4A51-BCD3-4221164B7BF4}"/>
    <cellStyle name="Normal 9 2 3 3 3 3 3" xfId="22611" xr:uid="{2FFF7A21-0B53-42FD-8678-0B17B6F6A328}"/>
    <cellStyle name="Normal 9 2 3 3 3 3 4" xfId="14163" xr:uid="{7D58DAFC-8893-4A32-818E-64F73CF918DF}"/>
    <cellStyle name="Normal 9 2 3 3 3 4" xfId="26834" xr:uid="{0901FD99-FE3F-4EEB-B2A6-4CB144BE741B}"/>
    <cellStyle name="Normal 9 2 3 3 3 5" xfId="18393" xr:uid="{D4432E98-B581-4D60-86FE-575DC789CC51}"/>
    <cellStyle name="Normal 9 2 3 3 3 6" xfId="9945" xr:uid="{580CC2D0-85C4-4093-90D0-BC114065C1FD}"/>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33610" xr:uid="{22AEF8CC-BB0E-43FE-BC57-A795F0489447}"/>
    <cellStyle name="Normal 9 2 3 3 4 2 2 3" xfId="25169" xr:uid="{2B4ABFF2-5E97-47DE-AD9D-6264D5B586C2}"/>
    <cellStyle name="Normal 9 2 3 3 4 2 2 4" xfId="16721" xr:uid="{E01AF2E3-C298-419F-A1E2-968E8F79F372}"/>
    <cellStyle name="Normal 9 2 3 3 4 2 3" xfId="29392" xr:uid="{80664647-A749-462F-9782-976932458DA4}"/>
    <cellStyle name="Normal 9 2 3 3 4 2 4" xfId="20951" xr:uid="{ABFACA96-C005-4007-A5A2-B0060D051006}"/>
    <cellStyle name="Normal 9 2 3 3 4 2 5" xfId="12503" xr:uid="{915F6225-2DC2-46BB-B537-451E406F0E6C}"/>
    <cellStyle name="Normal 9 2 3 3 4 3" xfId="6126" xr:uid="{00000000-0005-0000-0000-0000411F0000}"/>
    <cellStyle name="Normal 9 2 3 3 4 3 2" xfId="31465" xr:uid="{CA8C7187-6C1C-4C21-8413-6850513E4016}"/>
    <cellStyle name="Normal 9 2 3 3 4 3 3" xfId="23024" xr:uid="{37B077F2-2776-4A85-8CA4-09CDE7BAFACE}"/>
    <cellStyle name="Normal 9 2 3 3 4 3 4" xfId="14576" xr:uid="{0EE7B4B9-8FCB-474A-BD5A-ADCF373C0091}"/>
    <cellStyle name="Normal 9 2 3 3 4 4" xfId="27247" xr:uid="{F4416C73-F8FA-40F1-94C8-E118E789E5E0}"/>
    <cellStyle name="Normal 9 2 3 3 4 5" xfId="18806" xr:uid="{7BDE63A1-9B96-4BFB-9206-0B5BEB89E472}"/>
    <cellStyle name="Normal 9 2 3 3 4 6" xfId="10358" xr:uid="{8733EA5B-A7D8-4ED9-BE5D-829DBB4108D0}"/>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34023" xr:uid="{90C12CB3-32D1-49A9-9A58-2D200C1C97E7}"/>
    <cellStyle name="Normal 9 2 3 3 5 2 2 3" xfId="25582" xr:uid="{BFE488CD-EBA9-43EB-8AAD-06F5D12FCEEB}"/>
    <cellStyle name="Normal 9 2 3 3 5 2 2 4" xfId="17134" xr:uid="{1D51B6DE-C646-4976-ACCB-38763BA59F85}"/>
    <cellStyle name="Normal 9 2 3 3 5 2 3" xfId="29805" xr:uid="{CC69DB3F-E541-4A5E-B321-B2CB0237BFF7}"/>
    <cellStyle name="Normal 9 2 3 3 5 2 4" xfId="21364" xr:uid="{7731EFC5-9F7C-484F-BAB2-50EA4CC0D93A}"/>
    <cellStyle name="Normal 9 2 3 3 5 2 5" xfId="12916" xr:uid="{72404964-7CB2-4C15-90DD-BD3FF20C6D99}"/>
    <cellStyle name="Normal 9 2 3 3 5 3" xfId="6539" xr:uid="{00000000-0005-0000-0000-0000451F0000}"/>
    <cellStyle name="Normal 9 2 3 3 5 3 2" xfId="31878" xr:uid="{5BB51755-FEC3-4C52-A84B-A3219FE79E33}"/>
    <cellStyle name="Normal 9 2 3 3 5 3 3" xfId="23437" xr:uid="{F9F7F963-5CB0-4900-8080-361E511AB2D8}"/>
    <cellStyle name="Normal 9 2 3 3 5 3 4" xfId="14989" xr:uid="{B685FAA3-042D-4F94-86E2-67F010A1F54F}"/>
    <cellStyle name="Normal 9 2 3 3 5 4" xfId="27660" xr:uid="{D6A76AF1-1C82-4532-BFF6-C52CD0DACBF9}"/>
    <cellStyle name="Normal 9 2 3 3 5 5" xfId="19219" xr:uid="{E64CE238-B7C3-4F5A-9481-1AC0B519255E}"/>
    <cellStyle name="Normal 9 2 3 3 5 6" xfId="10771" xr:uid="{940F869C-9DEF-4466-B6E7-4500B5A6A546}"/>
    <cellStyle name="Normal 9 2 3 3 6" xfId="2669" xr:uid="{00000000-0005-0000-0000-0000461F0000}"/>
    <cellStyle name="Normal 9 2 3 3 6 2" xfId="6952" xr:uid="{00000000-0005-0000-0000-0000471F0000}"/>
    <cellStyle name="Normal 9 2 3 3 6 2 2" xfId="32291" xr:uid="{FA542EF7-524C-4FB7-BAF4-A578C5CE7834}"/>
    <cellStyle name="Normal 9 2 3 3 6 2 3" xfId="23850" xr:uid="{0C77B438-B969-4DB8-93F9-D7FD1ED045EB}"/>
    <cellStyle name="Normal 9 2 3 3 6 2 4" xfId="15402" xr:uid="{D245B025-2251-433A-99AA-0B315590EF5A}"/>
    <cellStyle name="Normal 9 2 3 3 6 3" xfId="28073" xr:uid="{2BDCC783-AC6E-4992-9816-FC14B4D8CBFF}"/>
    <cellStyle name="Normal 9 2 3 3 6 4" xfId="19632" xr:uid="{45500B69-A81E-4F15-9561-94B734B3793F}"/>
    <cellStyle name="Normal 9 2 3 3 6 5" xfId="11184" xr:uid="{E2C49B6C-9A39-4325-878C-A90DB25B8257}"/>
    <cellStyle name="Normal 9 2 3 3 7" xfId="4887" xr:uid="{00000000-0005-0000-0000-0000481F0000}"/>
    <cellStyle name="Normal 9 2 3 3 7 2" xfId="30226" xr:uid="{B842870D-EC1D-463A-BE1D-AAC792092BC3}"/>
    <cellStyle name="Normal 9 2 3 3 7 3" xfId="21785" xr:uid="{BCD3F5E4-5AA3-4F26-A866-27CB532A1A76}"/>
    <cellStyle name="Normal 9 2 3 3 7 4" xfId="13337" xr:uid="{45CB09A9-895B-4F1E-9C46-09ABDD1EBCD3}"/>
    <cellStyle name="Normal 9 2 3 3 8" xfId="26008" xr:uid="{EFEAAA94-379F-408A-B0A3-9D759E223A48}"/>
    <cellStyle name="Normal 9 2 3 3 9" xfId="17567" xr:uid="{4D71B0FD-F91B-4F6F-87DD-B288B6904EB6}"/>
    <cellStyle name="Normal 9 2 3 4" xfId="987" xr:uid="{00000000-0005-0000-0000-0000491F0000}"/>
    <cellStyle name="Normal 9 2 3 4 2" xfId="3220" xr:uid="{00000000-0005-0000-0000-00004A1F0000}"/>
    <cellStyle name="Normal 9 2 3 4 2 2" xfId="7442" xr:uid="{00000000-0005-0000-0000-00004B1F0000}"/>
    <cellStyle name="Normal 9 2 3 4 2 2 2" xfId="32781" xr:uid="{4718BBB6-9629-4EF4-9C4E-69413C444675}"/>
    <cellStyle name="Normal 9 2 3 4 2 2 3" xfId="24340" xr:uid="{FEAB5C76-9C45-41ED-B543-70E313E2B417}"/>
    <cellStyle name="Normal 9 2 3 4 2 2 4" xfId="15892" xr:uid="{226D05F3-464C-4E1D-AFE8-DCB736AD345C}"/>
    <cellStyle name="Normal 9 2 3 4 2 3" xfId="28563" xr:uid="{F1758A70-A5BB-4194-B430-2100ED70A89D}"/>
    <cellStyle name="Normal 9 2 3 4 2 4" xfId="20122" xr:uid="{E1535C9A-CFE4-4392-AA67-6FD8E57A5941}"/>
    <cellStyle name="Normal 9 2 3 4 2 5" xfId="11674" xr:uid="{EF9E3A62-7D03-4340-949C-C1D76BE15EC4}"/>
    <cellStyle name="Normal 9 2 3 4 3" xfId="5297" xr:uid="{00000000-0005-0000-0000-00004C1F0000}"/>
    <cellStyle name="Normal 9 2 3 4 3 2" xfId="30636" xr:uid="{64A11F4A-9E2D-42ED-9DC0-397E68D3F4EB}"/>
    <cellStyle name="Normal 9 2 3 4 3 3" xfId="22195" xr:uid="{612B064D-64AC-4717-80CE-EE8B70C8C9CF}"/>
    <cellStyle name="Normal 9 2 3 4 3 4" xfId="13747" xr:uid="{782582DF-B794-4364-A48B-268476CF17AD}"/>
    <cellStyle name="Normal 9 2 3 4 4" xfId="26418" xr:uid="{A13883E7-83ED-4EBF-BBE3-623674ABB7DB}"/>
    <cellStyle name="Normal 9 2 3 4 5" xfId="17977" xr:uid="{90AEC914-B75D-4D47-8D7E-43046268CC9E}"/>
    <cellStyle name="Normal 9 2 3 4 6" xfId="9529" xr:uid="{3460A940-5EFE-4341-A922-6053529BCE84}"/>
    <cellStyle name="Normal 9 2 3 5" xfId="1403" xr:uid="{00000000-0005-0000-0000-00004D1F0000}"/>
    <cellStyle name="Normal 9 2 3 5 2" xfId="3633" xr:uid="{00000000-0005-0000-0000-00004E1F0000}"/>
    <cellStyle name="Normal 9 2 3 5 2 2" xfId="7855" xr:uid="{00000000-0005-0000-0000-00004F1F0000}"/>
    <cellStyle name="Normal 9 2 3 5 2 2 2" xfId="33194" xr:uid="{62954104-8A0E-4B9D-A9DC-A9166D388FC9}"/>
    <cellStyle name="Normal 9 2 3 5 2 2 3" xfId="24753" xr:uid="{57AD2D34-AEDC-4022-952E-07233210845D}"/>
    <cellStyle name="Normal 9 2 3 5 2 2 4" xfId="16305" xr:uid="{EB670207-8C88-4F8C-8F38-C1C65AF5EFF8}"/>
    <cellStyle name="Normal 9 2 3 5 2 3" xfId="28976" xr:uid="{3F27651A-A7C3-43A6-BC80-9E90EEB9B969}"/>
    <cellStyle name="Normal 9 2 3 5 2 4" xfId="20535" xr:uid="{1148FD89-F0D6-46BA-B901-6CE4EE023C5F}"/>
    <cellStyle name="Normal 9 2 3 5 2 5" xfId="12087" xr:uid="{6E8C3F37-97A1-458D-A16A-E53272264E69}"/>
    <cellStyle name="Normal 9 2 3 5 3" xfId="5710" xr:uid="{00000000-0005-0000-0000-0000501F0000}"/>
    <cellStyle name="Normal 9 2 3 5 3 2" xfId="31049" xr:uid="{00F8F4EA-7DD4-4A6F-BA20-68418433B3DE}"/>
    <cellStyle name="Normal 9 2 3 5 3 3" xfId="22608" xr:uid="{6C23C144-5401-4A08-ABB2-FDC23CDE504F}"/>
    <cellStyle name="Normal 9 2 3 5 3 4" xfId="14160" xr:uid="{FA721FBE-AEC7-45C8-8CBB-F65DF554F8A9}"/>
    <cellStyle name="Normal 9 2 3 5 4" xfId="26831" xr:uid="{AEE24919-66CF-4AB5-ADD3-5D6F9E66313B}"/>
    <cellStyle name="Normal 9 2 3 5 5" xfId="18390" xr:uid="{750A6D17-CE1B-4EFC-9FD9-C2C5D86680AA}"/>
    <cellStyle name="Normal 9 2 3 5 6" xfId="9942" xr:uid="{0EE01AD2-4A8E-4368-BA1B-4A4499B57FD9}"/>
    <cellStyle name="Normal 9 2 3 6" xfId="1816" xr:uid="{00000000-0005-0000-0000-0000511F0000}"/>
    <cellStyle name="Normal 9 2 3 6 2" xfId="4046" xr:uid="{00000000-0005-0000-0000-0000521F0000}"/>
    <cellStyle name="Normal 9 2 3 6 2 2" xfId="8268" xr:uid="{00000000-0005-0000-0000-0000531F0000}"/>
    <cellStyle name="Normal 9 2 3 6 2 2 2" xfId="33607" xr:uid="{FE769EC2-6DB7-4A2F-A6B1-4D8D061FB70C}"/>
    <cellStyle name="Normal 9 2 3 6 2 2 3" xfId="25166" xr:uid="{836AE0DA-0C09-495D-AB0F-4E305176EF00}"/>
    <cellStyle name="Normal 9 2 3 6 2 2 4" xfId="16718" xr:uid="{C56143C6-0F41-4DFE-9A10-1FB5B987829B}"/>
    <cellStyle name="Normal 9 2 3 6 2 3" xfId="29389" xr:uid="{9D85095B-1103-41E6-B431-BAB3206E2880}"/>
    <cellStyle name="Normal 9 2 3 6 2 4" xfId="20948" xr:uid="{597D7257-E580-4226-97F0-A7AB01AF8133}"/>
    <cellStyle name="Normal 9 2 3 6 2 5" xfId="12500" xr:uid="{95B9A86B-8584-40E2-88BD-17EF15CBAF88}"/>
    <cellStyle name="Normal 9 2 3 6 3" xfId="6123" xr:uid="{00000000-0005-0000-0000-0000541F0000}"/>
    <cellStyle name="Normal 9 2 3 6 3 2" xfId="31462" xr:uid="{243F4253-EBD1-4E31-83C9-0BA041D3669A}"/>
    <cellStyle name="Normal 9 2 3 6 3 3" xfId="23021" xr:uid="{FA98C006-7A90-44D4-B662-0A7F67F03464}"/>
    <cellStyle name="Normal 9 2 3 6 3 4" xfId="14573" xr:uid="{72F3D5C3-DE38-42F4-A66B-86E82DEA6345}"/>
    <cellStyle name="Normal 9 2 3 6 4" xfId="27244" xr:uid="{A8E376D3-C362-4C5A-9855-ACE520C6F6B3}"/>
    <cellStyle name="Normal 9 2 3 6 5" xfId="18803" xr:uid="{6C56E5E9-6DAD-409E-B039-3DC078E397F2}"/>
    <cellStyle name="Normal 9 2 3 6 6" xfId="10355" xr:uid="{850C1C7A-7E7D-4E5D-91C4-0FF604BBC08B}"/>
    <cellStyle name="Normal 9 2 3 7" xfId="2230" xr:uid="{00000000-0005-0000-0000-0000551F0000}"/>
    <cellStyle name="Normal 9 2 3 7 2" xfId="4459" xr:uid="{00000000-0005-0000-0000-0000561F0000}"/>
    <cellStyle name="Normal 9 2 3 7 2 2" xfId="8681" xr:uid="{00000000-0005-0000-0000-0000571F0000}"/>
    <cellStyle name="Normal 9 2 3 7 2 2 2" xfId="34020" xr:uid="{64B200E9-7794-41BB-958B-EBB019C8EC45}"/>
    <cellStyle name="Normal 9 2 3 7 2 2 3" xfId="25579" xr:uid="{70C98B0C-9AF4-4659-9FF1-F49272344832}"/>
    <cellStyle name="Normal 9 2 3 7 2 2 4" xfId="17131" xr:uid="{C9C29C1D-C44F-4B40-B6E2-C69824D9F5B6}"/>
    <cellStyle name="Normal 9 2 3 7 2 3" xfId="29802" xr:uid="{65367B03-559F-41C0-A435-E88F33D415B0}"/>
    <cellStyle name="Normal 9 2 3 7 2 4" xfId="21361" xr:uid="{269144F9-2BD4-4424-9DBE-E25AF964B04A}"/>
    <cellStyle name="Normal 9 2 3 7 2 5" xfId="12913" xr:uid="{B5726D32-0605-47D1-86C4-81F6010BF601}"/>
    <cellStyle name="Normal 9 2 3 7 3" xfId="6536" xr:uid="{00000000-0005-0000-0000-0000581F0000}"/>
    <cellStyle name="Normal 9 2 3 7 3 2" xfId="31875" xr:uid="{EF1BAF90-0944-484B-BB64-9FEF8992EA0B}"/>
    <cellStyle name="Normal 9 2 3 7 3 3" xfId="23434" xr:uid="{2DA3D99D-78C3-498B-8141-A16BEF00D291}"/>
    <cellStyle name="Normal 9 2 3 7 3 4" xfId="14986" xr:uid="{36FC8C8C-6499-4A92-A873-F1A3130622B1}"/>
    <cellStyle name="Normal 9 2 3 7 4" xfId="27657" xr:uid="{E5815286-B87E-4A08-8C17-946A63C3A5C8}"/>
    <cellStyle name="Normal 9 2 3 7 5" xfId="19216" xr:uid="{C3C9F73D-AFE3-4FAC-BA11-87C20F554FA0}"/>
    <cellStyle name="Normal 9 2 3 7 6" xfId="10768" xr:uid="{5DB220AB-5AFA-4636-B034-6520528E0A00}"/>
    <cellStyle name="Normal 9 2 3 8" xfId="2666" xr:uid="{00000000-0005-0000-0000-0000591F0000}"/>
    <cellStyle name="Normal 9 2 3 8 2" xfId="6949" xr:uid="{00000000-0005-0000-0000-00005A1F0000}"/>
    <cellStyle name="Normal 9 2 3 8 2 2" xfId="32288" xr:uid="{691158F6-BC09-4D1F-BFBF-4EB22586FFF8}"/>
    <cellStyle name="Normal 9 2 3 8 2 3" xfId="23847" xr:uid="{BF3E4EFE-D084-41A0-B168-937C7234DA21}"/>
    <cellStyle name="Normal 9 2 3 8 2 4" xfId="15399" xr:uid="{77E37369-2057-47BD-B47B-7C038D00CDCA}"/>
    <cellStyle name="Normal 9 2 3 8 3" xfId="28070" xr:uid="{AB2C8D77-709F-4DB9-AE16-294243D64393}"/>
    <cellStyle name="Normal 9 2 3 8 4" xfId="19629" xr:uid="{438D55C9-7AE5-4301-AD86-8CE1DDD0F328}"/>
    <cellStyle name="Normal 9 2 3 8 5" xfId="11181" xr:uid="{7FEA4F3A-E748-4120-9CEF-E8CEE0555993}"/>
    <cellStyle name="Normal 9 2 3 9" xfId="4884" xr:uid="{00000000-0005-0000-0000-00005B1F0000}"/>
    <cellStyle name="Normal 9 2 3 9 2" xfId="30223" xr:uid="{74FB1011-AF11-42C8-BA8B-72DD52E838DB}"/>
    <cellStyle name="Normal 9 2 3 9 3" xfId="21782" xr:uid="{1C1C9331-5FA9-4C9F-889F-B36D58A2AC99}"/>
    <cellStyle name="Normal 9 2 3 9 4" xfId="13334" xr:uid="{872E8A25-F8D9-4605-902B-8677ACDC6D80}"/>
    <cellStyle name="Normal 9 2 4" xfId="524" xr:uid="{00000000-0005-0000-0000-00005C1F0000}"/>
    <cellStyle name="Normal 9 2 4 10" xfId="17568" xr:uid="{B27DB48B-3E2C-4456-93C0-8C49F43F7486}"/>
    <cellStyle name="Normal 9 2 4 11" xfId="9120" xr:uid="{9F2E05E4-8F7B-4867-BD12-A112FA32DEE7}"/>
    <cellStyle name="Normal 9 2 4 2" xfId="525" xr:uid="{00000000-0005-0000-0000-00005D1F0000}"/>
    <cellStyle name="Normal 9 2 4 2 10" xfId="9121" xr:uid="{26FB0C1A-1135-474E-AFDA-E6336BBA9D05}"/>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32786" xr:uid="{3B881B59-7E2D-4C6F-A686-6275E7C260D9}"/>
    <cellStyle name="Normal 9 2 4 2 2 2 2 3" xfId="24345" xr:uid="{40BE2052-1AF5-491F-84D4-47BFCB2483D4}"/>
    <cellStyle name="Normal 9 2 4 2 2 2 2 4" xfId="15897" xr:uid="{63973D7F-4CBA-47BE-959B-BCBB52A1EC0F}"/>
    <cellStyle name="Normal 9 2 4 2 2 2 3" xfId="28568" xr:uid="{D2C3DF53-BF20-41BC-8CD1-EC7A450161F8}"/>
    <cellStyle name="Normal 9 2 4 2 2 2 4" xfId="20127" xr:uid="{FB4E8B46-E99A-431F-B5CF-57C0F3C2F878}"/>
    <cellStyle name="Normal 9 2 4 2 2 2 5" xfId="11679" xr:uid="{EE8EE082-1CBD-4F50-A152-D31B01015411}"/>
    <cellStyle name="Normal 9 2 4 2 2 3" xfId="5302" xr:uid="{00000000-0005-0000-0000-0000611F0000}"/>
    <cellStyle name="Normal 9 2 4 2 2 3 2" xfId="30641" xr:uid="{AD677EA7-7838-404F-BE38-8F261716C4C0}"/>
    <cellStyle name="Normal 9 2 4 2 2 3 3" xfId="22200" xr:uid="{5F2F1178-D812-48C4-8FD8-0D6C951BBD61}"/>
    <cellStyle name="Normal 9 2 4 2 2 3 4" xfId="13752" xr:uid="{82C2CE3D-EA68-4569-8E87-66B8544FA743}"/>
    <cellStyle name="Normal 9 2 4 2 2 4" xfId="26423" xr:uid="{6AA4AAD0-115B-4BCA-B2BE-B9EF2E9DDD44}"/>
    <cellStyle name="Normal 9 2 4 2 2 5" xfId="17982" xr:uid="{D690DBFF-9C32-4736-B39A-6E1F7452342F}"/>
    <cellStyle name="Normal 9 2 4 2 2 6" xfId="9534" xr:uid="{BF30196F-3238-4781-9086-F6E796A7AFD4}"/>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33199" xr:uid="{34C90220-D335-471E-ACCB-7E9B1008361A}"/>
    <cellStyle name="Normal 9 2 4 2 3 2 2 3" xfId="24758" xr:uid="{F96AF973-ADDA-45B4-A32B-DEB921B0DE53}"/>
    <cellStyle name="Normal 9 2 4 2 3 2 2 4" xfId="16310" xr:uid="{B5C5F3C7-E02C-4480-BC51-642995B3AA23}"/>
    <cellStyle name="Normal 9 2 4 2 3 2 3" xfId="28981" xr:uid="{71240500-DA47-40BA-AAC7-743F34EEAF59}"/>
    <cellStyle name="Normal 9 2 4 2 3 2 4" xfId="20540" xr:uid="{65316B2D-F405-44BB-83BD-23D5590704D8}"/>
    <cellStyle name="Normal 9 2 4 2 3 2 5" xfId="12092" xr:uid="{DEE11C6F-7240-4659-8CB2-03535C2BE507}"/>
    <cellStyle name="Normal 9 2 4 2 3 3" xfId="5715" xr:uid="{00000000-0005-0000-0000-0000651F0000}"/>
    <cellStyle name="Normal 9 2 4 2 3 3 2" xfId="31054" xr:uid="{7E90F3D2-E540-40C7-B519-87A093D27D99}"/>
    <cellStyle name="Normal 9 2 4 2 3 3 3" xfId="22613" xr:uid="{EEEAF321-DB1D-4DEF-9DE6-D19D4C894495}"/>
    <cellStyle name="Normal 9 2 4 2 3 3 4" xfId="14165" xr:uid="{1A33D510-DAA9-4CA1-8047-2EA2F248DC7C}"/>
    <cellStyle name="Normal 9 2 4 2 3 4" xfId="26836" xr:uid="{7EEEEB94-A524-4B13-A85B-89D3602F329D}"/>
    <cellStyle name="Normal 9 2 4 2 3 5" xfId="18395" xr:uid="{294D8806-DC59-40BA-B45E-A5B4DD073EAD}"/>
    <cellStyle name="Normal 9 2 4 2 3 6" xfId="9947" xr:uid="{B1ABD7A4-F93D-4755-91E1-1DE03369B37A}"/>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33612" xr:uid="{11597D0C-BF95-444C-A720-8D02824879E2}"/>
    <cellStyle name="Normal 9 2 4 2 4 2 2 3" xfId="25171" xr:uid="{CC2E4890-2799-47D7-AE44-26DF5BBBB191}"/>
    <cellStyle name="Normal 9 2 4 2 4 2 2 4" xfId="16723" xr:uid="{04BEFFA4-5E38-43FF-AE24-05072C35F236}"/>
    <cellStyle name="Normal 9 2 4 2 4 2 3" xfId="29394" xr:uid="{82C65EA0-BFF6-40A4-8551-2FEA7AD3417D}"/>
    <cellStyle name="Normal 9 2 4 2 4 2 4" xfId="20953" xr:uid="{2BD3E8A3-643C-4A0D-8900-54ABA8EC4B37}"/>
    <cellStyle name="Normal 9 2 4 2 4 2 5" xfId="12505" xr:uid="{350E6207-8DD1-4C0D-8FCF-B4416A316600}"/>
    <cellStyle name="Normal 9 2 4 2 4 3" xfId="6128" xr:uid="{00000000-0005-0000-0000-0000691F0000}"/>
    <cellStyle name="Normal 9 2 4 2 4 3 2" xfId="31467" xr:uid="{CA6B6864-94A5-45FC-8D88-0AFD7BCDD709}"/>
    <cellStyle name="Normal 9 2 4 2 4 3 3" xfId="23026" xr:uid="{6A70B5BD-D8AB-4ABD-B604-FEA814119C73}"/>
    <cellStyle name="Normal 9 2 4 2 4 3 4" xfId="14578" xr:uid="{A83897CF-77B4-477B-8A7F-F3E3AA4823D9}"/>
    <cellStyle name="Normal 9 2 4 2 4 4" xfId="27249" xr:uid="{0AC59383-4FFF-438F-8068-DF60A43A2C50}"/>
    <cellStyle name="Normal 9 2 4 2 4 5" xfId="18808" xr:uid="{FF24EDDE-C5DF-4B69-9821-B7D116445751}"/>
    <cellStyle name="Normal 9 2 4 2 4 6" xfId="10360" xr:uid="{A43A52E3-4615-4830-870A-56CB339CE644}"/>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34025" xr:uid="{3ED9776A-6B1D-4489-BC17-1A7143FE0BA9}"/>
    <cellStyle name="Normal 9 2 4 2 5 2 2 3" xfId="25584" xr:uid="{8379BEAD-C702-4F97-B055-79E9980C904C}"/>
    <cellStyle name="Normal 9 2 4 2 5 2 2 4" xfId="17136" xr:uid="{AB9B24C9-13DE-4402-B72F-16D497EFAB55}"/>
    <cellStyle name="Normal 9 2 4 2 5 2 3" xfId="29807" xr:uid="{86B5B5A4-C37A-45CF-A610-9F78E44E5D2A}"/>
    <cellStyle name="Normal 9 2 4 2 5 2 4" xfId="21366" xr:uid="{96D35528-0A00-484A-94A1-14C79E8A2537}"/>
    <cellStyle name="Normal 9 2 4 2 5 2 5" xfId="12918" xr:uid="{34639F82-95C0-409E-A4D9-EED35AFF395F}"/>
    <cellStyle name="Normal 9 2 4 2 5 3" xfId="6541" xr:uid="{00000000-0005-0000-0000-00006D1F0000}"/>
    <cellStyle name="Normal 9 2 4 2 5 3 2" xfId="31880" xr:uid="{D0A60ACE-2D98-43A6-9654-95A6EE279825}"/>
    <cellStyle name="Normal 9 2 4 2 5 3 3" xfId="23439" xr:uid="{7FA446F6-D071-4758-998B-7CBA32046EAA}"/>
    <cellStyle name="Normal 9 2 4 2 5 3 4" xfId="14991" xr:uid="{D43637D2-7DEA-4DC5-8F90-8B9FB98ECE25}"/>
    <cellStyle name="Normal 9 2 4 2 5 4" xfId="27662" xr:uid="{4440C038-A25F-403D-903A-B9A2F33F6C7D}"/>
    <cellStyle name="Normal 9 2 4 2 5 5" xfId="19221" xr:uid="{B6F8BF88-32A4-4D0A-AC63-CDD0BE60E142}"/>
    <cellStyle name="Normal 9 2 4 2 5 6" xfId="10773" xr:uid="{650FB1D8-A494-4732-991E-4A9D0320964A}"/>
    <cellStyle name="Normal 9 2 4 2 6" xfId="2671" xr:uid="{00000000-0005-0000-0000-00006E1F0000}"/>
    <cellStyle name="Normal 9 2 4 2 6 2" xfId="6954" xr:uid="{00000000-0005-0000-0000-00006F1F0000}"/>
    <cellStyle name="Normal 9 2 4 2 6 2 2" xfId="32293" xr:uid="{D10BD258-67AF-4847-A42A-3E51B29A10FE}"/>
    <cellStyle name="Normal 9 2 4 2 6 2 3" xfId="23852" xr:uid="{3E8D85E0-7255-4B9F-8C62-3264898CD900}"/>
    <cellStyle name="Normal 9 2 4 2 6 2 4" xfId="15404" xr:uid="{4DCE64B2-71EE-47EE-AC27-8774AC60B887}"/>
    <cellStyle name="Normal 9 2 4 2 6 3" xfId="28075" xr:uid="{578EBEC9-5F5E-46B1-9734-1830F644B519}"/>
    <cellStyle name="Normal 9 2 4 2 6 4" xfId="19634" xr:uid="{ECCC2CE3-AABB-4A49-8B8C-28A8D8FAD079}"/>
    <cellStyle name="Normal 9 2 4 2 6 5" xfId="11186" xr:uid="{E98DE82F-5C28-4FEA-87CE-987E48E686AA}"/>
    <cellStyle name="Normal 9 2 4 2 7" xfId="4889" xr:uid="{00000000-0005-0000-0000-0000701F0000}"/>
    <cellStyle name="Normal 9 2 4 2 7 2" xfId="30228" xr:uid="{ADF97BA7-71DC-4A8F-99A1-6895A8D22225}"/>
    <cellStyle name="Normal 9 2 4 2 7 3" xfId="21787" xr:uid="{DA83CE0C-550C-4AF8-B650-70CD32F96DE6}"/>
    <cellStyle name="Normal 9 2 4 2 7 4" xfId="13339" xr:uid="{B723AAE2-6CA3-4319-8E80-34CAB0481B07}"/>
    <cellStyle name="Normal 9 2 4 2 8" xfId="26010" xr:uid="{563C80D0-876A-4693-A5DD-36ED9911213A}"/>
    <cellStyle name="Normal 9 2 4 2 9" xfId="17569" xr:uid="{7E558494-0DD3-49F3-8C88-B0AA96C34671}"/>
    <cellStyle name="Normal 9 2 4 3" xfId="991" xr:uid="{00000000-0005-0000-0000-0000711F0000}"/>
    <cellStyle name="Normal 9 2 4 3 2" xfId="3224" xr:uid="{00000000-0005-0000-0000-0000721F0000}"/>
    <cellStyle name="Normal 9 2 4 3 2 2" xfId="7446" xr:uid="{00000000-0005-0000-0000-0000731F0000}"/>
    <cellStyle name="Normal 9 2 4 3 2 2 2" xfId="32785" xr:uid="{ABC6A767-5484-4081-A0DF-D6B87C9A2B43}"/>
    <cellStyle name="Normal 9 2 4 3 2 2 3" xfId="24344" xr:uid="{DF7B7A4B-0974-4ECC-9207-DF77B9B9DA43}"/>
    <cellStyle name="Normal 9 2 4 3 2 2 4" xfId="15896" xr:uid="{C7822603-C0AB-402B-B5AE-A9ADDF69315B}"/>
    <cellStyle name="Normal 9 2 4 3 2 3" xfId="28567" xr:uid="{36838EA2-B5B5-4A83-91C5-D479E014E638}"/>
    <cellStyle name="Normal 9 2 4 3 2 4" xfId="20126" xr:uid="{32655EB0-7BD4-4D75-97EA-7D4124387A02}"/>
    <cellStyle name="Normal 9 2 4 3 2 5" xfId="11678" xr:uid="{E62AB70C-1AAC-4813-8D38-1AAEEAFA0AD8}"/>
    <cellStyle name="Normal 9 2 4 3 3" xfId="5301" xr:uid="{00000000-0005-0000-0000-0000741F0000}"/>
    <cellStyle name="Normal 9 2 4 3 3 2" xfId="30640" xr:uid="{C5B7A2C3-6BFB-4F15-8D5A-030C0544B736}"/>
    <cellStyle name="Normal 9 2 4 3 3 3" xfId="22199" xr:uid="{7741017B-57F6-4066-B2A3-448ED28CAFF6}"/>
    <cellStyle name="Normal 9 2 4 3 3 4" xfId="13751" xr:uid="{CC517DB4-6DF7-4025-9931-4AAF1263CDB3}"/>
    <cellStyle name="Normal 9 2 4 3 4" xfId="26422" xr:uid="{10809201-8D09-45DF-AA23-70821CD1EA08}"/>
    <cellStyle name="Normal 9 2 4 3 5" xfId="17981" xr:uid="{0B011DDE-A4BC-40C9-BD4A-EB0C33757B39}"/>
    <cellStyle name="Normal 9 2 4 3 6" xfId="9533" xr:uid="{CF5B7D53-675A-4AEE-A82D-4D56E4992021}"/>
    <cellStyle name="Normal 9 2 4 4" xfId="1407" xr:uid="{00000000-0005-0000-0000-0000751F0000}"/>
    <cellStyle name="Normal 9 2 4 4 2" xfId="3637" xr:uid="{00000000-0005-0000-0000-0000761F0000}"/>
    <cellStyle name="Normal 9 2 4 4 2 2" xfId="7859" xr:uid="{00000000-0005-0000-0000-0000771F0000}"/>
    <cellStyle name="Normal 9 2 4 4 2 2 2" xfId="33198" xr:uid="{C23F4A8E-60BE-48DF-997A-B1D78E4E00E7}"/>
    <cellStyle name="Normal 9 2 4 4 2 2 3" xfId="24757" xr:uid="{88F9DE8C-5731-4F8D-98A6-96F02358F9BA}"/>
    <cellStyle name="Normal 9 2 4 4 2 2 4" xfId="16309" xr:uid="{E63D28B4-8AD3-41F6-ACB8-01BB1F500621}"/>
    <cellStyle name="Normal 9 2 4 4 2 3" xfId="28980" xr:uid="{8E910192-1AFB-4B25-85F0-444E174CAB09}"/>
    <cellStyle name="Normal 9 2 4 4 2 4" xfId="20539" xr:uid="{9E836760-D088-4E69-A7D3-2B461A358BE2}"/>
    <cellStyle name="Normal 9 2 4 4 2 5" xfId="12091" xr:uid="{0F0EDA22-C3C8-4AFB-80A6-1B452CDE1874}"/>
    <cellStyle name="Normal 9 2 4 4 3" xfId="5714" xr:uid="{00000000-0005-0000-0000-0000781F0000}"/>
    <cellStyle name="Normal 9 2 4 4 3 2" xfId="31053" xr:uid="{87D6E4D9-C1AE-4666-9F0B-194DA7B399BD}"/>
    <cellStyle name="Normal 9 2 4 4 3 3" xfId="22612" xr:uid="{BE3B3D2C-33F6-47E1-BF6E-92970A728D59}"/>
    <cellStyle name="Normal 9 2 4 4 3 4" xfId="14164" xr:uid="{2F9F6056-8A98-43B5-9DB6-070ACA422E18}"/>
    <cellStyle name="Normal 9 2 4 4 4" xfId="26835" xr:uid="{2EC28177-3F5B-4EA8-8E08-D0003A8F06E6}"/>
    <cellStyle name="Normal 9 2 4 4 5" xfId="18394" xr:uid="{334CC275-1B36-4EE7-A38A-7E8AA3368920}"/>
    <cellStyle name="Normal 9 2 4 4 6" xfId="9946" xr:uid="{4821F0C4-7AD0-442B-8AB9-D340C4AACE06}"/>
    <cellStyle name="Normal 9 2 4 5" xfId="1820" xr:uid="{00000000-0005-0000-0000-0000791F0000}"/>
    <cellStyle name="Normal 9 2 4 5 2" xfId="4050" xr:uid="{00000000-0005-0000-0000-00007A1F0000}"/>
    <cellStyle name="Normal 9 2 4 5 2 2" xfId="8272" xr:uid="{00000000-0005-0000-0000-00007B1F0000}"/>
    <cellStyle name="Normal 9 2 4 5 2 2 2" xfId="33611" xr:uid="{CA04EE67-71F0-40FB-8C3D-6F5BE4FE4C5C}"/>
    <cellStyle name="Normal 9 2 4 5 2 2 3" xfId="25170" xr:uid="{5C4039C7-792F-4367-84C0-FF377B0F6A69}"/>
    <cellStyle name="Normal 9 2 4 5 2 2 4" xfId="16722" xr:uid="{9112DA95-97E9-427B-8C6A-7B08057CB3D7}"/>
    <cellStyle name="Normal 9 2 4 5 2 3" xfId="29393" xr:uid="{697D06FF-C030-4B0A-96CF-CE75129BA246}"/>
    <cellStyle name="Normal 9 2 4 5 2 4" xfId="20952" xr:uid="{0E6EC5C8-8473-4529-8A13-7DD00907802B}"/>
    <cellStyle name="Normal 9 2 4 5 2 5" xfId="12504" xr:uid="{B5245A9D-0197-4D0C-A5E6-861A83C16B45}"/>
    <cellStyle name="Normal 9 2 4 5 3" xfId="6127" xr:uid="{00000000-0005-0000-0000-00007C1F0000}"/>
    <cellStyle name="Normal 9 2 4 5 3 2" xfId="31466" xr:uid="{E8E515DB-B56D-40D9-A475-5AC8939AB68B}"/>
    <cellStyle name="Normal 9 2 4 5 3 3" xfId="23025" xr:uid="{8564F593-D06F-49B0-8FBB-9E443BD47B75}"/>
    <cellStyle name="Normal 9 2 4 5 3 4" xfId="14577" xr:uid="{6F0A7547-94F4-4B38-962F-B5A7705F9D91}"/>
    <cellStyle name="Normal 9 2 4 5 4" xfId="27248" xr:uid="{AAF0756C-C018-4736-89A5-7C8C82D3D572}"/>
    <cellStyle name="Normal 9 2 4 5 5" xfId="18807" xr:uid="{9A5FA66A-3F21-4DFD-8249-813165DE0948}"/>
    <cellStyle name="Normal 9 2 4 5 6" xfId="10359" xr:uid="{560E07C9-3A97-4FA6-87A5-5E977208E07E}"/>
    <cellStyle name="Normal 9 2 4 6" xfId="2234" xr:uid="{00000000-0005-0000-0000-00007D1F0000}"/>
    <cellStyle name="Normal 9 2 4 6 2" xfId="4463" xr:uid="{00000000-0005-0000-0000-00007E1F0000}"/>
    <cellStyle name="Normal 9 2 4 6 2 2" xfId="8685" xr:uid="{00000000-0005-0000-0000-00007F1F0000}"/>
    <cellStyle name="Normal 9 2 4 6 2 2 2" xfId="34024" xr:uid="{1A8580DA-FE40-4731-9596-7EF68B09A7F6}"/>
    <cellStyle name="Normal 9 2 4 6 2 2 3" xfId="25583" xr:uid="{13E9D90F-068F-4EC0-B613-5974EFE00D02}"/>
    <cellStyle name="Normal 9 2 4 6 2 2 4" xfId="17135" xr:uid="{0FE09505-5173-422E-B910-9785943C4AEB}"/>
    <cellStyle name="Normal 9 2 4 6 2 3" xfId="29806" xr:uid="{162BE1B7-7C44-4D24-82F4-C75DA60ADBC7}"/>
    <cellStyle name="Normal 9 2 4 6 2 4" xfId="21365" xr:uid="{26C8F7A9-32ED-4A45-97FA-BD107F70C0DA}"/>
    <cellStyle name="Normal 9 2 4 6 2 5" xfId="12917" xr:uid="{A2E3EC2A-B0DD-435C-BD30-8E2316862A1F}"/>
    <cellStyle name="Normal 9 2 4 6 3" xfId="6540" xr:uid="{00000000-0005-0000-0000-0000801F0000}"/>
    <cellStyle name="Normal 9 2 4 6 3 2" xfId="31879" xr:uid="{4EB75093-4BC9-4945-9683-92AA501F5CEA}"/>
    <cellStyle name="Normal 9 2 4 6 3 3" xfId="23438" xr:uid="{08F0DFE6-7A85-4E2A-A29C-F30BD4C8ED63}"/>
    <cellStyle name="Normal 9 2 4 6 3 4" xfId="14990" xr:uid="{61082628-AB20-44B4-9CBF-002DB2CF3FE3}"/>
    <cellStyle name="Normal 9 2 4 6 4" xfId="27661" xr:uid="{388A4B7B-8CF0-488F-9D60-39469F637C9D}"/>
    <cellStyle name="Normal 9 2 4 6 5" xfId="19220" xr:uid="{3C4694F4-DEC9-480A-80EE-03CFE12681BC}"/>
    <cellStyle name="Normal 9 2 4 6 6" xfId="10772" xr:uid="{1BB09372-E784-479B-87AF-DD48EFEF6978}"/>
    <cellStyle name="Normal 9 2 4 7" xfId="2670" xr:uid="{00000000-0005-0000-0000-0000811F0000}"/>
    <cellStyle name="Normal 9 2 4 7 2" xfId="6953" xr:uid="{00000000-0005-0000-0000-0000821F0000}"/>
    <cellStyle name="Normal 9 2 4 7 2 2" xfId="32292" xr:uid="{2310635B-3902-4D41-BD39-BCAC4D768976}"/>
    <cellStyle name="Normal 9 2 4 7 2 3" xfId="23851" xr:uid="{2B3634A5-8AF4-499A-9113-00AAC99317D6}"/>
    <cellStyle name="Normal 9 2 4 7 2 4" xfId="15403" xr:uid="{EB760EF7-6830-439E-BB4D-E36D32E1D32C}"/>
    <cellStyle name="Normal 9 2 4 7 3" xfId="28074" xr:uid="{BFADBAB3-7494-4328-A892-635A6F3F6A3D}"/>
    <cellStyle name="Normal 9 2 4 7 4" xfId="19633" xr:uid="{6A21ED99-E482-4FF1-B3B8-EEFFF820A2DD}"/>
    <cellStyle name="Normal 9 2 4 7 5" xfId="11185" xr:uid="{536C4341-200A-42E9-B13F-0FFD82D002AA}"/>
    <cellStyle name="Normal 9 2 4 8" xfId="4888" xr:uid="{00000000-0005-0000-0000-0000831F0000}"/>
    <cellStyle name="Normal 9 2 4 8 2" xfId="30227" xr:uid="{6923741F-B3FD-4D11-B4B1-0ADB7C48B5FE}"/>
    <cellStyle name="Normal 9 2 4 8 3" xfId="21786" xr:uid="{A41D7EFE-F6AE-44A6-91F2-5F2D1E7AA398}"/>
    <cellStyle name="Normal 9 2 4 8 4" xfId="13338" xr:uid="{F5F1080B-A580-4378-B59F-35DD2D8D9A16}"/>
    <cellStyle name="Normal 9 2 4 9" xfId="26009" xr:uid="{84CEFB3F-C452-49FD-8CE5-E477436FF126}"/>
    <cellStyle name="Normal 9 2 5" xfId="526" xr:uid="{00000000-0005-0000-0000-0000841F0000}"/>
    <cellStyle name="Normal 9 2 5 10" xfId="9122" xr:uid="{235C01DB-D606-4348-BDFE-0ED2302785C8}"/>
    <cellStyle name="Normal 9 2 5 2" xfId="993" xr:uid="{00000000-0005-0000-0000-0000851F0000}"/>
    <cellStyle name="Normal 9 2 5 2 2" xfId="3226" xr:uid="{00000000-0005-0000-0000-0000861F0000}"/>
    <cellStyle name="Normal 9 2 5 2 2 2" xfId="7448" xr:uid="{00000000-0005-0000-0000-0000871F0000}"/>
    <cellStyle name="Normal 9 2 5 2 2 2 2" xfId="32787" xr:uid="{ED50066C-15FD-4C50-87DA-DE0099423E5C}"/>
    <cellStyle name="Normal 9 2 5 2 2 2 3" xfId="24346" xr:uid="{66CE981D-A2B7-49B1-BB54-23B78694C585}"/>
    <cellStyle name="Normal 9 2 5 2 2 2 4" xfId="15898" xr:uid="{99B77420-F922-4787-9571-96258E70E01D}"/>
    <cellStyle name="Normal 9 2 5 2 2 3" xfId="28569" xr:uid="{349DE856-EFAE-400F-A51F-C13822C7F380}"/>
    <cellStyle name="Normal 9 2 5 2 2 4" xfId="20128" xr:uid="{A6C763E8-31EE-4FBE-BDAE-1BEC4EF36893}"/>
    <cellStyle name="Normal 9 2 5 2 2 5" xfId="11680" xr:uid="{CD43F537-4A0B-4FFE-A334-E3403E1C347E}"/>
    <cellStyle name="Normal 9 2 5 2 3" xfId="5303" xr:uid="{00000000-0005-0000-0000-0000881F0000}"/>
    <cellStyle name="Normal 9 2 5 2 3 2" xfId="30642" xr:uid="{3FDF2ABD-DCB9-45F0-ABA6-8CF49B289DDF}"/>
    <cellStyle name="Normal 9 2 5 2 3 3" xfId="22201" xr:uid="{48FA423A-29E3-4B69-9672-127453898C82}"/>
    <cellStyle name="Normal 9 2 5 2 3 4" xfId="13753" xr:uid="{56EF88B6-87E9-427E-88F7-4523383E48AF}"/>
    <cellStyle name="Normal 9 2 5 2 4" xfId="26424" xr:uid="{39F3F653-EC1A-4024-830A-F81806D720BD}"/>
    <cellStyle name="Normal 9 2 5 2 5" xfId="17983" xr:uid="{D60653BE-584C-4106-B6FF-222DDBE79724}"/>
    <cellStyle name="Normal 9 2 5 2 6" xfId="9535" xr:uid="{C5A8D96E-FC5E-424A-858C-1D95EB1CB6DF}"/>
    <cellStyle name="Normal 9 2 5 3" xfId="1409" xr:uid="{00000000-0005-0000-0000-0000891F0000}"/>
    <cellStyle name="Normal 9 2 5 3 2" xfId="3639" xr:uid="{00000000-0005-0000-0000-00008A1F0000}"/>
    <cellStyle name="Normal 9 2 5 3 2 2" xfId="7861" xr:uid="{00000000-0005-0000-0000-00008B1F0000}"/>
    <cellStyle name="Normal 9 2 5 3 2 2 2" xfId="33200" xr:uid="{813A340A-C84B-4DE1-90BA-7EB45866AB28}"/>
    <cellStyle name="Normal 9 2 5 3 2 2 3" xfId="24759" xr:uid="{CD155D12-486D-43C3-84C2-3BFF89D256C1}"/>
    <cellStyle name="Normal 9 2 5 3 2 2 4" xfId="16311" xr:uid="{CD6B2530-1FE4-49F6-86A2-6D7EE1F38857}"/>
    <cellStyle name="Normal 9 2 5 3 2 3" xfId="28982" xr:uid="{8D00763C-3FBD-4B9F-8BBA-ECBB210EF5FE}"/>
    <cellStyle name="Normal 9 2 5 3 2 4" xfId="20541" xr:uid="{0D26389A-AADB-4C19-BD80-F2291073446F}"/>
    <cellStyle name="Normal 9 2 5 3 2 5" xfId="12093" xr:uid="{C965FC41-04FD-42A3-B085-6367B026FC8E}"/>
    <cellStyle name="Normal 9 2 5 3 3" xfId="5716" xr:uid="{00000000-0005-0000-0000-00008C1F0000}"/>
    <cellStyle name="Normal 9 2 5 3 3 2" xfId="31055" xr:uid="{F32CE8B2-1156-492D-B8C4-2CACAAEF1F59}"/>
    <cellStyle name="Normal 9 2 5 3 3 3" xfId="22614" xr:uid="{AD1985DF-0913-4D3F-92B5-3E149990AB5C}"/>
    <cellStyle name="Normal 9 2 5 3 3 4" xfId="14166" xr:uid="{1B8D171D-0C8B-44E4-A32D-FA8E56803B34}"/>
    <cellStyle name="Normal 9 2 5 3 4" xfId="26837" xr:uid="{973F3931-20C3-4124-9B7E-899036DE5F63}"/>
    <cellStyle name="Normal 9 2 5 3 5" xfId="18396" xr:uid="{A84143D0-F622-42B6-8800-0B63E922BC4F}"/>
    <cellStyle name="Normal 9 2 5 3 6" xfId="9948" xr:uid="{1B984C6B-BEC1-4AF4-AEE8-FF975DFB8856}"/>
    <cellStyle name="Normal 9 2 5 4" xfId="1822" xr:uid="{00000000-0005-0000-0000-00008D1F0000}"/>
    <cellStyle name="Normal 9 2 5 4 2" xfId="4052" xr:uid="{00000000-0005-0000-0000-00008E1F0000}"/>
    <cellStyle name="Normal 9 2 5 4 2 2" xfId="8274" xr:uid="{00000000-0005-0000-0000-00008F1F0000}"/>
    <cellStyle name="Normal 9 2 5 4 2 2 2" xfId="33613" xr:uid="{39DD5D9F-EBF7-4561-9BE2-D4F8E5727F10}"/>
    <cellStyle name="Normal 9 2 5 4 2 2 3" xfId="25172" xr:uid="{F6868BD2-AC1B-48A7-8EC6-6468487457A4}"/>
    <cellStyle name="Normal 9 2 5 4 2 2 4" xfId="16724" xr:uid="{C1CF2947-1BC5-4AC2-8338-78DC8CEBF3EA}"/>
    <cellStyle name="Normal 9 2 5 4 2 3" xfId="29395" xr:uid="{B82A13D5-696A-4490-A6C0-630823D23716}"/>
    <cellStyle name="Normal 9 2 5 4 2 4" xfId="20954" xr:uid="{FA734F1E-5256-4F48-8636-F5BC24EB177D}"/>
    <cellStyle name="Normal 9 2 5 4 2 5" xfId="12506" xr:uid="{211454FC-FDAF-4B3E-85F2-0E19B82174B8}"/>
    <cellStyle name="Normal 9 2 5 4 3" xfId="6129" xr:uid="{00000000-0005-0000-0000-0000901F0000}"/>
    <cellStyle name="Normal 9 2 5 4 3 2" xfId="31468" xr:uid="{B1654403-63F5-4E39-A82B-D1F99D746C6F}"/>
    <cellStyle name="Normal 9 2 5 4 3 3" xfId="23027" xr:uid="{AA9CFB76-7078-4083-8561-C7A465792130}"/>
    <cellStyle name="Normal 9 2 5 4 3 4" xfId="14579" xr:uid="{03069324-A4D7-4288-BA99-49E88DFB4901}"/>
    <cellStyle name="Normal 9 2 5 4 4" xfId="27250" xr:uid="{0F072D58-BD72-4BDC-9E1D-D2121769203D}"/>
    <cellStyle name="Normal 9 2 5 4 5" xfId="18809" xr:uid="{ED283264-F560-40FE-8B44-2BEC0E62619B}"/>
    <cellStyle name="Normal 9 2 5 4 6" xfId="10361" xr:uid="{C0C41424-C3E0-4881-961B-0E89AED8DBF2}"/>
    <cellStyle name="Normal 9 2 5 5" xfId="2236" xr:uid="{00000000-0005-0000-0000-0000911F0000}"/>
    <cellStyle name="Normal 9 2 5 5 2" xfId="4465" xr:uid="{00000000-0005-0000-0000-0000921F0000}"/>
    <cellStyle name="Normal 9 2 5 5 2 2" xfId="8687" xr:uid="{00000000-0005-0000-0000-0000931F0000}"/>
    <cellStyle name="Normal 9 2 5 5 2 2 2" xfId="34026" xr:uid="{105EA52E-59C1-4F94-AE90-B91135448A77}"/>
    <cellStyle name="Normal 9 2 5 5 2 2 3" xfId="25585" xr:uid="{61D6A563-F926-4742-BCED-3DBE17891DFA}"/>
    <cellStyle name="Normal 9 2 5 5 2 2 4" xfId="17137" xr:uid="{8CB4180A-3BE0-4311-B1C7-3D611DF7DFD5}"/>
    <cellStyle name="Normal 9 2 5 5 2 3" xfId="29808" xr:uid="{192C49BD-DD33-42E8-8B33-24F2D7AF7D7F}"/>
    <cellStyle name="Normal 9 2 5 5 2 4" xfId="21367" xr:uid="{B8129B92-DAC6-4DD4-B280-14FF78DEF578}"/>
    <cellStyle name="Normal 9 2 5 5 2 5" xfId="12919" xr:uid="{C12B1A4F-BB1D-4FF0-81DD-4A60B4517B16}"/>
    <cellStyle name="Normal 9 2 5 5 3" xfId="6542" xr:uid="{00000000-0005-0000-0000-0000941F0000}"/>
    <cellStyle name="Normal 9 2 5 5 3 2" xfId="31881" xr:uid="{BCCBFA32-9DC3-432D-B9FA-2B4B77857A68}"/>
    <cellStyle name="Normal 9 2 5 5 3 3" xfId="23440" xr:uid="{14C29A53-6FF3-405B-9F52-D4F364A26475}"/>
    <cellStyle name="Normal 9 2 5 5 3 4" xfId="14992" xr:uid="{6E208B7C-27C2-4244-8D5D-02CD9CEA10AD}"/>
    <cellStyle name="Normal 9 2 5 5 4" xfId="27663" xr:uid="{9938A3BD-0CC5-48B5-A14A-090F534D4BEF}"/>
    <cellStyle name="Normal 9 2 5 5 5" xfId="19222" xr:uid="{28B92730-AF97-435F-BDDF-6AA27FBD6B5A}"/>
    <cellStyle name="Normal 9 2 5 5 6" xfId="10774" xr:uid="{7EE95A71-1556-401E-9E32-5917492F1A51}"/>
    <cellStyle name="Normal 9 2 5 6" xfId="2672" xr:uid="{00000000-0005-0000-0000-0000951F0000}"/>
    <cellStyle name="Normal 9 2 5 6 2" xfId="6955" xr:uid="{00000000-0005-0000-0000-0000961F0000}"/>
    <cellStyle name="Normal 9 2 5 6 2 2" xfId="32294" xr:uid="{46F5070C-22AE-4AA0-A52A-FD92BED57E7D}"/>
    <cellStyle name="Normal 9 2 5 6 2 3" xfId="23853" xr:uid="{83BFFD0D-0784-43E1-BF0E-1D7324A7B48A}"/>
    <cellStyle name="Normal 9 2 5 6 2 4" xfId="15405" xr:uid="{84FDE716-4810-4A3C-B61E-AA29CD442259}"/>
    <cellStyle name="Normal 9 2 5 6 3" xfId="28076" xr:uid="{C5155814-E04D-41EE-B1C4-4C86DAE8A822}"/>
    <cellStyle name="Normal 9 2 5 6 4" xfId="19635" xr:uid="{2A60312E-1F30-42C0-A6F9-1FC3FEB92AE9}"/>
    <cellStyle name="Normal 9 2 5 6 5" xfId="11187" xr:uid="{4EC7D2EE-DF09-4DA9-B5D4-D22827A5136E}"/>
    <cellStyle name="Normal 9 2 5 7" xfId="4890" xr:uid="{00000000-0005-0000-0000-0000971F0000}"/>
    <cellStyle name="Normal 9 2 5 7 2" xfId="30229" xr:uid="{BECCE37C-EAFB-4006-A883-DA46084301D3}"/>
    <cellStyle name="Normal 9 2 5 7 3" xfId="21788" xr:uid="{B269CB8E-2CCE-4FAF-A267-B97C1E78E187}"/>
    <cellStyle name="Normal 9 2 5 7 4" xfId="13340" xr:uid="{583FA198-07FC-46A9-B9F5-B368DADB7277}"/>
    <cellStyle name="Normal 9 2 5 8" xfId="26011" xr:uid="{9D416C54-7708-4F45-A429-66FBB27EE199}"/>
    <cellStyle name="Normal 9 2 5 9" xfId="17570" xr:uid="{86E2E39B-A98C-4FB1-9BB0-D90B072370BF}"/>
    <cellStyle name="Normal 9 2 6" xfId="978" xr:uid="{00000000-0005-0000-0000-0000981F0000}"/>
    <cellStyle name="Normal 9 2 6 2" xfId="3211" xr:uid="{00000000-0005-0000-0000-0000991F0000}"/>
    <cellStyle name="Normal 9 2 6 2 2" xfId="7433" xr:uid="{00000000-0005-0000-0000-00009A1F0000}"/>
    <cellStyle name="Normal 9 2 6 2 2 2" xfId="32772" xr:uid="{8F12E011-93A0-4A97-AABB-8085D427F1CE}"/>
    <cellStyle name="Normal 9 2 6 2 2 3" xfId="24331" xr:uid="{BBB97675-1588-4D5E-9338-B1533AD2F930}"/>
    <cellStyle name="Normal 9 2 6 2 2 4" xfId="15883" xr:uid="{6F216653-DFF4-420F-A7A9-2A73092C559E}"/>
    <cellStyle name="Normal 9 2 6 2 3" xfId="28554" xr:uid="{DD376F81-77A8-4C02-8640-DB5DC1C0FBB2}"/>
    <cellStyle name="Normal 9 2 6 2 4" xfId="20113" xr:uid="{1253C744-8C91-4A1D-BB2A-087D0048F128}"/>
    <cellStyle name="Normal 9 2 6 2 5" xfId="11665" xr:uid="{206B9D0A-74B7-4680-84F4-350967FB1A8D}"/>
    <cellStyle name="Normal 9 2 6 3" xfId="5288" xr:uid="{00000000-0005-0000-0000-00009B1F0000}"/>
    <cellStyle name="Normal 9 2 6 3 2" xfId="30627" xr:uid="{86BF3F8C-B149-4F86-87EC-BE8835C83659}"/>
    <cellStyle name="Normal 9 2 6 3 3" xfId="22186" xr:uid="{2359AA10-3B8F-413D-93C3-512082373C1B}"/>
    <cellStyle name="Normal 9 2 6 3 4" xfId="13738" xr:uid="{E29EB8EA-7A47-4F01-81C7-7F64D84CFE5D}"/>
    <cellStyle name="Normal 9 2 6 4" xfId="26409" xr:uid="{D0FEE78C-DF42-4CCB-9D28-648B1490B5EE}"/>
    <cellStyle name="Normal 9 2 6 5" xfId="17968" xr:uid="{ACAA81BC-B7EF-4219-A1B1-A45DACB8B391}"/>
    <cellStyle name="Normal 9 2 6 6" xfId="9520" xr:uid="{D5A5E38A-D697-49E7-9797-A3DB6FF0D75E}"/>
    <cellStyle name="Normal 9 2 7" xfId="1394" xr:uid="{00000000-0005-0000-0000-00009C1F0000}"/>
    <cellStyle name="Normal 9 2 7 2" xfId="3624" xr:uid="{00000000-0005-0000-0000-00009D1F0000}"/>
    <cellStyle name="Normal 9 2 7 2 2" xfId="7846" xr:uid="{00000000-0005-0000-0000-00009E1F0000}"/>
    <cellStyle name="Normal 9 2 7 2 2 2" xfId="33185" xr:uid="{FDD380D9-5D47-4C4F-B453-DC7C91C6BF4C}"/>
    <cellStyle name="Normal 9 2 7 2 2 3" xfId="24744" xr:uid="{A2923115-657A-4635-BED4-6BC943D48395}"/>
    <cellStyle name="Normal 9 2 7 2 2 4" xfId="16296" xr:uid="{FF05FAC8-3256-4587-B1C1-BDE1D180DD96}"/>
    <cellStyle name="Normal 9 2 7 2 3" xfId="28967" xr:uid="{07256196-B365-422F-9A17-27A2E030EAD1}"/>
    <cellStyle name="Normal 9 2 7 2 4" xfId="20526" xr:uid="{23B4D518-58CC-4D6A-8452-26A2C0896BE5}"/>
    <cellStyle name="Normal 9 2 7 2 5" xfId="12078" xr:uid="{BBD2997E-73CF-45C7-91A3-C720DC7CC7E1}"/>
    <cellStyle name="Normal 9 2 7 3" xfId="5701" xr:uid="{00000000-0005-0000-0000-00009F1F0000}"/>
    <cellStyle name="Normal 9 2 7 3 2" xfId="31040" xr:uid="{43B58FFA-ECF2-44B7-BD9D-B75F972909A5}"/>
    <cellStyle name="Normal 9 2 7 3 3" xfId="22599" xr:uid="{FF82F872-3140-4181-A260-D33385E9210D}"/>
    <cellStyle name="Normal 9 2 7 3 4" xfId="14151" xr:uid="{67C5E05D-D28C-4C32-BF10-488F4555DDBD}"/>
    <cellStyle name="Normal 9 2 7 4" xfId="26822" xr:uid="{26F28203-99FA-47A0-B9A9-5A492EFBF6BD}"/>
    <cellStyle name="Normal 9 2 7 5" xfId="18381" xr:uid="{E917AE9C-38F4-48DD-A5B1-949E3D943BAC}"/>
    <cellStyle name="Normal 9 2 7 6" xfId="9933" xr:uid="{EF4204EF-4E34-4BA2-88ED-FA9500738908}"/>
    <cellStyle name="Normal 9 2 8" xfId="1807" xr:uid="{00000000-0005-0000-0000-0000A01F0000}"/>
    <cellStyle name="Normal 9 2 8 2" xfId="4037" xr:uid="{00000000-0005-0000-0000-0000A11F0000}"/>
    <cellStyle name="Normal 9 2 8 2 2" xfId="8259" xr:uid="{00000000-0005-0000-0000-0000A21F0000}"/>
    <cellStyle name="Normal 9 2 8 2 2 2" xfId="33598" xr:uid="{DB4DC7B2-A1EC-4625-986D-F844A46FC156}"/>
    <cellStyle name="Normal 9 2 8 2 2 3" xfId="25157" xr:uid="{2996D7EB-EE07-4370-A430-CA79049214B2}"/>
    <cellStyle name="Normal 9 2 8 2 2 4" xfId="16709" xr:uid="{8361C805-167D-40E1-8DF4-EDB339AEBFD8}"/>
    <cellStyle name="Normal 9 2 8 2 3" xfId="29380" xr:uid="{7DE42E56-38FC-4C81-AA46-D10ED0321C9B}"/>
    <cellStyle name="Normal 9 2 8 2 4" xfId="20939" xr:uid="{BB2AC4B4-7CD5-4279-A7E5-3F977537CFEF}"/>
    <cellStyle name="Normal 9 2 8 2 5" xfId="12491" xr:uid="{70DC6E81-4BD7-4CD0-9C00-F246EB726D4F}"/>
    <cellStyle name="Normal 9 2 8 3" xfId="6114" xr:uid="{00000000-0005-0000-0000-0000A31F0000}"/>
    <cellStyle name="Normal 9 2 8 3 2" xfId="31453" xr:uid="{6182E380-A9C7-4824-A4D4-834B3698CC82}"/>
    <cellStyle name="Normal 9 2 8 3 3" xfId="23012" xr:uid="{E551681E-044D-4528-B848-06CE350CEF9E}"/>
    <cellStyle name="Normal 9 2 8 3 4" xfId="14564" xr:uid="{89C6901E-2DBB-41E0-8FBB-D5FA05EA9FA0}"/>
    <cellStyle name="Normal 9 2 8 4" xfId="27235" xr:uid="{93A8EC43-F4D0-4171-9DC1-F8E8B5F96112}"/>
    <cellStyle name="Normal 9 2 8 5" xfId="18794" xr:uid="{1BABB3FF-D68B-4CFB-A2F0-8CF2C5E20832}"/>
    <cellStyle name="Normal 9 2 8 6" xfId="10346" xr:uid="{64531A3F-4FF1-44A2-990F-0BFEDBC6564E}"/>
    <cellStyle name="Normal 9 2 9" xfId="2221" xr:uid="{00000000-0005-0000-0000-0000A41F0000}"/>
    <cellStyle name="Normal 9 2 9 2" xfId="4450" xr:uid="{00000000-0005-0000-0000-0000A51F0000}"/>
    <cellStyle name="Normal 9 2 9 2 2" xfId="8672" xr:uid="{00000000-0005-0000-0000-0000A61F0000}"/>
    <cellStyle name="Normal 9 2 9 2 2 2" xfId="34011" xr:uid="{3444E61F-FC1A-4FEA-B855-C825ABD829BF}"/>
    <cellStyle name="Normal 9 2 9 2 2 3" xfId="25570" xr:uid="{44DBB5C4-B3E6-4194-BB1D-EC2292F3DF14}"/>
    <cellStyle name="Normal 9 2 9 2 2 4" xfId="17122" xr:uid="{F0FC7A09-BAC9-401B-9A4E-2F9F85613BC5}"/>
    <cellStyle name="Normal 9 2 9 2 3" xfId="29793" xr:uid="{5EE3D892-C600-476E-8C85-AC9D6F62CD23}"/>
    <cellStyle name="Normal 9 2 9 2 4" xfId="21352" xr:uid="{61B9E680-7888-4E7B-BFD2-C1F1815C09A8}"/>
    <cellStyle name="Normal 9 2 9 2 5" xfId="12904" xr:uid="{F085D76A-C900-4F29-B956-3A34321F63EA}"/>
    <cellStyle name="Normal 9 2 9 3" xfId="6527" xr:uid="{00000000-0005-0000-0000-0000A71F0000}"/>
    <cellStyle name="Normal 9 2 9 3 2" xfId="31866" xr:uid="{125580AD-2877-48AB-BD4A-EE15313C42C6}"/>
    <cellStyle name="Normal 9 2 9 3 3" xfId="23425" xr:uid="{D44CD348-6488-4DA3-BBE9-EBE1D492046C}"/>
    <cellStyle name="Normal 9 2 9 3 4" xfId="14977" xr:uid="{9F6810A9-95F6-4980-9646-477440669835}"/>
    <cellStyle name="Normal 9 2 9 4" xfId="27648" xr:uid="{87A17FBD-91D1-41D1-AF70-2016EE846005}"/>
    <cellStyle name="Normal 9 2 9 5" xfId="19207" xr:uid="{6E2CFF57-3CE8-4A6A-B84E-DD9DFBBEC740}"/>
    <cellStyle name="Normal 9 2 9 6" xfId="10759" xr:uid="{00C39EF0-9C62-42E6-9DE8-03161BE9B57C}"/>
    <cellStyle name="Normal 9 3" xfId="527" xr:uid="{00000000-0005-0000-0000-0000A81F0000}"/>
    <cellStyle name="Normal 9 3 10" xfId="4891" xr:uid="{00000000-0005-0000-0000-0000A91F0000}"/>
    <cellStyle name="Normal 9 3 10 2" xfId="30230" xr:uid="{18CF36AB-2841-41C4-B17F-63771A12AE42}"/>
    <cellStyle name="Normal 9 3 10 3" xfId="21789" xr:uid="{EE5439D2-AA3D-4C20-A68F-964AAE081D08}"/>
    <cellStyle name="Normal 9 3 10 4" xfId="13341" xr:uid="{128585DB-0007-49EE-9B43-AA3741AACC91}"/>
    <cellStyle name="Normal 9 3 11" xfId="26012" xr:uid="{A016860F-402C-4DF5-9FD9-F508340E6BC0}"/>
    <cellStyle name="Normal 9 3 12" xfId="17571" xr:uid="{6D3D0AF4-3B96-4FD0-AAD3-AC7EDC8DE983}"/>
    <cellStyle name="Normal 9 3 13" xfId="9123" xr:uid="{D4BDB04D-E205-4ADE-9D05-4AA1693E1D24}"/>
    <cellStyle name="Normal 9 3 2" xfId="528" xr:uid="{00000000-0005-0000-0000-0000AA1F0000}"/>
    <cellStyle name="Normal 9 3 2 10" xfId="26013" xr:uid="{09BE783B-82E2-4350-B191-C06713654B80}"/>
    <cellStyle name="Normal 9 3 2 11" xfId="17572" xr:uid="{A049F1C6-D5C6-47F5-8BB5-A5D790492901}"/>
    <cellStyle name="Normal 9 3 2 12" xfId="9124" xr:uid="{B1D7DDC1-1551-4A29-9C5A-5A6E30649A56}"/>
    <cellStyle name="Normal 9 3 2 2" xfId="529" xr:uid="{00000000-0005-0000-0000-0000AB1F0000}"/>
    <cellStyle name="Normal 9 3 2 2 10" xfId="17573" xr:uid="{FB3FE69F-EA67-45F3-8DF2-73C752DDDDA5}"/>
    <cellStyle name="Normal 9 3 2 2 11" xfId="9125" xr:uid="{A5AD28FE-96CA-4979-82EB-0A833E1C5B1F}"/>
    <cellStyle name="Normal 9 3 2 2 2" xfId="530" xr:uid="{00000000-0005-0000-0000-0000AC1F0000}"/>
    <cellStyle name="Normal 9 3 2 2 2 10" xfId="9126" xr:uid="{1D4A83BB-A38C-402B-B37D-389EAF2085A1}"/>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32791" xr:uid="{1C5D3C5F-7D01-49D2-A3EA-71C187B512ED}"/>
    <cellStyle name="Normal 9 3 2 2 2 2 2 2 3" xfId="24350" xr:uid="{AD898708-B9EB-4628-8FB9-E99819B336BB}"/>
    <cellStyle name="Normal 9 3 2 2 2 2 2 2 4" xfId="15902" xr:uid="{6EC11201-7918-414D-9A2E-7BDE706BA18C}"/>
    <cellStyle name="Normal 9 3 2 2 2 2 2 3" xfId="28573" xr:uid="{3B7328F2-7916-4C78-9900-699E023FB2B7}"/>
    <cellStyle name="Normal 9 3 2 2 2 2 2 4" xfId="20132" xr:uid="{6CCB3914-6FAB-4554-8068-5EE16EEECBDF}"/>
    <cellStyle name="Normal 9 3 2 2 2 2 2 5" xfId="11684" xr:uid="{A6472F3C-E596-47D3-A2ED-BF62E82E0076}"/>
    <cellStyle name="Normal 9 3 2 2 2 2 3" xfId="5307" xr:uid="{00000000-0005-0000-0000-0000B01F0000}"/>
    <cellStyle name="Normal 9 3 2 2 2 2 3 2" xfId="30646" xr:uid="{B9E87CD3-F4BC-4734-93E3-D42553BC1E43}"/>
    <cellStyle name="Normal 9 3 2 2 2 2 3 3" xfId="22205" xr:uid="{2CABCB02-116F-4BF7-B955-8766123760CF}"/>
    <cellStyle name="Normal 9 3 2 2 2 2 3 4" xfId="13757" xr:uid="{7E23A21F-7A91-45E6-8504-DAD42AC47DA4}"/>
    <cellStyle name="Normal 9 3 2 2 2 2 4" xfId="26428" xr:uid="{EDD15EDB-929B-4013-BF86-D4755665E894}"/>
    <cellStyle name="Normal 9 3 2 2 2 2 5" xfId="17987" xr:uid="{3F8BB5B4-5DD5-4F25-BFBD-C2099725DDB1}"/>
    <cellStyle name="Normal 9 3 2 2 2 2 6" xfId="9539" xr:uid="{27B2FD67-A68F-4C3A-A427-25B6E5D0607B}"/>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33204" xr:uid="{0AF54569-737C-4CD4-9FD6-9F944B15F5E6}"/>
    <cellStyle name="Normal 9 3 2 2 2 3 2 2 3" xfId="24763" xr:uid="{26BD5A77-EF8E-4D2D-84B9-BF5E2040F4E0}"/>
    <cellStyle name="Normal 9 3 2 2 2 3 2 2 4" xfId="16315" xr:uid="{7E6F7A55-6E58-4F9E-8740-DD569C584EFC}"/>
    <cellStyle name="Normal 9 3 2 2 2 3 2 3" xfId="28986" xr:uid="{0938FB9F-750B-48ED-8396-95F3ACB4430D}"/>
    <cellStyle name="Normal 9 3 2 2 2 3 2 4" xfId="20545" xr:uid="{D7885C2D-1C94-4B60-882A-72D653497675}"/>
    <cellStyle name="Normal 9 3 2 2 2 3 2 5" xfId="12097" xr:uid="{19024B14-26DC-47FE-893B-70FB99CCAE62}"/>
    <cellStyle name="Normal 9 3 2 2 2 3 3" xfId="5720" xr:uid="{00000000-0005-0000-0000-0000B41F0000}"/>
    <cellStyle name="Normal 9 3 2 2 2 3 3 2" xfId="31059" xr:uid="{C16F5D64-E280-4678-9211-C36D84236B05}"/>
    <cellStyle name="Normal 9 3 2 2 2 3 3 3" xfId="22618" xr:uid="{C412B7D7-868F-4F50-A060-616E8B569CF7}"/>
    <cellStyle name="Normal 9 3 2 2 2 3 3 4" xfId="14170" xr:uid="{07C359B9-ACDC-4EAA-8F08-723EF4C6A3FF}"/>
    <cellStyle name="Normal 9 3 2 2 2 3 4" xfId="26841" xr:uid="{F4A54E1E-449F-4BE6-8392-9F1CC0E75325}"/>
    <cellStyle name="Normal 9 3 2 2 2 3 5" xfId="18400" xr:uid="{5AF4508E-AB17-4108-A010-18652F964E69}"/>
    <cellStyle name="Normal 9 3 2 2 2 3 6" xfId="9952" xr:uid="{0B193366-28E6-40B8-B0CB-74698DB64DBB}"/>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33617" xr:uid="{3F2F9738-63CC-498C-B6A4-143DB083C3E0}"/>
    <cellStyle name="Normal 9 3 2 2 2 4 2 2 3" xfId="25176" xr:uid="{FAB1BDF0-4711-4107-81E9-7E03E6E804C8}"/>
    <cellStyle name="Normal 9 3 2 2 2 4 2 2 4" xfId="16728" xr:uid="{DB7EF412-61FB-440E-84C1-A0FFE3509169}"/>
    <cellStyle name="Normal 9 3 2 2 2 4 2 3" xfId="29399" xr:uid="{76DD123F-80E9-4AB5-ACE7-1B40B2D6687A}"/>
    <cellStyle name="Normal 9 3 2 2 2 4 2 4" xfId="20958" xr:uid="{DEC47352-51E8-4BE0-80A3-57EAF9D1D008}"/>
    <cellStyle name="Normal 9 3 2 2 2 4 2 5" xfId="12510" xr:uid="{C27CAD8A-AE8B-4335-AC27-62A3B64EA379}"/>
    <cellStyle name="Normal 9 3 2 2 2 4 3" xfId="6133" xr:uid="{00000000-0005-0000-0000-0000B81F0000}"/>
    <cellStyle name="Normal 9 3 2 2 2 4 3 2" xfId="31472" xr:uid="{06CF4EF5-6EE7-4DD9-BEEB-1AA91CA9DED3}"/>
    <cellStyle name="Normal 9 3 2 2 2 4 3 3" xfId="23031" xr:uid="{0B320B53-9295-470E-8FFF-68DC1487C3E7}"/>
    <cellStyle name="Normal 9 3 2 2 2 4 3 4" xfId="14583" xr:uid="{94F850F5-0C2A-42AC-9E90-644F3126FC7B}"/>
    <cellStyle name="Normal 9 3 2 2 2 4 4" xfId="27254" xr:uid="{015147C2-83EE-4300-A31F-F8D5CB9B6BAB}"/>
    <cellStyle name="Normal 9 3 2 2 2 4 5" xfId="18813" xr:uid="{C1D760DB-16D9-41E3-903D-11A92610A059}"/>
    <cellStyle name="Normal 9 3 2 2 2 4 6" xfId="10365" xr:uid="{96695BE0-2641-4225-ABD3-7E291D66167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34030" xr:uid="{726A73DC-8FFC-46DA-86E8-E400295241E1}"/>
    <cellStyle name="Normal 9 3 2 2 2 5 2 2 3" xfId="25589" xr:uid="{D7070285-47B7-4366-AC17-3A3DCC712569}"/>
    <cellStyle name="Normal 9 3 2 2 2 5 2 2 4" xfId="17141" xr:uid="{311A2342-734C-4092-B722-07DC01AF5B4F}"/>
    <cellStyle name="Normal 9 3 2 2 2 5 2 3" xfId="29812" xr:uid="{DB519FEA-FFD7-4048-A4FA-D6819D199E8C}"/>
    <cellStyle name="Normal 9 3 2 2 2 5 2 4" xfId="21371" xr:uid="{9F33B563-A8FB-4190-A95B-BC318652626A}"/>
    <cellStyle name="Normal 9 3 2 2 2 5 2 5" xfId="12923" xr:uid="{CB3517CE-041D-4D0D-B2BE-29E0ECE43C5F}"/>
    <cellStyle name="Normal 9 3 2 2 2 5 3" xfId="6546" xr:uid="{00000000-0005-0000-0000-0000BC1F0000}"/>
    <cellStyle name="Normal 9 3 2 2 2 5 3 2" xfId="31885" xr:uid="{EB874FAC-75E8-4E20-9EA1-DA89F9C3E6E0}"/>
    <cellStyle name="Normal 9 3 2 2 2 5 3 3" xfId="23444" xr:uid="{8800674A-FE15-4454-AA0C-EA1784F289D5}"/>
    <cellStyle name="Normal 9 3 2 2 2 5 3 4" xfId="14996" xr:uid="{BA77C5AF-F14C-4C29-961C-ADC70FDB38BB}"/>
    <cellStyle name="Normal 9 3 2 2 2 5 4" xfId="27667" xr:uid="{293051BD-E34D-4C00-85C5-B3A25C5D2632}"/>
    <cellStyle name="Normal 9 3 2 2 2 5 5" xfId="19226" xr:uid="{233D055D-79E1-406E-BE46-B1A72F8F7132}"/>
    <cellStyle name="Normal 9 3 2 2 2 5 6" xfId="10778" xr:uid="{001BC0E6-5CA6-4A8A-A3C3-575532220090}"/>
    <cellStyle name="Normal 9 3 2 2 2 6" xfId="2676" xr:uid="{00000000-0005-0000-0000-0000BD1F0000}"/>
    <cellStyle name="Normal 9 3 2 2 2 6 2" xfId="6959" xr:uid="{00000000-0005-0000-0000-0000BE1F0000}"/>
    <cellStyle name="Normal 9 3 2 2 2 6 2 2" xfId="32298" xr:uid="{8B2405A3-F608-4BFF-BCC1-B2A91859BC4F}"/>
    <cellStyle name="Normal 9 3 2 2 2 6 2 3" xfId="23857" xr:uid="{6FF9DEBB-BCC2-472E-BD93-CF55B2E52F45}"/>
    <cellStyle name="Normal 9 3 2 2 2 6 2 4" xfId="15409" xr:uid="{C3895CC0-FEE7-42E3-B2C8-0B5FD90F56A5}"/>
    <cellStyle name="Normal 9 3 2 2 2 6 3" xfId="28080" xr:uid="{E72E34DE-676C-4C87-AEC1-86D6F8099C2C}"/>
    <cellStyle name="Normal 9 3 2 2 2 6 4" xfId="19639" xr:uid="{E154E0C8-9C29-4C45-92D5-6F02DBD2E14B}"/>
    <cellStyle name="Normal 9 3 2 2 2 6 5" xfId="11191" xr:uid="{AA386F4D-AC26-4873-89C0-BA7632C3B4C9}"/>
    <cellStyle name="Normal 9 3 2 2 2 7" xfId="4894" xr:uid="{00000000-0005-0000-0000-0000BF1F0000}"/>
    <cellStyle name="Normal 9 3 2 2 2 7 2" xfId="30233" xr:uid="{ABE74D0E-92AB-4EE3-8A1B-03845FD67B60}"/>
    <cellStyle name="Normal 9 3 2 2 2 7 3" xfId="21792" xr:uid="{61613F9E-3F34-46AD-8825-E8A76AA893BA}"/>
    <cellStyle name="Normal 9 3 2 2 2 7 4" xfId="13344" xr:uid="{783DFF39-6D6A-4BD1-AACC-262C6A3B5709}"/>
    <cellStyle name="Normal 9 3 2 2 2 8" xfId="26015" xr:uid="{C19B8AC9-4526-4169-BB8C-F3CB5FC7CB63}"/>
    <cellStyle name="Normal 9 3 2 2 2 9" xfId="17574" xr:uid="{F71A4998-D504-42FB-ABD9-874194723C20}"/>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32790" xr:uid="{40E2CC8B-7C8A-4820-866C-0761D15BEEB2}"/>
    <cellStyle name="Normal 9 3 2 2 3 2 2 3" xfId="24349" xr:uid="{0114CB8A-7F01-4799-A252-FEEB1F48720A}"/>
    <cellStyle name="Normal 9 3 2 2 3 2 2 4" xfId="15901" xr:uid="{C2FA792E-E264-41E4-A25E-D1C6F5363B57}"/>
    <cellStyle name="Normal 9 3 2 2 3 2 3" xfId="28572" xr:uid="{3A9657F8-E037-4BB7-96AE-0EA532B06EEE}"/>
    <cellStyle name="Normal 9 3 2 2 3 2 4" xfId="20131" xr:uid="{4FDE3A94-0E8C-4BE3-92ED-86CC6C3FA4ED}"/>
    <cellStyle name="Normal 9 3 2 2 3 2 5" xfId="11683" xr:uid="{A0188164-EE71-46EA-8815-6DBC8BB0196A}"/>
    <cellStyle name="Normal 9 3 2 2 3 3" xfId="5306" xr:uid="{00000000-0005-0000-0000-0000C31F0000}"/>
    <cellStyle name="Normal 9 3 2 2 3 3 2" xfId="30645" xr:uid="{52A72AD9-8BE0-44BE-9576-0C0B402ADA0A}"/>
    <cellStyle name="Normal 9 3 2 2 3 3 3" xfId="22204" xr:uid="{922E8131-9BD5-4B89-8808-213E32BFDC57}"/>
    <cellStyle name="Normal 9 3 2 2 3 3 4" xfId="13756" xr:uid="{FA93616D-9054-45C2-8588-67FBF1171C63}"/>
    <cellStyle name="Normal 9 3 2 2 3 4" xfId="26427" xr:uid="{A4FB81C9-E458-4F72-8717-7A48E8BD696E}"/>
    <cellStyle name="Normal 9 3 2 2 3 5" xfId="17986" xr:uid="{EA6E2AB6-DE97-470F-B48D-8CCE46A34403}"/>
    <cellStyle name="Normal 9 3 2 2 3 6" xfId="9538" xr:uid="{508180C5-E1EB-4530-815F-9E2B0163DBC1}"/>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33203" xr:uid="{C0C8AF9C-A581-47E5-97A4-FCCF95514B37}"/>
    <cellStyle name="Normal 9 3 2 2 4 2 2 3" xfId="24762" xr:uid="{6E9FED65-ADA5-40FB-B86B-D62F812FCD18}"/>
    <cellStyle name="Normal 9 3 2 2 4 2 2 4" xfId="16314" xr:uid="{5F6B2298-3A62-4C37-85F9-F7A38FB680D3}"/>
    <cellStyle name="Normal 9 3 2 2 4 2 3" xfId="28985" xr:uid="{00277EF3-00AC-4F75-BC93-E18281616B63}"/>
    <cellStyle name="Normal 9 3 2 2 4 2 4" xfId="20544" xr:uid="{58C0B2E4-7067-4D3E-9EEB-984DBA83157E}"/>
    <cellStyle name="Normal 9 3 2 2 4 2 5" xfId="12096" xr:uid="{6E78133B-7028-4C83-9EB4-198291BD4620}"/>
    <cellStyle name="Normal 9 3 2 2 4 3" xfId="5719" xr:uid="{00000000-0005-0000-0000-0000C71F0000}"/>
    <cellStyle name="Normal 9 3 2 2 4 3 2" xfId="31058" xr:uid="{4E149E97-6C54-4619-AC4C-3C4A57BFE0F7}"/>
    <cellStyle name="Normal 9 3 2 2 4 3 3" xfId="22617" xr:uid="{FF2E6E48-95D3-4593-924B-B0C3A87DDF7E}"/>
    <cellStyle name="Normal 9 3 2 2 4 3 4" xfId="14169" xr:uid="{D8FD62A9-6696-4F53-BBEE-810138C0625F}"/>
    <cellStyle name="Normal 9 3 2 2 4 4" xfId="26840" xr:uid="{8E5F28E4-95D6-4407-853A-9019F41B3CCF}"/>
    <cellStyle name="Normal 9 3 2 2 4 5" xfId="18399" xr:uid="{99F1E445-9A22-46C7-BA99-FABB5998ED84}"/>
    <cellStyle name="Normal 9 3 2 2 4 6" xfId="9951" xr:uid="{63190FD8-D13F-41F1-846D-AC41982E8D0D}"/>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33616" xr:uid="{6340152E-8426-4C48-99DE-15E8AC5B22B7}"/>
    <cellStyle name="Normal 9 3 2 2 5 2 2 3" xfId="25175" xr:uid="{7ADAAFA1-0634-441D-87CA-BB559724F8BE}"/>
    <cellStyle name="Normal 9 3 2 2 5 2 2 4" xfId="16727" xr:uid="{AAEAFC64-5005-46A0-9823-898C90D61F6B}"/>
    <cellStyle name="Normal 9 3 2 2 5 2 3" xfId="29398" xr:uid="{45CA22EB-5BFF-4ABF-B77F-A32AEF030F84}"/>
    <cellStyle name="Normal 9 3 2 2 5 2 4" xfId="20957" xr:uid="{26AC975B-9125-433A-A0C2-183E6C094BB0}"/>
    <cellStyle name="Normal 9 3 2 2 5 2 5" xfId="12509" xr:uid="{7EE9A98B-15C3-4098-BD5B-082449C94D1F}"/>
    <cellStyle name="Normal 9 3 2 2 5 3" xfId="6132" xr:uid="{00000000-0005-0000-0000-0000CB1F0000}"/>
    <cellStyle name="Normal 9 3 2 2 5 3 2" xfId="31471" xr:uid="{1631F01F-A809-427E-B595-F2D81652F6D2}"/>
    <cellStyle name="Normal 9 3 2 2 5 3 3" xfId="23030" xr:uid="{6BEBD464-54CC-404A-9CB8-1975DFC44ACE}"/>
    <cellStyle name="Normal 9 3 2 2 5 3 4" xfId="14582" xr:uid="{BC13F7F8-C515-4CE7-B453-D2F2B819B9ED}"/>
    <cellStyle name="Normal 9 3 2 2 5 4" xfId="27253" xr:uid="{F7AD0663-5C51-4604-8403-23ABB5CB8F3D}"/>
    <cellStyle name="Normal 9 3 2 2 5 5" xfId="18812" xr:uid="{28D6AEC5-2521-4D99-BF5D-89A7A57B0A4A}"/>
    <cellStyle name="Normal 9 3 2 2 5 6" xfId="10364" xr:uid="{591B618F-3C13-4701-9E1F-E40B3AA60CE8}"/>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34029" xr:uid="{EED1B8C5-F5FE-469C-A037-69843C396AA1}"/>
    <cellStyle name="Normal 9 3 2 2 6 2 2 3" xfId="25588" xr:uid="{A44837D6-EA37-42DC-86D2-1DC11137ECA4}"/>
    <cellStyle name="Normal 9 3 2 2 6 2 2 4" xfId="17140" xr:uid="{11E67215-45CD-4C34-BBDC-908DB708B0C3}"/>
    <cellStyle name="Normal 9 3 2 2 6 2 3" xfId="29811" xr:uid="{8813B26F-C776-4BA8-B812-AB0C5374711E}"/>
    <cellStyle name="Normal 9 3 2 2 6 2 4" xfId="21370" xr:uid="{6FB6590A-63A4-45DB-9A7C-4EBF507E1D81}"/>
    <cellStyle name="Normal 9 3 2 2 6 2 5" xfId="12922" xr:uid="{57D30213-6078-4F48-8D4D-8761FF3C5566}"/>
    <cellStyle name="Normal 9 3 2 2 6 3" xfId="6545" xr:uid="{00000000-0005-0000-0000-0000CF1F0000}"/>
    <cellStyle name="Normal 9 3 2 2 6 3 2" xfId="31884" xr:uid="{9AA795BB-3D0D-4336-A6C0-D50661A0A847}"/>
    <cellStyle name="Normal 9 3 2 2 6 3 3" xfId="23443" xr:uid="{FB8B997F-DB78-441E-9179-E73D1793F607}"/>
    <cellStyle name="Normal 9 3 2 2 6 3 4" xfId="14995" xr:uid="{D353E495-1BBD-490A-9E32-971BDF773583}"/>
    <cellStyle name="Normal 9 3 2 2 6 4" xfId="27666" xr:uid="{92EBB857-7C39-459A-82C8-C2F51FB4FA46}"/>
    <cellStyle name="Normal 9 3 2 2 6 5" xfId="19225" xr:uid="{A550D7F6-4A9F-4F33-8AC3-8D4CCFECDD61}"/>
    <cellStyle name="Normal 9 3 2 2 6 6" xfId="10777" xr:uid="{0F04641D-411E-4C2B-87FE-64F0F7D5C0C5}"/>
    <cellStyle name="Normal 9 3 2 2 7" xfId="2675" xr:uid="{00000000-0005-0000-0000-0000D01F0000}"/>
    <cellStyle name="Normal 9 3 2 2 7 2" xfId="6958" xr:uid="{00000000-0005-0000-0000-0000D11F0000}"/>
    <cellStyle name="Normal 9 3 2 2 7 2 2" xfId="32297" xr:uid="{C5D2F8A3-9F33-4179-AF17-740BA9F13DCC}"/>
    <cellStyle name="Normal 9 3 2 2 7 2 3" xfId="23856" xr:uid="{95BDA6D4-8AC5-4D25-8D30-76C922AE5EC8}"/>
    <cellStyle name="Normal 9 3 2 2 7 2 4" xfId="15408" xr:uid="{E5579AEC-E5E2-4E25-BC93-7520CAB6385C}"/>
    <cellStyle name="Normal 9 3 2 2 7 3" xfId="28079" xr:uid="{AECCD91A-1DFE-425C-914E-B0B4913324CF}"/>
    <cellStyle name="Normal 9 3 2 2 7 4" xfId="19638" xr:uid="{4DD03AA3-045E-4470-B118-C7ADBB213F8A}"/>
    <cellStyle name="Normal 9 3 2 2 7 5" xfId="11190" xr:uid="{53993EFC-A331-473F-AB0A-817DC0DC5718}"/>
    <cellStyle name="Normal 9 3 2 2 8" xfId="4893" xr:uid="{00000000-0005-0000-0000-0000D21F0000}"/>
    <cellStyle name="Normal 9 3 2 2 8 2" xfId="30232" xr:uid="{D051BC4D-5008-47C9-B37E-396DC24376A4}"/>
    <cellStyle name="Normal 9 3 2 2 8 3" xfId="21791" xr:uid="{DBA8C806-4995-419F-9A69-1164D66FAA15}"/>
    <cellStyle name="Normal 9 3 2 2 8 4" xfId="13343" xr:uid="{C6F159FB-0850-4834-8B49-A089E3612211}"/>
    <cellStyle name="Normal 9 3 2 2 9" xfId="26014" xr:uid="{98FCC865-59EB-4548-98E9-0622E569751B}"/>
    <cellStyle name="Normal 9 3 2 3" xfId="531" xr:uid="{00000000-0005-0000-0000-0000D31F0000}"/>
    <cellStyle name="Normal 9 3 2 3 10" xfId="9127" xr:uid="{A2FEA718-1EFA-4331-82F0-A42ECE46355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32792" xr:uid="{B1897A57-3739-4FE0-9881-450BA2DEEA01}"/>
    <cellStyle name="Normal 9 3 2 3 2 2 2 3" xfId="24351" xr:uid="{67F8C797-971E-424B-9421-AE5E431831BE}"/>
    <cellStyle name="Normal 9 3 2 3 2 2 2 4" xfId="15903" xr:uid="{881A66AD-61E0-4A80-B4DB-E2E31FBDCBD3}"/>
    <cellStyle name="Normal 9 3 2 3 2 2 3" xfId="28574" xr:uid="{599653BD-BA64-484B-8490-CF6E02DA1385}"/>
    <cellStyle name="Normal 9 3 2 3 2 2 4" xfId="20133" xr:uid="{FCAF5A52-7A97-4CEE-B0ED-8AED6F6EEA5F}"/>
    <cellStyle name="Normal 9 3 2 3 2 2 5" xfId="11685" xr:uid="{326414DD-2F8F-49ED-A4F0-5355380860AE}"/>
    <cellStyle name="Normal 9 3 2 3 2 3" xfId="5308" xr:uid="{00000000-0005-0000-0000-0000D71F0000}"/>
    <cellStyle name="Normal 9 3 2 3 2 3 2" xfId="30647" xr:uid="{6F332CDC-D3EC-4E00-8467-399FAA501D86}"/>
    <cellStyle name="Normal 9 3 2 3 2 3 3" xfId="22206" xr:uid="{471396BA-1CE0-43D8-848E-7C5C6E0E0A3D}"/>
    <cellStyle name="Normal 9 3 2 3 2 3 4" xfId="13758" xr:uid="{0140CC13-8DA5-43F9-9B64-FC8A724D600B}"/>
    <cellStyle name="Normal 9 3 2 3 2 4" xfId="26429" xr:uid="{73FF79E9-6900-482E-9B91-69DF11474218}"/>
    <cellStyle name="Normal 9 3 2 3 2 5" xfId="17988" xr:uid="{1EE6B0CA-C8BA-4358-BFF5-A93639516FA9}"/>
    <cellStyle name="Normal 9 3 2 3 2 6" xfId="9540" xr:uid="{14402ABA-4AFF-455D-B9F3-A58861808B01}"/>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33205" xr:uid="{10562491-8030-4D25-84E6-D74F4EE27EBB}"/>
    <cellStyle name="Normal 9 3 2 3 3 2 2 3" xfId="24764" xr:uid="{5B76C7B2-BDB5-495F-AFB8-9498B9B7CF0C}"/>
    <cellStyle name="Normal 9 3 2 3 3 2 2 4" xfId="16316" xr:uid="{0182E937-4005-4C8B-8B90-49BF52DF24FC}"/>
    <cellStyle name="Normal 9 3 2 3 3 2 3" xfId="28987" xr:uid="{6E83F051-6DE5-47C7-9863-ECC2143846E3}"/>
    <cellStyle name="Normal 9 3 2 3 3 2 4" xfId="20546" xr:uid="{63EA6452-0354-4855-9B8A-25CE48B79E1C}"/>
    <cellStyle name="Normal 9 3 2 3 3 2 5" xfId="12098" xr:uid="{52249D0D-18CB-4163-BF3C-803033FC0DDB}"/>
    <cellStyle name="Normal 9 3 2 3 3 3" xfId="5721" xr:uid="{00000000-0005-0000-0000-0000DB1F0000}"/>
    <cellStyle name="Normal 9 3 2 3 3 3 2" xfId="31060" xr:uid="{F260EA88-5DFA-4B1B-9309-5404F64A0B07}"/>
    <cellStyle name="Normal 9 3 2 3 3 3 3" xfId="22619" xr:uid="{A5A1F1C9-9B61-40BC-BB1D-3473F3FEF9B7}"/>
    <cellStyle name="Normal 9 3 2 3 3 3 4" xfId="14171" xr:uid="{4E2F4774-7BBB-4C35-9CDF-D340630FD36B}"/>
    <cellStyle name="Normal 9 3 2 3 3 4" xfId="26842" xr:uid="{E956D981-8B6B-456D-A541-183C56BEE7AF}"/>
    <cellStyle name="Normal 9 3 2 3 3 5" xfId="18401" xr:uid="{85CA6548-072F-48B3-B9BF-FB392FA3EE8D}"/>
    <cellStyle name="Normal 9 3 2 3 3 6" xfId="9953" xr:uid="{581CC13D-5D60-43F2-BDCD-33A31092D3EF}"/>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33618" xr:uid="{548C59DA-DB8A-45B7-9DF8-AAA515E3E570}"/>
    <cellStyle name="Normal 9 3 2 3 4 2 2 3" xfId="25177" xr:uid="{0744DFC4-F283-4F3A-810A-C24747DD7822}"/>
    <cellStyle name="Normal 9 3 2 3 4 2 2 4" xfId="16729" xr:uid="{9FB3C011-F6B8-4095-A19E-AACF7CC2A780}"/>
    <cellStyle name="Normal 9 3 2 3 4 2 3" xfId="29400" xr:uid="{261A4BB3-AC94-495C-A897-0C4E8652B2F0}"/>
    <cellStyle name="Normal 9 3 2 3 4 2 4" xfId="20959" xr:uid="{177A2971-3738-4C51-8247-BF1CD8C500E0}"/>
    <cellStyle name="Normal 9 3 2 3 4 2 5" xfId="12511" xr:uid="{42416ED3-E19F-4684-A9A2-C580C945330D}"/>
    <cellStyle name="Normal 9 3 2 3 4 3" xfId="6134" xr:uid="{00000000-0005-0000-0000-0000DF1F0000}"/>
    <cellStyle name="Normal 9 3 2 3 4 3 2" xfId="31473" xr:uid="{DB8560D4-1123-4277-BA87-30CC9D054B02}"/>
    <cellStyle name="Normal 9 3 2 3 4 3 3" xfId="23032" xr:uid="{D1F86268-D3BF-477A-9727-1FB7FED9F883}"/>
    <cellStyle name="Normal 9 3 2 3 4 3 4" xfId="14584" xr:uid="{B93A8E11-D29E-45AB-A75C-A27264B63098}"/>
    <cellStyle name="Normal 9 3 2 3 4 4" xfId="27255" xr:uid="{96E96612-5974-4E90-AEF9-82C7948AACE6}"/>
    <cellStyle name="Normal 9 3 2 3 4 5" xfId="18814" xr:uid="{FD09A46B-52A5-41DF-89C0-B14C35B55DCD}"/>
    <cellStyle name="Normal 9 3 2 3 4 6" xfId="10366" xr:uid="{AC06C9E0-623F-4AB6-9B39-E9CF48C1F15B}"/>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34031" xr:uid="{CC269E5C-D9F7-458A-9459-0A2D5ABDAC0B}"/>
    <cellStyle name="Normal 9 3 2 3 5 2 2 3" xfId="25590" xr:uid="{20F39845-BAF0-45D7-AFA4-4FBEDD22D151}"/>
    <cellStyle name="Normal 9 3 2 3 5 2 2 4" xfId="17142" xr:uid="{CB6A8CDF-356F-42BE-8CAC-9B50A6A14EF2}"/>
    <cellStyle name="Normal 9 3 2 3 5 2 3" xfId="29813" xr:uid="{6C923E4B-D204-4DC1-9082-3D06E6DAE788}"/>
    <cellStyle name="Normal 9 3 2 3 5 2 4" xfId="21372" xr:uid="{BDE6CB32-134A-4A2C-82F8-5467224EEBFC}"/>
    <cellStyle name="Normal 9 3 2 3 5 2 5" xfId="12924" xr:uid="{3CDC7907-51DB-4858-BB5D-DF278C4CFB1F}"/>
    <cellStyle name="Normal 9 3 2 3 5 3" xfId="6547" xr:uid="{00000000-0005-0000-0000-0000E31F0000}"/>
    <cellStyle name="Normal 9 3 2 3 5 3 2" xfId="31886" xr:uid="{E6C4A32C-9AFE-4461-B3AD-ECD4F077BA5A}"/>
    <cellStyle name="Normal 9 3 2 3 5 3 3" xfId="23445" xr:uid="{5FA88737-0737-474D-AA21-3E51220C160B}"/>
    <cellStyle name="Normal 9 3 2 3 5 3 4" xfId="14997" xr:uid="{72DF1F64-988B-4DD9-A8D4-C89D57A4AD55}"/>
    <cellStyle name="Normal 9 3 2 3 5 4" xfId="27668" xr:uid="{4BF41A8F-7273-4E76-9D00-4BEF22F10846}"/>
    <cellStyle name="Normal 9 3 2 3 5 5" xfId="19227" xr:uid="{50098653-80C5-41F7-BCEB-29CD96542B14}"/>
    <cellStyle name="Normal 9 3 2 3 5 6" xfId="10779" xr:uid="{A0ABED74-BCDC-414E-BCCF-2F67B4E65A55}"/>
    <cellStyle name="Normal 9 3 2 3 6" xfId="2677" xr:uid="{00000000-0005-0000-0000-0000E41F0000}"/>
    <cellStyle name="Normal 9 3 2 3 6 2" xfId="6960" xr:uid="{00000000-0005-0000-0000-0000E51F0000}"/>
    <cellStyle name="Normal 9 3 2 3 6 2 2" xfId="32299" xr:uid="{F7C5261B-019B-40E1-A438-2FB88F21D803}"/>
    <cellStyle name="Normal 9 3 2 3 6 2 3" xfId="23858" xr:uid="{3B8576BE-723E-4573-907A-8AC1CCD187CE}"/>
    <cellStyle name="Normal 9 3 2 3 6 2 4" xfId="15410" xr:uid="{A5170DB4-6634-4D58-99F4-498D8F65A573}"/>
    <cellStyle name="Normal 9 3 2 3 6 3" xfId="28081" xr:uid="{75C80FA9-A029-497E-BB15-5CB80D80E3DC}"/>
    <cellStyle name="Normal 9 3 2 3 6 4" xfId="19640" xr:uid="{2ED25B8B-F7B5-45F2-A2DF-1D0C85B9969A}"/>
    <cellStyle name="Normal 9 3 2 3 6 5" xfId="11192" xr:uid="{59F76A8F-6599-428D-AEAA-2C768EC153E6}"/>
    <cellStyle name="Normal 9 3 2 3 7" xfId="4895" xr:uid="{00000000-0005-0000-0000-0000E61F0000}"/>
    <cellStyle name="Normal 9 3 2 3 7 2" xfId="30234" xr:uid="{6ED9FD3E-BD1C-45EC-8F85-E5A76BC83BA3}"/>
    <cellStyle name="Normal 9 3 2 3 7 3" xfId="21793" xr:uid="{696EA24B-B540-46D7-9F51-3415085B05AB}"/>
    <cellStyle name="Normal 9 3 2 3 7 4" xfId="13345" xr:uid="{7BE20F6B-3C78-4AC2-93C5-C4840B9BC979}"/>
    <cellStyle name="Normal 9 3 2 3 8" xfId="26016" xr:uid="{74104F3B-E956-44FD-8662-509BDF9FAF1B}"/>
    <cellStyle name="Normal 9 3 2 3 9" xfId="17575" xr:uid="{DA8F4A22-B749-41FB-AC74-0241EE4982DE}"/>
    <cellStyle name="Normal 9 3 2 4" xfId="995" xr:uid="{00000000-0005-0000-0000-0000E71F0000}"/>
    <cellStyle name="Normal 9 3 2 4 2" xfId="3228" xr:uid="{00000000-0005-0000-0000-0000E81F0000}"/>
    <cellStyle name="Normal 9 3 2 4 2 2" xfId="7450" xr:uid="{00000000-0005-0000-0000-0000E91F0000}"/>
    <cellStyle name="Normal 9 3 2 4 2 2 2" xfId="32789" xr:uid="{415AD345-E1EC-4091-9771-629A38E3EFFC}"/>
    <cellStyle name="Normal 9 3 2 4 2 2 3" xfId="24348" xr:uid="{F8782188-EFB1-4E5F-AE43-327E5E73D8B0}"/>
    <cellStyle name="Normal 9 3 2 4 2 2 4" xfId="15900" xr:uid="{E8CD31A8-6261-4E66-8B18-7490B0AD0409}"/>
    <cellStyle name="Normal 9 3 2 4 2 3" xfId="28571" xr:uid="{61F8F017-480F-48AC-8821-C06BDD229B44}"/>
    <cellStyle name="Normal 9 3 2 4 2 4" xfId="20130" xr:uid="{1176CD38-AAB4-45D8-ACC2-4D6D36F62B2B}"/>
    <cellStyle name="Normal 9 3 2 4 2 5" xfId="11682" xr:uid="{2B521696-8937-4826-8301-632CBA1359DB}"/>
    <cellStyle name="Normal 9 3 2 4 3" xfId="5305" xr:uid="{00000000-0005-0000-0000-0000EA1F0000}"/>
    <cellStyle name="Normal 9 3 2 4 3 2" xfId="30644" xr:uid="{E35CB62A-228B-4219-A829-749489E955C0}"/>
    <cellStyle name="Normal 9 3 2 4 3 3" xfId="22203" xr:uid="{0B8B41A4-22BB-4E87-92C9-6EC8B957A732}"/>
    <cellStyle name="Normal 9 3 2 4 3 4" xfId="13755" xr:uid="{9EB0CD64-D9DF-48DE-B2CA-1C67F7A23F9C}"/>
    <cellStyle name="Normal 9 3 2 4 4" xfId="26426" xr:uid="{30900EAA-27B4-4D9C-BCCD-C3061DE458FA}"/>
    <cellStyle name="Normal 9 3 2 4 5" xfId="17985" xr:uid="{B510D87A-47B3-4B60-9651-41676F748463}"/>
    <cellStyle name="Normal 9 3 2 4 6" xfId="9537" xr:uid="{83BF5628-AD30-4453-8E6A-CBD1DEDC0956}"/>
    <cellStyle name="Normal 9 3 2 5" xfId="1411" xr:uid="{00000000-0005-0000-0000-0000EB1F0000}"/>
    <cellStyle name="Normal 9 3 2 5 2" xfId="3641" xr:uid="{00000000-0005-0000-0000-0000EC1F0000}"/>
    <cellStyle name="Normal 9 3 2 5 2 2" xfId="7863" xr:uid="{00000000-0005-0000-0000-0000ED1F0000}"/>
    <cellStyle name="Normal 9 3 2 5 2 2 2" xfId="33202" xr:uid="{8DDB8CDD-7E76-4EF6-A996-2A7D26ACB580}"/>
    <cellStyle name="Normal 9 3 2 5 2 2 3" xfId="24761" xr:uid="{291CC257-39C5-4E27-87F3-ECF514D70B79}"/>
    <cellStyle name="Normal 9 3 2 5 2 2 4" xfId="16313" xr:uid="{634D1816-E68D-4878-9B5D-40A8BA8F1887}"/>
    <cellStyle name="Normal 9 3 2 5 2 3" xfId="28984" xr:uid="{68F6F02F-ACFE-4C34-B4FE-70657D873408}"/>
    <cellStyle name="Normal 9 3 2 5 2 4" xfId="20543" xr:uid="{CF2401B7-D484-426E-91C6-A56ECCCC27C0}"/>
    <cellStyle name="Normal 9 3 2 5 2 5" xfId="12095" xr:uid="{59AEB658-12FF-4361-B38C-28CDF9422D0A}"/>
    <cellStyle name="Normal 9 3 2 5 3" xfId="5718" xr:uid="{00000000-0005-0000-0000-0000EE1F0000}"/>
    <cellStyle name="Normal 9 3 2 5 3 2" xfId="31057" xr:uid="{03E60336-2ED7-4F9A-AA79-70D70864FBFC}"/>
    <cellStyle name="Normal 9 3 2 5 3 3" xfId="22616" xr:uid="{F62F6A73-033A-4EEA-BAD1-223ED99CC5B9}"/>
    <cellStyle name="Normal 9 3 2 5 3 4" xfId="14168" xr:uid="{4976FBBD-612B-40FB-9576-278FA7BC2F79}"/>
    <cellStyle name="Normal 9 3 2 5 4" xfId="26839" xr:uid="{3E5B92AB-B292-49CB-8741-022EF9928C74}"/>
    <cellStyle name="Normal 9 3 2 5 5" xfId="18398" xr:uid="{3CF10C16-D70C-48E3-B902-EF82560298FF}"/>
    <cellStyle name="Normal 9 3 2 5 6" xfId="9950" xr:uid="{3CD0B847-7A56-4C11-BD11-A84551969163}"/>
    <cellStyle name="Normal 9 3 2 6" xfId="1824" xr:uid="{00000000-0005-0000-0000-0000EF1F0000}"/>
    <cellStyle name="Normal 9 3 2 6 2" xfId="4054" xr:uid="{00000000-0005-0000-0000-0000F01F0000}"/>
    <cellStyle name="Normal 9 3 2 6 2 2" xfId="8276" xr:uid="{00000000-0005-0000-0000-0000F11F0000}"/>
    <cellStyle name="Normal 9 3 2 6 2 2 2" xfId="33615" xr:uid="{ED2CCDC2-3439-4C19-BB4F-165CB7324DBC}"/>
    <cellStyle name="Normal 9 3 2 6 2 2 3" xfId="25174" xr:uid="{04E3317C-F9EB-433F-9754-E29EF38999A5}"/>
    <cellStyle name="Normal 9 3 2 6 2 2 4" xfId="16726" xr:uid="{B17F9D80-C7A4-4AF1-8564-3129DDC4502C}"/>
    <cellStyle name="Normal 9 3 2 6 2 3" xfId="29397" xr:uid="{AE56FBE7-9ACD-4F19-BFD9-6218D3DD54D0}"/>
    <cellStyle name="Normal 9 3 2 6 2 4" xfId="20956" xr:uid="{1314D73A-529A-4BE3-9994-28AFE5259EA5}"/>
    <cellStyle name="Normal 9 3 2 6 2 5" xfId="12508" xr:uid="{4484ACAF-8A79-4AE7-9C24-95C46B0047B3}"/>
    <cellStyle name="Normal 9 3 2 6 3" xfId="6131" xr:uid="{00000000-0005-0000-0000-0000F21F0000}"/>
    <cellStyle name="Normal 9 3 2 6 3 2" xfId="31470" xr:uid="{38CC2FFA-6373-4267-9625-710E335C7671}"/>
    <cellStyle name="Normal 9 3 2 6 3 3" xfId="23029" xr:uid="{C03682BC-8E94-4B60-9C24-649395FB0DC6}"/>
    <cellStyle name="Normal 9 3 2 6 3 4" xfId="14581" xr:uid="{E1A7552E-55B2-470E-B2F6-DA2AF7ECB7EC}"/>
    <cellStyle name="Normal 9 3 2 6 4" xfId="27252" xr:uid="{1E463FDA-CA39-4A8B-801B-AF7E19900A82}"/>
    <cellStyle name="Normal 9 3 2 6 5" xfId="18811" xr:uid="{FF3561B1-A6CB-4E12-BB63-5BBA510AAB9F}"/>
    <cellStyle name="Normal 9 3 2 6 6" xfId="10363" xr:uid="{C93B70A8-A8CD-481B-84A2-9DF4B21E731E}"/>
    <cellStyle name="Normal 9 3 2 7" xfId="2238" xr:uid="{00000000-0005-0000-0000-0000F31F0000}"/>
    <cellStyle name="Normal 9 3 2 7 2" xfId="4467" xr:uid="{00000000-0005-0000-0000-0000F41F0000}"/>
    <cellStyle name="Normal 9 3 2 7 2 2" xfId="8689" xr:uid="{00000000-0005-0000-0000-0000F51F0000}"/>
    <cellStyle name="Normal 9 3 2 7 2 2 2" xfId="34028" xr:uid="{7D1282AF-6DEB-48B9-BDCB-73391151DAFE}"/>
    <cellStyle name="Normal 9 3 2 7 2 2 3" xfId="25587" xr:uid="{17885BD2-6A7A-48DC-BEFA-8DE3CFCC1357}"/>
    <cellStyle name="Normal 9 3 2 7 2 2 4" xfId="17139" xr:uid="{CBF3DB4C-801A-45E0-A11E-C11FE45F6C37}"/>
    <cellStyle name="Normal 9 3 2 7 2 3" xfId="29810" xr:uid="{38798104-2F59-4FC7-AD66-E33426D1E805}"/>
    <cellStyle name="Normal 9 3 2 7 2 4" xfId="21369" xr:uid="{C4A73949-BB7A-45F7-943C-52C5625CE62B}"/>
    <cellStyle name="Normal 9 3 2 7 2 5" xfId="12921" xr:uid="{A8E2EE42-2D73-4EF4-9CE7-0FB4286D7C5E}"/>
    <cellStyle name="Normal 9 3 2 7 3" xfId="6544" xr:uid="{00000000-0005-0000-0000-0000F61F0000}"/>
    <cellStyle name="Normal 9 3 2 7 3 2" xfId="31883" xr:uid="{9A6A42D2-18FB-493C-A5D7-2C408A025176}"/>
    <cellStyle name="Normal 9 3 2 7 3 3" xfId="23442" xr:uid="{F9F59674-28BE-4286-B97D-844D99BDA067}"/>
    <cellStyle name="Normal 9 3 2 7 3 4" xfId="14994" xr:uid="{AC5C2BA3-202D-4456-B8FF-97E0EA001E98}"/>
    <cellStyle name="Normal 9 3 2 7 4" xfId="27665" xr:uid="{858B9652-83D2-479E-9D67-26ED99A97B7C}"/>
    <cellStyle name="Normal 9 3 2 7 5" xfId="19224" xr:uid="{DE13D0E4-E6A9-4A00-BAFA-26823BD3E5E4}"/>
    <cellStyle name="Normal 9 3 2 7 6" xfId="10776" xr:uid="{AD5DC8FC-8967-4300-B351-CB15D5FC6181}"/>
    <cellStyle name="Normal 9 3 2 8" xfId="2674" xr:uid="{00000000-0005-0000-0000-0000F71F0000}"/>
    <cellStyle name="Normal 9 3 2 8 2" xfId="6957" xr:uid="{00000000-0005-0000-0000-0000F81F0000}"/>
    <cellStyle name="Normal 9 3 2 8 2 2" xfId="32296" xr:uid="{A01612E1-C681-48AA-95EC-4AF9EB2147E6}"/>
    <cellStyle name="Normal 9 3 2 8 2 3" xfId="23855" xr:uid="{5EAF9312-B787-4129-BD29-4B50D597371E}"/>
    <cellStyle name="Normal 9 3 2 8 2 4" xfId="15407" xr:uid="{D46DD462-10F1-4524-B408-AB5E83BE6E74}"/>
    <cellStyle name="Normal 9 3 2 8 3" xfId="28078" xr:uid="{840734BD-BE64-4A0F-BAE6-937B703CD2BB}"/>
    <cellStyle name="Normal 9 3 2 8 4" xfId="19637" xr:uid="{1BE20B18-502C-4011-AD26-F8A6DD7D359E}"/>
    <cellStyle name="Normal 9 3 2 8 5" xfId="11189" xr:uid="{86A03A8B-C3FC-4981-80B6-6B0680F974AC}"/>
    <cellStyle name="Normal 9 3 2 9" xfId="4892" xr:uid="{00000000-0005-0000-0000-0000F91F0000}"/>
    <cellStyle name="Normal 9 3 2 9 2" xfId="30231" xr:uid="{F9B5531B-4AE9-4C9F-BF5D-626FC8D3FA92}"/>
    <cellStyle name="Normal 9 3 2 9 3" xfId="21790" xr:uid="{D9DFF9F4-4093-41CF-91DE-DFF9A4D54DA3}"/>
    <cellStyle name="Normal 9 3 2 9 4" xfId="13342" xr:uid="{3B558C63-9312-4ADB-9B26-D9156797FB60}"/>
    <cellStyle name="Normal 9 3 3" xfId="532" xr:uid="{00000000-0005-0000-0000-0000FA1F0000}"/>
    <cellStyle name="Normal 9 3 3 10" xfId="17576" xr:uid="{4B062034-5C0C-4162-8017-4129FE79CE7F}"/>
    <cellStyle name="Normal 9 3 3 11" xfId="9128" xr:uid="{87026A40-2B60-4486-86B8-6951CEFAD12D}"/>
    <cellStyle name="Normal 9 3 3 2" xfId="533" xr:uid="{00000000-0005-0000-0000-0000FB1F0000}"/>
    <cellStyle name="Normal 9 3 3 2 10" xfId="9129" xr:uid="{9AD9278E-EA2C-40CA-A985-84979BBD1389}"/>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32794" xr:uid="{A07601DF-236E-4380-815A-659E8AE41427}"/>
    <cellStyle name="Normal 9 3 3 2 2 2 2 3" xfId="24353" xr:uid="{E38D05A8-8943-45F3-A0D7-AE85A5F8A7DA}"/>
    <cellStyle name="Normal 9 3 3 2 2 2 2 4" xfId="15905" xr:uid="{4414C6AD-5E8B-4746-8A09-B51D21025735}"/>
    <cellStyle name="Normal 9 3 3 2 2 2 3" xfId="28576" xr:uid="{4809F21F-A87C-43CA-9B03-77236F58EC98}"/>
    <cellStyle name="Normal 9 3 3 2 2 2 4" xfId="20135" xr:uid="{06CDA81B-3A85-44ED-B404-E5228A6A0254}"/>
    <cellStyle name="Normal 9 3 3 2 2 2 5" xfId="11687" xr:uid="{F67C93E1-349E-4597-AA28-0CC68BD54513}"/>
    <cellStyle name="Normal 9 3 3 2 2 3" xfId="5310" xr:uid="{00000000-0005-0000-0000-0000FF1F0000}"/>
    <cellStyle name="Normal 9 3 3 2 2 3 2" xfId="30649" xr:uid="{CCB329CD-F9D7-4043-AD5A-D7A7B78BE6D1}"/>
    <cellStyle name="Normal 9 3 3 2 2 3 3" xfId="22208" xr:uid="{A48809CE-1523-469A-BD55-09842BD3718F}"/>
    <cellStyle name="Normal 9 3 3 2 2 3 4" xfId="13760" xr:uid="{8F486444-55FC-47C9-B6E9-DD95DD58978E}"/>
    <cellStyle name="Normal 9 3 3 2 2 4" xfId="26431" xr:uid="{8009F9EC-89AB-453B-A731-2BEF9BC09A1A}"/>
    <cellStyle name="Normal 9 3 3 2 2 5" xfId="17990" xr:uid="{3B71C781-F61B-411E-89A5-11E2009B3DCB}"/>
    <cellStyle name="Normal 9 3 3 2 2 6" xfId="9542" xr:uid="{587F983E-9E77-43C3-B713-54E47F011FF9}"/>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33207" xr:uid="{1DF2837E-8AF8-4051-85D7-43E587F005C8}"/>
    <cellStyle name="Normal 9 3 3 2 3 2 2 3" xfId="24766" xr:uid="{C9A56A4D-6E86-412D-B92A-690A23270049}"/>
    <cellStyle name="Normal 9 3 3 2 3 2 2 4" xfId="16318" xr:uid="{DEEF2915-D760-43BB-B941-2F4FE799CC0C}"/>
    <cellStyle name="Normal 9 3 3 2 3 2 3" xfId="28989" xr:uid="{566519CD-445D-4009-B554-B53E001B989F}"/>
    <cellStyle name="Normal 9 3 3 2 3 2 4" xfId="20548" xr:uid="{77D666F5-E319-4B8E-9D9C-0304B0A501AA}"/>
    <cellStyle name="Normal 9 3 3 2 3 2 5" xfId="12100" xr:uid="{04DDC340-5DA9-4DD9-ACD1-7A93DF2309D6}"/>
    <cellStyle name="Normal 9 3 3 2 3 3" xfId="5723" xr:uid="{00000000-0005-0000-0000-000003200000}"/>
    <cellStyle name="Normal 9 3 3 2 3 3 2" xfId="31062" xr:uid="{CA2E714B-35C4-45E8-857F-507A96E5378C}"/>
    <cellStyle name="Normal 9 3 3 2 3 3 3" xfId="22621" xr:uid="{243FEEEB-FE57-4CE6-8640-A3108B94B74C}"/>
    <cellStyle name="Normal 9 3 3 2 3 3 4" xfId="14173" xr:uid="{FF7DB154-FDD8-43F2-B245-8D00C6150E05}"/>
    <cellStyle name="Normal 9 3 3 2 3 4" xfId="26844" xr:uid="{F1738AA3-A0C2-4E0C-A7C9-EF98EC630B7D}"/>
    <cellStyle name="Normal 9 3 3 2 3 5" xfId="18403" xr:uid="{5DAE3B05-0B55-41B1-9AD5-65F2BF0ECF2C}"/>
    <cellStyle name="Normal 9 3 3 2 3 6" xfId="9955" xr:uid="{B492CD3D-5430-4080-8337-E20EA19AFA95}"/>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33620" xr:uid="{DF491232-A6F7-4EE3-A4B1-64B24A3D9E68}"/>
    <cellStyle name="Normal 9 3 3 2 4 2 2 3" xfId="25179" xr:uid="{51647334-B601-4E8F-B32A-A7DF89F46F20}"/>
    <cellStyle name="Normal 9 3 3 2 4 2 2 4" xfId="16731" xr:uid="{9F8B73AE-E06A-4AD6-AAC2-1C9BAF2C9FAB}"/>
    <cellStyle name="Normal 9 3 3 2 4 2 3" xfId="29402" xr:uid="{ABAAF208-2A7A-4CB5-A057-BEA118C76EDD}"/>
    <cellStyle name="Normal 9 3 3 2 4 2 4" xfId="20961" xr:uid="{896B8277-738F-4BC3-A999-6AE1329764A9}"/>
    <cellStyle name="Normal 9 3 3 2 4 2 5" xfId="12513" xr:uid="{3955C02C-CB80-4537-94B4-B7FD2C7B9275}"/>
    <cellStyle name="Normal 9 3 3 2 4 3" xfId="6136" xr:uid="{00000000-0005-0000-0000-000007200000}"/>
    <cellStyle name="Normal 9 3 3 2 4 3 2" xfId="31475" xr:uid="{F7581A75-298A-4A75-8452-97706237171E}"/>
    <cellStyle name="Normal 9 3 3 2 4 3 3" xfId="23034" xr:uid="{53300A29-7840-4033-801D-0E927A6B0FA8}"/>
    <cellStyle name="Normal 9 3 3 2 4 3 4" xfId="14586" xr:uid="{2886A729-D591-4023-818A-A2A8744CC283}"/>
    <cellStyle name="Normal 9 3 3 2 4 4" xfId="27257" xr:uid="{6279BF3A-9628-4D57-93CE-870E18F937EA}"/>
    <cellStyle name="Normal 9 3 3 2 4 5" xfId="18816" xr:uid="{179002ED-B14C-4C67-BFA6-6AFB9D4C478A}"/>
    <cellStyle name="Normal 9 3 3 2 4 6" xfId="10368" xr:uid="{54DD3E3E-FF66-46F1-B3EB-28E25AD6778E}"/>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34033" xr:uid="{3B21D703-E0ED-48E8-BE60-E82331B2AFB9}"/>
    <cellStyle name="Normal 9 3 3 2 5 2 2 3" xfId="25592" xr:uid="{359E82AB-3B96-4E7C-9A0C-03806FBFDBC9}"/>
    <cellStyle name="Normal 9 3 3 2 5 2 2 4" xfId="17144" xr:uid="{6C931850-CE9E-4538-8D37-85FE525AFD09}"/>
    <cellStyle name="Normal 9 3 3 2 5 2 3" xfId="29815" xr:uid="{84B6FCD2-DB94-44EA-847C-A166CE7FDCBA}"/>
    <cellStyle name="Normal 9 3 3 2 5 2 4" xfId="21374" xr:uid="{54239F86-04B6-4606-A97E-E14DB167854B}"/>
    <cellStyle name="Normal 9 3 3 2 5 2 5" xfId="12926" xr:uid="{A550AA85-2827-4F29-8151-2F243DA7CE44}"/>
    <cellStyle name="Normal 9 3 3 2 5 3" xfId="6549" xr:uid="{00000000-0005-0000-0000-00000B200000}"/>
    <cellStyle name="Normal 9 3 3 2 5 3 2" xfId="31888" xr:uid="{8C6ABB0D-40B7-411D-9064-F856EDA8EAEF}"/>
    <cellStyle name="Normal 9 3 3 2 5 3 3" xfId="23447" xr:uid="{993FBE1F-5C99-4F18-88D7-F06C40F6A406}"/>
    <cellStyle name="Normal 9 3 3 2 5 3 4" xfId="14999" xr:uid="{18848F2F-3A8B-4E2B-BC38-F2DD0162A074}"/>
    <cellStyle name="Normal 9 3 3 2 5 4" xfId="27670" xr:uid="{5E8D1EB9-241B-4FCC-BE84-E205CD098D19}"/>
    <cellStyle name="Normal 9 3 3 2 5 5" xfId="19229" xr:uid="{5BA30C15-5D81-4929-93D2-CB71E9D33D3D}"/>
    <cellStyle name="Normal 9 3 3 2 5 6" xfId="10781" xr:uid="{21D3A787-6B5B-4F15-8D97-43509DDCE418}"/>
    <cellStyle name="Normal 9 3 3 2 6" xfId="2679" xr:uid="{00000000-0005-0000-0000-00000C200000}"/>
    <cellStyle name="Normal 9 3 3 2 6 2" xfId="6962" xr:uid="{00000000-0005-0000-0000-00000D200000}"/>
    <cellStyle name="Normal 9 3 3 2 6 2 2" xfId="32301" xr:uid="{C3057D38-28CB-49EB-8AB3-D8E666BB5911}"/>
    <cellStyle name="Normal 9 3 3 2 6 2 3" xfId="23860" xr:uid="{A3DB4E05-7D36-4A62-A0AD-5228090A3AD2}"/>
    <cellStyle name="Normal 9 3 3 2 6 2 4" xfId="15412" xr:uid="{3AE2A482-2F47-47B5-8113-79A9FA3615EC}"/>
    <cellStyle name="Normal 9 3 3 2 6 3" xfId="28083" xr:uid="{1A397681-35E0-4795-92A4-CF275C226C2A}"/>
    <cellStyle name="Normal 9 3 3 2 6 4" xfId="19642" xr:uid="{697ED993-589F-40E2-82A0-AE8DDE46F1D0}"/>
    <cellStyle name="Normal 9 3 3 2 6 5" xfId="11194" xr:uid="{78F2AFCB-77A2-4FDE-AA29-868DB7BFFA0F}"/>
    <cellStyle name="Normal 9 3 3 2 7" xfId="4897" xr:uid="{00000000-0005-0000-0000-00000E200000}"/>
    <cellStyle name="Normal 9 3 3 2 7 2" xfId="30236" xr:uid="{751E9651-FAC1-48B2-A776-2851FAA9498C}"/>
    <cellStyle name="Normal 9 3 3 2 7 3" xfId="21795" xr:uid="{86FB2290-44C2-4E82-BD53-BEA29076F944}"/>
    <cellStyle name="Normal 9 3 3 2 7 4" xfId="13347" xr:uid="{0737D1AF-3D95-471E-8045-D40CE73FDF12}"/>
    <cellStyle name="Normal 9 3 3 2 8" xfId="26018" xr:uid="{34CAB7C0-BDC9-4E85-9B98-C4F825CC13EA}"/>
    <cellStyle name="Normal 9 3 3 2 9" xfId="17577" xr:uid="{0D747C1C-0D63-4992-8E51-0D893ED335ED}"/>
    <cellStyle name="Normal 9 3 3 3" xfId="999" xr:uid="{00000000-0005-0000-0000-00000F200000}"/>
    <cellStyle name="Normal 9 3 3 3 2" xfId="3232" xr:uid="{00000000-0005-0000-0000-000010200000}"/>
    <cellStyle name="Normal 9 3 3 3 2 2" xfId="7454" xr:uid="{00000000-0005-0000-0000-000011200000}"/>
    <cellStyle name="Normal 9 3 3 3 2 2 2" xfId="32793" xr:uid="{1FA7EBA6-134B-4A6F-B385-A5BD8A14396D}"/>
    <cellStyle name="Normal 9 3 3 3 2 2 3" xfId="24352" xr:uid="{8844EC0D-896D-4716-8C78-3BC23EB8B2C5}"/>
    <cellStyle name="Normal 9 3 3 3 2 2 4" xfId="15904" xr:uid="{238CCA6D-AC04-4813-B979-6E6F95E56ECE}"/>
    <cellStyle name="Normal 9 3 3 3 2 3" xfId="28575" xr:uid="{1CC2175D-38DD-4E63-9CEB-97297001087D}"/>
    <cellStyle name="Normal 9 3 3 3 2 4" xfId="20134" xr:uid="{B6F7C312-84C6-4824-A7A0-94FEF616A394}"/>
    <cellStyle name="Normal 9 3 3 3 2 5" xfId="11686" xr:uid="{A1451C25-49F1-403D-B3F2-C33072453B7C}"/>
    <cellStyle name="Normal 9 3 3 3 3" xfId="5309" xr:uid="{00000000-0005-0000-0000-000012200000}"/>
    <cellStyle name="Normal 9 3 3 3 3 2" xfId="30648" xr:uid="{918A0075-8B96-4C80-9534-7B70BDE611AB}"/>
    <cellStyle name="Normal 9 3 3 3 3 3" xfId="22207" xr:uid="{9E0CC13F-EF66-4E90-9640-F9CD82DF6EB6}"/>
    <cellStyle name="Normal 9 3 3 3 3 4" xfId="13759" xr:uid="{5BE485A0-28AE-42FD-904D-E35E9A22985E}"/>
    <cellStyle name="Normal 9 3 3 3 4" xfId="26430" xr:uid="{B156EE5F-2D86-4F42-952F-D238E09E8AF3}"/>
    <cellStyle name="Normal 9 3 3 3 5" xfId="17989" xr:uid="{9EEA3A9D-515D-407D-BD60-00B130F52B08}"/>
    <cellStyle name="Normal 9 3 3 3 6" xfId="9541" xr:uid="{4DCC04F2-3DA3-48E3-B42D-3B053B4DD689}"/>
    <cellStyle name="Normal 9 3 3 4" xfId="1415" xr:uid="{00000000-0005-0000-0000-000013200000}"/>
    <cellStyle name="Normal 9 3 3 4 2" xfId="3645" xr:uid="{00000000-0005-0000-0000-000014200000}"/>
    <cellStyle name="Normal 9 3 3 4 2 2" xfId="7867" xr:uid="{00000000-0005-0000-0000-000015200000}"/>
    <cellStyle name="Normal 9 3 3 4 2 2 2" xfId="33206" xr:uid="{410E5794-FD8F-4AC9-8ACE-103EE68BC353}"/>
    <cellStyle name="Normal 9 3 3 4 2 2 3" xfId="24765" xr:uid="{628732B3-0CD4-4327-A872-7C8883EDC398}"/>
    <cellStyle name="Normal 9 3 3 4 2 2 4" xfId="16317" xr:uid="{ADC09D4B-8C4E-4ED3-8372-6938A0583650}"/>
    <cellStyle name="Normal 9 3 3 4 2 3" xfId="28988" xr:uid="{A765910A-393A-41CF-B200-8BC58BD16A48}"/>
    <cellStyle name="Normal 9 3 3 4 2 4" xfId="20547" xr:uid="{B7C5A3A6-2567-4AD8-BC60-09BBA8F5F956}"/>
    <cellStyle name="Normal 9 3 3 4 2 5" xfId="12099" xr:uid="{665FC08D-6122-40B9-ABB1-2EBF726B3AC8}"/>
    <cellStyle name="Normal 9 3 3 4 3" xfId="5722" xr:uid="{00000000-0005-0000-0000-000016200000}"/>
    <cellStyle name="Normal 9 3 3 4 3 2" xfId="31061" xr:uid="{FC2C9F88-3403-4F6A-BC0C-7144F3728FE7}"/>
    <cellStyle name="Normal 9 3 3 4 3 3" xfId="22620" xr:uid="{F1240656-6151-4834-BA2A-4FD801CD448D}"/>
    <cellStyle name="Normal 9 3 3 4 3 4" xfId="14172" xr:uid="{CEA6DF50-6642-4769-8676-7BDCBA1CA043}"/>
    <cellStyle name="Normal 9 3 3 4 4" xfId="26843" xr:uid="{52AEE5AE-27E2-44CF-991A-6D3F9E56F617}"/>
    <cellStyle name="Normal 9 3 3 4 5" xfId="18402" xr:uid="{C98A9823-FAFE-44EA-A5B0-3217C7DD85D4}"/>
    <cellStyle name="Normal 9 3 3 4 6" xfId="9954" xr:uid="{D21A8812-18E9-436C-9B63-072109CB283F}"/>
    <cellStyle name="Normal 9 3 3 5" xfId="1828" xr:uid="{00000000-0005-0000-0000-000017200000}"/>
    <cellStyle name="Normal 9 3 3 5 2" xfId="4058" xr:uid="{00000000-0005-0000-0000-000018200000}"/>
    <cellStyle name="Normal 9 3 3 5 2 2" xfId="8280" xr:uid="{00000000-0005-0000-0000-000019200000}"/>
    <cellStyle name="Normal 9 3 3 5 2 2 2" xfId="33619" xr:uid="{ADE682A0-4003-4AF5-993F-BE9602A165EC}"/>
    <cellStyle name="Normal 9 3 3 5 2 2 3" xfId="25178" xr:uid="{95D6D13B-49F1-4BB7-B5AA-476F73AA1E87}"/>
    <cellStyle name="Normal 9 3 3 5 2 2 4" xfId="16730" xr:uid="{A423877A-941A-4A9C-83CA-7AF8EF274DCA}"/>
    <cellStyle name="Normal 9 3 3 5 2 3" xfId="29401" xr:uid="{8BAF2C2F-376D-43D8-99BC-2B1B25D7B727}"/>
    <cellStyle name="Normal 9 3 3 5 2 4" xfId="20960" xr:uid="{A6D103A0-F2B8-4B04-86AB-6A12CCD33466}"/>
    <cellStyle name="Normal 9 3 3 5 2 5" xfId="12512" xr:uid="{3ED25E66-EA79-49C1-9B4F-C71B2E915E31}"/>
    <cellStyle name="Normal 9 3 3 5 3" xfId="6135" xr:uid="{00000000-0005-0000-0000-00001A200000}"/>
    <cellStyle name="Normal 9 3 3 5 3 2" xfId="31474" xr:uid="{3BE4DB9F-3926-46EC-BEE2-EF01A55ED725}"/>
    <cellStyle name="Normal 9 3 3 5 3 3" xfId="23033" xr:uid="{5B61F8F2-9341-4FC6-AACF-7C4E6C622958}"/>
    <cellStyle name="Normal 9 3 3 5 3 4" xfId="14585" xr:uid="{A700E84D-1051-4D4B-96A5-2E7F8DD53EDF}"/>
    <cellStyle name="Normal 9 3 3 5 4" xfId="27256" xr:uid="{D499C4B6-3259-4401-B3BB-610F362D2D55}"/>
    <cellStyle name="Normal 9 3 3 5 5" xfId="18815" xr:uid="{6E0C54CC-E5E2-4E39-BEAC-FB5375ACDD85}"/>
    <cellStyle name="Normal 9 3 3 5 6" xfId="10367" xr:uid="{D90220B5-B1D5-4D08-9DEE-46653C34F3DE}"/>
    <cellStyle name="Normal 9 3 3 6" xfId="2242" xr:uid="{00000000-0005-0000-0000-00001B200000}"/>
    <cellStyle name="Normal 9 3 3 6 2" xfId="4471" xr:uid="{00000000-0005-0000-0000-00001C200000}"/>
    <cellStyle name="Normal 9 3 3 6 2 2" xfId="8693" xr:uid="{00000000-0005-0000-0000-00001D200000}"/>
    <cellStyle name="Normal 9 3 3 6 2 2 2" xfId="34032" xr:uid="{106A7697-F41B-4435-A328-6E7453BABB0C}"/>
    <cellStyle name="Normal 9 3 3 6 2 2 3" xfId="25591" xr:uid="{48E5B4FD-C43D-46D2-B8B4-A943AE537B2D}"/>
    <cellStyle name="Normal 9 3 3 6 2 2 4" xfId="17143" xr:uid="{426832A7-3002-43CB-9E65-BACDD9655960}"/>
    <cellStyle name="Normal 9 3 3 6 2 3" xfId="29814" xr:uid="{88F6AD8C-C0D1-4C9A-8F6E-A89A1C0B7238}"/>
    <cellStyle name="Normal 9 3 3 6 2 4" xfId="21373" xr:uid="{7C0DA526-963E-472F-90AB-834A96C77635}"/>
    <cellStyle name="Normal 9 3 3 6 2 5" xfId="12925" xr:uid="{EC993A1B-6766-4455-9931-00EEB19A83F2}"/>
    <cellStyle name="Normal 9 3 3 6 3" xfId="6548" xr:uid="{00000000-0005-0000-0000-00001E200000}"/>
    <cellStyle name="Normal 9 3 3 6 3 2" xfId="31887" xr:uid="{254E879F-7F04-4271-A883-50F6928D9E36}"/>
    <cellStyle name="Normal 9 3 3 6 3 3" xfId="23446" xr:uid="{7046C6A3-6BC2-4DAD-85D2-DCF78B30DF2D}"/>
    <cellStyle name="Normal 9 3 3 6 3 4" xfId="14998" xr:uid="{4ED1008C-E456-468C-9AEC-9A9DEE74D14B}"/>
    <cellStyle name="Normal 9 3 3 6 4" xfId="27669" xr:uid="{FE6B0775-B42D-4676-A35E-4C8B2A6B054D}"/>
    <cellStyle name="Normal 9 3 3 6 5" xfId="19228" xr:uid="{22010A0D-EDE0-41CE-B628-899A19AA4233}"/>
    <cellStyle name="Normal 9 3 3 6 6" xfId="10780" xr:uid="{14673BAF-2B6C-4143-8CA9-70FC39F3ADD6}"/>
    <cellStyle name="Normal 9 3 3 7" xfId="2678" xr:uid="{00000000-0005-0000-0000-00001F200000}"/>
    <cellStyle name="Normal 9 3 3 7 2" xfId="6961" xr:uid="{00000000-0005-0000-0000-000020200000}"/>
    <cellStyle name="Normal 9 3 3 7 2 2" xfId="32300" xr:uid="{B3E059C6-3D93-4C6C-B8CE-D86FD6A6E715}"/>
    <cellStyle name="Normal 9 3 3 7 2 3" xfId="23859" xr:uid="{5123203A-3F6F-4D2E-AE3C-021CEC603A05}"/>
    <cellStyle name="Normal 9 3 3 7 2 4" xfId="15411" xr:uid="{D383D8A0-3659-4B39-9877-157433FC3EA1}"/>
    <cellStyle name="Normal 9 3 3 7 3" xfId="28082" xr:uid="{A5F8C917-26E4-492A-91D5-138DB31569F3}"/>
    <cellStyle name="Normal 9 3 3 7 4" xfId="19641" xr:uid="{F2E6B3A9-F610-4E31-8AD4-9BCF3986B68F}"/>
    <cellStyle name="Normal 9 3 3 7 5" xfId="11193" xr:uid="{B77A8B14-FD68-44A1-9F28-B087598E3DE4}"/>
    <cellStyle name="Normal 9 3 3 8" xfId="4896" xr:uid="{00000000-0005-0000-0000-000021200000}"/>
    <cellStyle name="Normal 9 3 3 8 2" xfId="30235" xr:uid="{4152E2F7-6FDC-46AD-8B93-8201080ED4B4}"/>
    <cellStyle name="Normal 9 3 3 8 3" xfId="21794" xr:uid="{055BB745-A580-49B4-984E-7E653355CB03}"/>
    <cellStyle name="Normal 9 3 3 8 4" xfId="13346" xr:uid="{3BACD278-745A-4E36-93F0-2BAEBF12422A}"/>
    <cellStyle name="Normal 9 3 3 9" xfId="26017" xr:uid="{9243EC6C-3D08-4FAF-88EB-759737241350}"/>
    <cellStyle name="Normal 9 3 4" xfId="534" xr:uid="{00000000-0005-0000-0000-000022200000}"/>
    <cellStyle name="Normal 9 3 4 10" xfId="9130" xr:uid="{2399C447-3F68-4920-AA1E-674838B8CE06}"/>
    <cellStyle name="Normal 9 3 4 2" xfId="1001" xr:uid="{00000000-0005-0000-0000-000023200000}"/>
    <cellStyle name="Normal 9 3 4 2 2" xfId="3234" xr:uid="{00000000-0005-0000-0000-000024200000}"/>
    <cellStyle name="Normal 9 3 4 2 2 2" xfId="7456" xr:uid="{00000000-0005-0000-0000-000025200000}"/>
    <cellStyle name="Normal 9 3 4 2 2 2 2" xfId="32795" xr:uid="{88F7DE2A-D7AD-4F92-BD59-84A6D15F9808}"/>
    <cellStyle name="Normal 9 3 4 2 2 2 3" xfId="24354" xr:uid="{E875DED9-4E90-4E0D-BB22-E1015CE8AC46}"/>
    <cellStyle name="Normal 9 3 4 2 2 2 4" xfId="15906" xr:uid="{27171D8B-6AAC-4655-87FE-F28FD9F09A89}"/>
    <cellStyle name="Normal 9 3 4 2 2 3" xfId="28577" xr:uid="{421756BD-1156-4751-891B-21FBC21DCFB0}"/>
    <cellStyle name="Normal 9 3 4 2 2 4" xfId="20136" xr:uid="{2DD8993B-7176-481B-8C46-3D8146BD9577}"/>
    <cellStyle name="Normal 9 3 4 2 2 5" xfId="11688" xr:uid="{ACF95693-4BE1-4457-B356-59247383A463}"/>
    <cellStyle name="Normal 9 3 4 2 3" xfId="5311" xr:uid="{00000000-0005-0000-0000-000026200000}"/>
    <cellStyle name="Normal 9 3 4 2 3 2" xfId="30650" xr:uid="{B3B8096D-E18F-4EE2-A803-825076ADA3D5}"/>
    <cellStyle name="Normal 9 3 4 2 3 3" xfId="22209" xr:uid="{63883039-67C5-47F5-AFF5-93F4E2ABC1B9}"/>
    <cellStyle name="Normal 9 3 4 2 3 4" xfId="13761" xr:uid="{5E8AB869-CE8A-4A58-BA8F-76FA89D2DFBE}"/>
    <cellStyle name="Normal 9 3 4 2 4" xfId="26432" xr:uid="{5ED5ED09-288C-4A8B-8BD8-CA548FE64F25}"/>
    <cellStyle name="Normal 9 3 4 2 5" xfId="17991" xr:uid="{A9ADEA1E-7DA6-4820-9B54-58C3515A2665}"/>
    <cellStyle name="Normal 9 3 4 2 6" xfId="9543" xr:uid="{9C67BC5A-4233-42F3-9924-CA6ECC6E1715}"/>
    <cellStyle name="Normal 9 3 4 3" xfId="1417" xr:uid="{00000000-0005-0000-0000-000027200000}"/>
    <cellStyle name="Normal 9 3 4 3 2" xfId="3647" xr:uid="{00000000-0005-0000-0000-000028200000}"/>
    <cellStyle name="Normal 9 3 4 3 2 2" xfId="7869" xr:uid="{00000000-0005-0000-0000-000029200000}"/>
    <cellStyle name="Normal 9 3 4 3 2 2 2" xfId="33208" xr:uid="{0A602FE7-1BBC-4B87-9FA4-3CAFD8242768}"/>
    <cellStyle name="Normal 9 3 4 3 2 2 3" xfId="24767" xr:uid="{8DADD59E-D5FA-43C8-9EE4-BF3989BDE2AD}"/>
    <cellStyle name="Normal 9 3 4 3 2 2 4" xfId="16319" xr:uid="{FE513F0C-4696-4374-9E92-426243E99DA3}"/>
    <cellStyle name="Normal 9 3 4 3 2 3" xfId="28990" xr:uid="{A991547E-7825-4C79-BD43-9077A9D6F09D}"/>
    <cellStyle name="Normal 9 3 4 3 2 4" xfId="20549" xr:uid="{636B7D41-DAD5-4C58-9B6C-E67AE8390362}"/>
    <cellStyle name="Normal 9 3 4 3 2 5" xfId="12101" xr:uid="{01CC9C70-4D8D-4F3D-88FA-D2EBA4FFF57C}"/>
    <cellStyle name="Normal 9 3 4 3 3" xfId="5724" xr:uid="{00000000-0005-0000-0000-00002A200000}"/>
    <cellStyle name="Normal 9 3 4 3 3 2" xfId="31063" xr:uid="{3E414F83-90FF-4D49-9F68-84D13102616D}"/>
    <cellStyle name="Normal 9 3 4 3 3 3" xfId="22622" xr:uid="{5BC45777-E740-46C8-A2A6-9F7EC661837A}"/>
    <cellStyle name="Normal 9 3 4 3 3 4" xfId="14174" xr:uid="{C309B75F-28E6-4093-8E9F-C9B89E78ED01}"/>
    <cellStyle name="Normal 9 3 4 3 4" xfId="26845" xr:uid="{B0F06B1F-D213-4D05-BD89-FAB304690772}"/>
    <cellStyle name="Normal 9 3 4 3 5" xfId="18404" xr:uid="{0FDBC66A-EE76-4C42-9BB7-6F32A48EB2FC}"/>
    <cellStyle name="Normal 9 3 4 3 6" xfId="9956" xr:uid="{0C7A62BA-7739-4177-852A-244ED242D303}"/>
    <cellStyle name="Normal 9 3 4 4" xfId="1830" xr:uid="{00000000-0005-0000-0000-00002B200000}"/>
    <cellStyle name="Normal 9 3 4 4 2" xfId="4060" xr:uid="{00000000-0005-0000-0000-00002C200000}"/>
    <cellStyle name="Normal 9 3 4 4 2 2" xfId="8282" xr:uid="{00000000-0005-0000-0000-00002D200000}"/>
    <cellStyle name="Normal 9 3 4 4 2 2 2" xfId="33621" xr:uid="{5E9912D4-08D3-468D-99A3-7AE9F8632861}"/>
    <cellStyle name="Normal 9 3 4 4 2 2 3" xfId="25180" xr:uid="{DF02FF77-E6A5-46AD-8E61-03317714CF57}"/>
    <cellStyle name="Normal 9 3 4 4 2 2 4" xfId="16732" xr:uid="{3D12E3EA-3473-4355-961A-759172AC908F}"/>
    <cellStyle name="Normal 9 3 4 4 2 3" xfId="29403" xr:uid="{43107523-2B78-4BBE-A345-B5F42EEA2F58}"/>
    <cellStyle name="Normal 9 3 4 4 2 4" xfId="20962" xr:uid="{1807BE31-80C6-4D0B-9B1C-6A4957D51DF7}"/>
    <cellStyle name="Normal 9 3 4 4 2 5" xfId="12514" xr:uid="{8E79D193-A3F3-41E8-BFAC-B74A74CE76C6}"/>
    <cellStyle name="Normal 9 3 4 4 3" xfId="6137" xr:uid="{00000000-0005-0000-0000-00002E200000}"/>
    <cellStyle name="Normal 9 3 4 4 3 2" xfId="31476" xr:uid="{8BF4F890-186E-444E-94B9-47A14F23FDAA}"/>
    <cellStyle name="Normal 9 3 4 4 3 3" xfId="23035" xr:uid="{CDE41129-E794-4E02-B22F-F4865FDF9C67}"/>
    <cellStyle name="Normal 9 3 4 4 3 4" xfId="14587" xr:uid="{9BD3E2B7-6C53-4FDA-B2C6-B274E0A4F848}"/>
    <cellStyle name="Normal 9 3 4 4 4" xfId="27258" xr:uid="{E5743181-5126-4719-A6BC-602C35C6C1EC}"/>
    <cellStyle name="Normal 9 3 4 4 5" xfId="18817" xr:uid="{704A6CC7-0B9D-4EAC-BC15-ECAA2C87C0D2}"/>
    <cellStyle name="Normal 9 3 4 4 6" xfId="10369" xr:uid="{64678725-8BF6-4FB1-8381-2BA7D516C4CC}"/>
    <cellStyle name="Normal 9 3 4 5" xfId="2244" xr:uid="{00000000-0005-0000-0000-00002F200000}"/>
    <cellStyle name="Normal 9 3 4 5 2" xfId="4473" xr:uid="{00000000-0005-0000-0000-000030200000}"/>
    <cellStyle name="Normal 9 3 4 5 2 2" xfId="8695" xr:uid="{00000000-0005-0000-0000-000031200000}"/>
    <cellStyle name="Normal 9 3 4 5 2 2 2" xfId="34034" xr:uid="{42F1B7C0-59A3-4E60-80A9-22D8FA792CA6}"/>
    <cellStyle name="Normal 9 3 4 5 2 2 3" xfId="25593" xr:uid="{25C21163-7078-4ADF-8F02-CA1807E4035F}"/>
    <cellStyle name="Normal 9 3 4 5 2 2 4" xfId="17145" xr:uid="{E51B6EED-726C-4D25-AF0F-58E098874527}"/>
    <cellStyle name="Normal 9 3 4 5 2 3" xfId="29816" xr:uid="{8AB5D47B-A821-45CA-AC11-CF6B0813C4BA}"/>
    <cellStyle name="Normal 9 3 4 5 2 4" xfId="21375" xr:uid="{FAC13A01-1BFA-4D94-BA6F-6A1A1271C3A5}"/>
    <cellStyle name="Normal 9 3 4 5 2 5" xfId="12927" xr:uid="{0197E614-1C89-4F51-AD6F-9BBDA2960AC7}"/>
    <cellStyle name="Normal 9 3 4 5 3" xfId="6550" xr:uid="{00000000-0005-0000-0000-000032200000}"/>
    <cellStyle name="Normal 9 3 4 5 3 2" xfId="31889" xr:uid="{E710E01B-8CC6-47CB-AD84-663DFB9463F8}"/>
    <cellStyle name="Normal 9 3 4 5 3 3" xfId="23448" xr:uid="{903653BD-2AB3-4B16-9A79-88227DC3C9F7}"/>
    <cellStyle name="Normal 9 3 4 5 3 4" xfId="15000" xr:uid="{D56E7398-A321-49D4-9ABC-A05B20CAB5AE}"/>
    <cellStyle name="Normal 9 3 4 5 4" xfId="27671" xr:uid="{756BCF81-8AE3-430E-81B3-7E0ADDF4E48E}"/>
    <cellStyle name="Normal 9 3 4 5 5" xfId="19230" xr:uid="{3C54E714-B464-45B8-A4A0-CF7ADD2722F5}"/>
    <cellStyle name="Normal 9 3 4 5 6" xfId="10782" xr:uid="{3BBFEE5D-F508-4298-861C-90EDF8E88858}"/>
    <cellStyle name="Normal 9 3 4 6" xfId="2680" xr:uid="{00000000-0005-0000-0000-000033200000}"/>
    <cellStyle name="Normal 9 3 4 6 2" xfId="6963" xr:uid="{00000000-0005-0000-0000-000034200000}"/>
    <cellStyle name="Normal 9 3 4 6 2 2" xfId="32302" xr:uid="{BF733F32-54D6-4AE3-99B9-4B56F0CA60E7}"/>
    <cellStyle name="Normal 9 3 4 6 2 3" xfId="23861" xr:uid="{C343C2AE-ADE6-497B-8DC4-10422BE69C41}"/>
    <cellStyle name="Normal 9 3 4 6 2 4" xfId="15413" xr:uid="{2E0AFDCA-BC1F-4FFC-8F02-D65F25555606}"/>
    <cellStyle name="Normal 9 3 4 6 3" xfId="28084" xr:uid="{6E13CF72-6E10-4061-899E-8DCECCC6A533}"/>
    <cellStyle name="Normal 9 3 4 6 4" xfId="19643" xr:uid="{F9C3515D-1F27-4B7F-9067-5697297DFA46}"/>
    <cellStyle name="Normal 9 3 4 6 5" xfId="11195" xr:uid="{797F51B4-0CB7-496C-975D-A349ED7C6B2A}"/>
    <cellStyle name="Normal 9 3 4 7" xfId="4898" xr:uid="{00000000-0005-0000-0000-000035200000}"/>
    <cellStyle name="Normal 9 3 4 7 2" xfId="30237" xr:uid="{58CEC59B-7C9C-40DB-AF94-C3F454AE388C}"/>
    <cellStyle name="Normal 9 3 4 7 3" xfId="21796" xr:uid="{8F89450D-8C9E-452F-BB45-758CEBF7458C}"/>
    <cellStyle name="Normal 9 3 4 7 4" xfId="13348" xr:uid="{108D7D67-0D83-44E9-AD76-6D8DD2406C9D}"/>
    <cellStyle name="Normal 9 3 4 8" xfId="26019" xr:uid="{D92AEE1B-50A4-4690-8673-19E936D4374D}"/>
    <cellStyle name="Normal 9 3 4 9" xfId="17578" xr:uid="{1A81F54F-BAD0-498E-9B65-A83DBFB5F24E}"/>
    <cellStyle name="Normal 9 3 5" xfId="994" xr:uid="{00000000-0005-0000-0000-000036200000}"/>
    <cellStyle name="Normal 9 3 5 2" xfId="3227" xr:uid="{00000000-0005-0000-0000-000037200000}"/>
    <cellStyle name="Normal 9 3 5 2 2" xfId="7449" xr:uid="{00000000-0005-0000-0000-000038200000}"/>
    <cellStyle name="Normal 9 3 5 2 2 2" xfId="32788" xr:uid="{447283A4-7C01-4820-AD94-230E7F114DC1}"/>
    <cellStyle name="Normal 9 3 5 2 2 3" xfId="24347" xr:uid="{6AE7D6F6-D579-4353-81D2-6C579C8B9698}"/>
    <cellStyle name="Normal 9 3 5 2 2 4" xfId="15899" xr:uid="{F06C875B-0C79-41CF-808C-051862C6EB2E}"/>
    <cellStyle name="Normal 9 3 5 2 3" xfId="28570" xr:uid="{CE25BC60-C591-447E-9D5C-8EBC6A3C917E}"/>
    <cellStyle name="Normal 9 3 5 2 4" xfId="20129" xr:uid="{8E9A7B1F-213F-4EBA-B2B1-6658AC8AC01C}"/>
    <cellStyle name="Normal 9 3 5 2 5" xfId="11681" xr:uid="{5418D959-D6E4-46D5-9384-2522F15C2EC6}"/>
    <cellStyle name="Normal 9 3 5 3" xfId="5304" xr:uid="{00000000-0005-0000-0000-000039200000}"/>
    <cellStyle name="Normal 9 3 5 3 2" xfId="30643" xr:uid="{D32730E2-37C7-4E3A-9690-09BA82837DEE}"/>
    <cellStyle name="Normal 9 3 5 3 3" xfId="22202" xr:uid="{FF1879C0-BFA9-4C2C-B48C-9056B90F1788}"/>
    <cellStyle name="Normal 9 3 5 3 4" xfId="13754" xr:uid="{DE154855-A017-4963-BA79-DAD14B6105EC}"/>
    <cellStyle name="Normal 9 3 5 4" xfId="26425" xr:uid="{865EE87B-3EF2-4047-97E1-2864F780E9F1}"/>
    <cellStyle name="Normal 9 3 5 5" xfId="17984" xr:uid="{ED4D2E78-07C2-4EA6-9E47-303F89823CE9}"/>
    <cellStyle name="Normal 9 3 5 6" xfId="9536" xr:uid="{DA7B4945-F768-45E8-9105-DD8A551D917B}"/>
    <cellStyle name="Normal 9 3 6" xfId="1410" xr:uid="{00000000-0005-0000-0000-00003A200000}"/>
    <cellStyle name="Normal 9 3 6 2" xfId="3640" xr:uid="{00000000-0005-0000-0000-00003B200000}"/>
    <cellStyle name="Normal 9 3 6 2 2" xfId="7862" xr:uid="{00000000-0005-0000-0000-00003C200000}"/>
    <cellStyle name="Normal 9 3 6 2 2 2" xfId="33201" xr:uid="{636C4527-4E3C-4C15-840C-7A84CA73009A}"/>
    <cellStyle name="Normal 9 3 6 2 2 3" xfId="24760" xr:uid="{6197260D-7E3B-4131-9A0F-E31AC58FFD55}"/>
    <cellStyle name="Normal 9 3 6 2 2 4" xfId="16312" xr:uid="{B23F19BB-D7CC-452A-A2D4-DAFCEA9610FC}"/>
    <cellStyle name="Normal 9 3 6 2 3" xfId="28983" xr:uid="{DBF5973A-2002-4571-A9CC-003BA5D4EDCC}"/>
    <cellStyle name="Normal 9 3 6 2 4" xfId="20542" xr:uid="{0D7FD41A-6BFF-4290-8973-40EA84936E1B}"/>
    <cellStyle name="Normal 9 3 6 2 5" xfId="12094" xr:uid="{1AC2CF4A-DA43-4FD5-81CC-3C22F2F16C05}"/>
    <cellStyle name="Normal 9 3 6 3" xfId="5717" xr:uid="{00000000-0005-0000-0000-00003D200000}"/>
    <cellStyle name="Normal 9 3 6 3 2" xfId="31056" xr:uid="{FED3828E-8559-4014-B707-3202575B9A44}"/>
    <cellStyle name="Normal 9 3 6 3 3" xfId="22615" xr:uid="{0B9CB3B6-A2BF-4C2D-8B56-3AD74A1F06DC}"/>
    <cellStyle name="Normal 9 3 6 3 4" xfId="14167" xr:uid="{32A695DE-33E2-4A92-812D-FB2A841E4E3A}"/>
    <cellStyle name="Normal 9 3 6 4" xfId="26838" xr:uid="{55294589-233D-4E07-BD2D-63D5F58CA35A}"/>
    <cellStyle name="Normal 9 3 6 5" xfId="18397" xr:uid="{89AF31C5-14B2-470F-AF80-ACB50984CA0F}"/>
    <cellStyle name="Normal 9 3 6 6" xfId="9949" xr:uid="{8C4FEA35-53EA-4E4C-AB63-4E7EEA9EA611}"/>
    <cellStyle name="Normal 9 3 7" xfId="1823" xr:uid="{00000000-0005-0000-0000-00003E200000}"/>
    <cellStyle name="Normal 9 3 7 2" xfId="4053" xr:uid="{00000000-0005-0000-0000-00003F200000}"/>
    <cellStyle name="Normal 9 3 7 2 2" xfId="8275" xr:uid="{00000000-0005-0000-0000-000040200000}"/>
    <cellStyle name="Normal 9 3 7 2 2 2" xfId="33614" xr:uid="{8796CC14-FB14-4575-85DE-F9461FD5C0BD}"/>
    <cellStyle name="Normal 9 3 7 2 2 3" xfId="25173" xr:uid="{2DAC0F1B-B821-4CF2-86E3-B643E2A7E9B6}"/>
    <cellStyle name="Normal 9 3 7 2 2 4" xfId="16725" xr:uid="{A3E51A5B-A893-485D-817F-624288F28D52}"/>
    <cellStyle name="Normal 9 3 7 2 3" xfId="29396" xr:uid="{0E3B9370-A4EF-4686-A1B1-91247FC92A7C}"/>
    <cellStyle name="Normal 9 3 7 2 4" xfId="20955" xr:uid="{57FD5B11-26FC-41AA-AAA1-939209E8924B}"/>
    <cellStyle name="Normal 9 3 7 2 5" xfId="12507" xr:uid="{65A22945-E9F6-430B-A36F-AA8F5F9039D6}"/>
    <cellStyle name="Normal 9 3 7 3" xfId="6130" xr:uid="{00000000-0005-0000-0000-000041200000}"/>
    <cellStyle name="Normal 9 3 7 3 2" xfId="31469" xr:uid="{E74A8845-93D6-4514-A435-B2129676E3C4}"/>
    <cellStyle name="Normal 9 3 7 3 3" xfId="23028" xr:uid="{EE4B24E8-E563-4D26-B971-2E5349EBE44E}"/>
    <cellStyle name="Normal 9 3 7 3 4" xfId="14580" xr:uid="{F7F27EE7-0570-4953-A992-D2609DDA395F}"/>
    <cellStyle name="Normal 9 3 7 4" xfId="27251" xr:uid="{E580CEDA-8C3F-473C-9CC0-F688254EE370}"/>
    <cellStyle name="Normal 9 3 7 5" xfId="18810" xr:uid="{7657EEB5-8380-4695-BCC0-D069CF424064}"/>
    <cellStyle name="Normal 9 3 7 6" xfId="10362" xr:uid="{7E8A971D-3282-4525-90E2-7E32C0BFDFD6}"/>
    <cellStyle name="Normal 9 3 8" xfId="2237" xr:uid="{00000000-0005-0000-0000-000042200000}"/>
    <cellStyle name="Normal 9 3 8 2" xfId="4466" xr:uid="{00000000-0005-0000-0000-000043200000}"/>
    <cellStyle name="Normal 9 3 8 2 2" xfId="8688" xr:uid="{00000000-0005-0000-0000-000044200000}"/>
    <cellStyle name="Normal 9 3 8 2 2 2" xfId="34027" xr:uid="{FA156412-8F1E-4479-B889-66E1B0156108}"/>
    <cellStyle name="Normal 9 3 8 2 2 3" xfId="25586" xr:uid="{6603021D-B1CB-4988-8F6C-76FA9E63650B}"/>
    <cellStyle name="Normal 9 3 8 2 2 4" xfId="17138" xr:uid="{9EC08701-0CCB-402B-973F-50E3213C52C4}"/>
    <cellStyle name="Normal 9 3 8 2 3" xfId="29809" xr:uid="{F27475C5-912B-4F35-B00F-185C871186AB}"/>
    <cellStyle name="Normal 9 3 8 2 4" xfId="21368" xr:uid="{861585AF-4F11-473C-9FCD-FB8A63180FCA}"/>
    <cellStyle name="Normal 9 3 8 2 5" xfId="12920" xr:uid="{64E929C1-26E1-4719-BFAA-160CFACEB439}"/>
    <cellStyle name="Normal 9 3 8 3" xfId="6543" xr:uid="{00000000-0005-0000-0000-000045200000}"/>
    <cellStyle name="Normal 9 3 8 3 2" xfId="31882" xr:uid="{839478C8-592A-4DFB-A482-96FEDBE13579}"/>
    <cellStyle name="Normal 9 3 8 3 3" xfId="23441" xr:uid="{D204E633-DA45-4E7F-A252-0B793F8E556F}"/>
    <cellStyle name="Normal 9 3 8 3 4" xfId="14993" xr:uid="{475FEA1C-60EE-40A8-BBE6-339F87AA563F}"/>
    <cellStyle name="Normal 9 3 8 4" xfId="27664" xr:uid="{740ED0A9-544C-490B-B5DD-AF842A0E3FE4}"/>
    <cellStyle name="Normal 9 3 8 5" xfId="19223" xr:uid="{8451998D-4625-4472-AEB2-643846BF0871}"/>
    <cellStyle name="Normal 9 3 8 6" xfId="10775" xr:uid="{C98E3F9E-6D75-4F11-8A99-E7A7C1C74E2B}"/>
    <cellStyle name="Normal 9 3 9" xfId="2673" xr:uid="{00000000-0005-0000-0000-000046200000}"/>
    <cellStyle name="Normal 9 3 9 2" xfId="6956" xr:uid="{00000000-0005-0000-0000-000047200000}"/>
    <cellStyle name="Normal 9 3 9 2 2" xfId="32295" xr:uid="{8E070982-1FDE-48EB-A64B-29ED620F3C59}"/>
    <cellStyle name="Normal 9 3 9 2 3" xfId="23854" xr:uid="{DD6C9E93-3419-4498-861A-8ABBAB21986B}"/>
    <cellStyle name="Normal 9 3 9 2 4" xfId="15406" xr:uid="{649A2E5A-7D31-4CE8-8CA5-2B559FAFBB5D}"/>
    <cellStyle name="Normal 9 3 9 3" xfId="28077" xr:uid="{9113F646-9C66-4E1B-AA5F-439FA407E3B8}"/>
    <cellStyle name="Normal 9 3 9 4" xfId="19636" xr:uid="{02D0E65A-6606-468A-8453-9E7A744C7A72}"/>
    <cellStyle name="Normal 9 3 9 5" xfId="11188" xr:uid="{EDE4B456-B1D3-42E7-9636-6E683DF77D86}"/>
    <cellStyle name="Normal 9 4" xfId="535" xr:uid="{00000000-0005-0000-0000-000048200000}"/>
    <cellStyle name="Normal 9 4 2" xfId="1002" xr:uid="{00000000-0005-0000-0000-000049200000}"/>
    <cellStyle name="Normal 9 5" xfId="536" xr:uid="{00000000-0005-0000-0000-00004A200000}"/>
    <cellStyle name="Normal 9 5 10" xfId="17579" xr:uid="{8CE29BF9-D80E-4CF2-911B-838E22EC9973}"/>
    <cellStyle name="Normal 9 5 11" xfId="9131" xr:uid="{46B53410-0AE8-43C6-BE09-954EDFDBB441}"/>
    <cellStyle name="Normal 9 5 2" xfId="537" xr:uid="{00000000-0005-0000-0000-00004B200000}"/>
    <cellStyle name="Normal 9 5 2 10" xfId="9132" xr:uid="{A5A04753-C3CA-4821-8643-66B8FCCE1873}"/>
    <cellStyle name="Normal 9 5 2 2" xfId="1004" xr:uid="{00000000-0005-0000-0000-00004C200000}"/>
    <cellStyle name="Normal 9 5 2 2 2" xfId="3236" xr:uid="{00000000-0005-0000-0000-00004D200000}"/>
    <cellStyle name="Normal 9 5 2 2 2 2" xfId="7458" xr:uid="{00000000-0005-0000-0000-00004E200000}"/>
    <cellStyle name="Normal 9 5 2 2 2 2 2" xfId="32797" xr:uid="{6E08FB78-E00D-4421-B40D-90E033DC50F4}"/>
    <cellStyle name="Normal 9 5 2 2 2 2 3" xfId="24356" xr:uid="{6B2AA97D-2F1B-4C27-B7EB-5A1DCA68A961}"/>
    <cellStyle name="Normal 9 5 2 2 2 2 4" xfId="15908" xr:uid="{520AD58E-69E9-4DFD-A872-15C938C80D72}"/>
    <cellStyle name="Normal 9 5 2 2 2 3" xfId="28579" xr:uid="{80C0D356-3692-4F36-8513-570A1037E7E9}"/>
    <cellStyle name="Normal 9 5 2 2 2 4" xfId="20138" xr:uid="{E52A01E1-E00E-411A-832D-4A17271AD2BF}"/>
    <cellStyle name="Normal 9 5 2 2 2 5" xfId="11690" xr:uid="{6B25BE92-8E05-4D80-8D91-F34351367050}"/>
    <cellStyle name="Normal 9 5 2 2 3" xfId="5313" xr:uid="{00000000-0005-0000-0000-00004F200000}"/>
    <cellStyle name="Normal 9 5 2 2 3 2" xfId="30652" xr:uid="{DAAAB402-02F5-4B9B-86BC-DD85A4DD73C7}"/>
    <cellStyle name="Normal 9 5 2 2 3 3" xfId="22211" xr:uid="{BE42AD6C-86D4-450C-AC28-87D63BDE5AEB}"/>
    <cellStyle name="Normal 9 5 2 2 3 4" xfId="13763" xr:uid="{1B0524F7-BC8F-41E8-B31A-1D5C7D3AFB3A}"/>
    <cellStyle name="Normal 9 5 2 2 4" xfId="26434" xr:uid="{2BFC27C4-4C76-4956-9B21-35E908120B0D}"/>
    <cellStyle name="Normal 9 5 2 2 5" xfId="17993" xr:uid="{DD3047F1-CD95-4A4C-B1B4-89483C76F84C}"/>
    <cellStyle name="Normal 9 5 2 2 6" xfId="9545" xr:uid="{9B285999-7D37-4254-86FC-813A3716C659}"/>
    <cellStyle name="Normal 9 5 2 3" xfId="1419" xr:uid="{00000000-0005-0000-0000-000050200000}"/>
    <cellStyle name="Normal 9 5 2 3 2" xfId="3649" xr:uid="{00000000-0005-0000-0000-000051200000}"/>
    <cellStyle name="Normal 9 5 2 3 2 2" xfId="7871" xr:uid="{00000000-0005-0000-0000-000052200000}"/>
    <cellStyle name="Normal 9 5 2 3 2 2 2" xfId="33210" xr:uid="{EA0F63DC-801C-4811-9269-E9D219CF47D0}"/>
    <cellStyle name="Normal 9 5 2 3 2 2 3" xfId="24769" xr:uid="{3AD5A36A-0681-4D62-81E2-A31E9433FFA1}"/>
    <cellStyle name="Normal 9 5 2 3 2 2 4" xfId="16321" xr:uid="{F425CD88-0EDB-4600-931D-6B35F0B92013}"/>
    <cellStyle name="Normal 9 5 2 3 2 3" xfId="28992" xr:uid="{6348B2B7-5F18-460E-AD46-19D0F722FCFE}"/>
    <cellStyle name="Normal 9 5 2 3 2 4" xfId="20551" xr:uid="{CF6417AF-6D18-4C88-BE7F-F7126DCD9EE6}"/>
    <cellStyle name="Normal 9 5 2 3 2 5" xfId="12103" xr:uid="{09D73DF9-24E8-4EDA-98F4-D5303E2849A2}"/>
    <cellStyle name="Normal 9 5 2 3 3" xfId="5726" xr:uid="{00000000-0005-0000-0000-000053200000}"/>
    <cellStyle name="Normal 9 5 2 3 3 2" xfId="31065" xr:uid="{FA768C7F-A065-4D11-9240-870BA1752E8A}"/>
    <cellStyle name="Normal 9 5 2 3 3 3" xfId="22624" xr:uid="{4CD0CE36-DB55-4A60-A555-404F073BD21F}"/>
    <cellStyle name="Normal 9 5 2 3 3 4" xfId="14176" xr:uid="{3A10E1D4-5298-48C2-B536-7D7201485C28}"/>
    <cellStyle name="Normal 9 5 2 3 4" xfId="26847" xr:uid="{0BC3294C-F7F6-4931-B854-E4C157952BD1}"/>
    <cellStyle name="Normal 9 5 2 3 5" xfId="18406" xr:uid="{0FA82DAC-5933-40FF-9584-21E1040B11F0}"/>
    <cellStyle name="Normal 9 5 2 3 6" xfId="9958" xr:uid="{F6C9DD7A-D3DB-4863-BC49-7E3F35D58705}"/>
    <cellStyle name="Normal 9 5 2 4" xfId="1832" xr:uid="{00000000-0005-0000-0000-000054200000}"/>
    <cellStyle name="Normal 9 5 2 4 2" xfId="4062" xr:uid="{00000000-0005-0000-0000-000055200000}"/>
    <cellStyle name="Normal 9 5 2 4 2 2" xfId="8284" xr:uid="{00000000-0005-0000-0000-000056200000}"/>
    <cellStyle name="Normal 9 5 2 4 2 2 2" xfId="33623" xr:uid="{CB006724-C3EF-412A-8726-7F4A4A8B6631}"/>
    <cellStyle name="Normal 9 5 2 4 2 2 3" xfId="25182" xr:uid="{D689B290-E8D2-4CD6-821E-5920FC718C3D}"/>
    <cellStyle name="Normal 9 5 2 4 2 2 4" xfId="16734" xr:uid="{0F711F49-C624-46A4-8BC8-F9DE235AD37C}"/>
    <cellStyle name="Normal 9 5 2 4 2 3" xfId="29405" xr:uid="{141673DF-9901-42BD-BE70-851DCC3FABB4}"/>
    <cellStyle name="Normal 9 5 2 4 2 4" xfId="20964" xr:uid="{CEE741A3-51AE-49CD-8803-87CFC6673E6F}"/>
    <cellStyle name="Normal 9 5 2 4 2 5" xfId="12516" xr:uid="{F354F00B-3EAA-4D03-85E7-7020A4F87E98}"/>
    <cellStyle name="Normal 9 5 2 4 3" xfId="6139" xr:uid="{00000000-0005-0000-0000-000057200000}"/>
    <cellStyle name="Normal 9 5 2 4 3 2" xfId="31478" xr:uid="{596FFD74-28FC-48E4-9ED8-3726D06F110C}"/>
    <cellStyle name="Normal 9 5 2 4 3 3" xfId="23037" xr:uid="{2C65E7F5-3067-4419-8EC2-CBF0CD67F23B}"/>
    <cellStyle name="Normal 9 5 2 4 3 4" xfId="14589" xr:uid="{702169C3-A595-4D57-85DC-EB32BAE1023A}"/>
    <cellStyle name="Normal 9 5 2 4 4" xfId="27260" xr:uid="{00F8F825-9A25-4167-A8FB-047862802D2A}"/>
    <cellStyle name="Normal 9 5 2 4 5" xfId="18819" xr:uid="{94938313-1E1B-4D33-AC17-F654C3AD655C}"/>
    <cellStyle name="Normal 9 5 2 4 6" xfId="10371" xr:uid="{8DAF814A-E3B7-444F-A7DC-5EC050FDFDA6}"/>
    <cellStyle name="Normal 9 5 2 5" xfId="2246" xr:uid="{00000000-0005-0000-0000-000058200000}"/>
    <cellStyle name="Normal 9 5 2 5 2" xfId="4475" xr:uid="{00000000-0005-0000-0000-000059200000}"/>
    <cellStyle name="Normal 9 5 2 5 2 2" xfId="8697" xr:uid="{00000000-0005-0000-0000-00005A200000}"/>
    <cellStyle name="Normal 9 5 2 5 2 2 2" xfId="34036" xr:uid="{B880C52C-4241-4C2F-B984-DEDE7B142C67}"/>
    <cellStyle name="Normal 9 5 2 5 2 2 3" xfId="25595" xr:uid="{DB9F622B-BF5F-4224-928B-F5D4BA88AB43}"/>
    <cellStyle name="Normal 9 5 2 5 2 2 4" xfId="17147" xr:uid="{AF54EECA-791B-4E69-B002-6BD9D1C09285}"/>
    <cellStyle name="Normal 9 5 2 5 2 3" xfId="29818" xr:uid="{9122BC9D-7979-4475-9C52-8450F1D251D9}"/>
    <cellStyle name="Normal 9 5 2 5 2 4" xfId="21377" xr:uid="{E7792788-CEFC-458F-9D62-E1CAE48F74CC}"/>
    <cellStyle name="Normal 9 5 2 5 2 5" xfId="12929" xr:uid="{6CFC2EF9-4840-4AB5-9144-8316096873BA}"/>
    <cellStyle name="Normal 9 5 2 5 3" xfId="6552" xr:uid="{00000000-0005-0000-0000-00005B200000}"/>
    <cellStyle name="Normal 9 5 2 5 3 2" xfId="31891" xr:uid="{7F27ACF5-2303-4F90-AEFA-C95B678AC6C4}"/>
    <cellStyle name="Normal 9 5 2 5 3 3" xfId="23450" xr:uid="{F360D029-7491-4497-B3CF-DF2E049E9AD3}"/>
    <cellStyle name="Normal 9 5 2 5 3 4" xfId="15002" xr:uid="{1B313CBC-9E3F-4163-B3F4-F65F931520CC}"/>
    <cellStyle name="Normal 9 5 2 5 4" xfId="27673" xr:uid="{414245F8-C26E-4608-8459-C4E2DEE531E4}"/>
    <cellStyle name="Normal 9 5 2 5 5" xfId="19232" xr:uid="{6FC12D37-0CCA-4D2F-AF18-527E3EAD4197}"/>
    <cellStyle name="Normal 9 5 2 5 6" xfId="10784" xr:uid="{BD76F287-32A1-4921-98B7-31BE312F6C09}"/>
    <cellStyle name="Normal 9 5 2 6" xfId="2682" xr:uid="{00000000-0005-0000-0000-00005C200000}"/>
    <cellStyle name="Normal 9 5 2 6 2" xfId="6965" xr:uid="{00000000-0005-0000-0000-00005D200000}"/>
    <cellStyle name="Normal 9 5 2 6 2 2" xfId="32304" xr:uid="{0B332E5A-58D2-42F2-B6AA-3303D3AC8025}"/>
    <cellStyle name="Normal 9 5 2 6 2 3" xfId="23863" xr:uid="{7130E55D-8CB0-418A-AC0D-2D2A47660616}"/>
    <cellStyle name="Normal 9 5 2 6 2 4" xfId="15415" xr:uid="{D1833B14-57ED-4FEF-B564-B20A5F64158E}"/>
    <cellStyle name="Normal 9 5 2 6 3" xfId="28086" xr:uid="{5773DD61-4ACE-447D-89C6-1433BDFF7A67}"/>
    <cellStyle name="Normal 9 5 2 6 4" xfId="19645" xr:uid="{17AEA714-4E39-436D-A797-8061628258F3}"/>
    <cellStyle name="Normal 9 5 2 6 5" xfId="11197" xr:uid="{8EA97C4E-B7D0-454F-821A-D998DED437BD}"/>
    <cellStyle name="Normal 9 5 2 7" xfId="4900" xr:uid="{00000000-0005-0000-0000-00005E200000}"/>
    <cellStyle name="Normal 9 5 2 7 2" xfId="30239" xr:uid="{8928124F-9300-471B-9759-44CE1E4C43B5}"/>
    <cellStyle name="Normal 9 5 2 7 3" xfId="21798" xr:uid="{DDF52520-8915-416D-8507-599D0A9E3BCC}"/>
    <cellStyle name="Normal 9 5 2 7 4" xfId="13350" xr:uid="{5CFCFB13-8739-46A6-AD8F-05150218C820}"/>
    <cellStyle name="Normal 9 5 2 8" xfId="26021" xr:uid="{54524890-C75D-4F02-8A61-791C2C70A6C7}"/>
    <cellStyle name="Normal 9 5 2 9" xfId="17580" xr:uid="{2A3F8EE8-0936-4025-A4F2-7EB79CF8C52A}"/>
    <cellStyle name="Normal 9 5 3" xfId="1003" xr:uid="{00000000-0005-0000-0000-00005F200000}"/>
    <cellStyle name="Normal 9 5 3 2" xfId="3235" xr:uid="{00000000-0005-0000-0000-000060200000}"/>
    <cellStyle name="Normal 9 5 3 2 2" xfId="7457" xr:uid="{00000000-0005-0000-0000-000061200000}"/>
    <cellStyle name="Normal 9 5 3 2 2 2" xfId="32796" xr:uid="{A0A3A33A-24C0-4D3D-8D2C-F24AA4036920}"/>
    <cellStyle name="Normal 9 5 3 2 2 3" xfId="24355" xr:uid="{DBECCD95-3888-4F71-B500-2D2BCCA6BF76}"/>
    <cellStyle name="Normal 9 5 3 2 2 4" xfId="15907" xr:uid="{172F2140-4DF2-4C26-97F4-4AF05EE1768A}"/>
    <cellStyle name="Normal 9 5 3 2 3" xfId="28578" xr:uid="{9ED4C7CD-E9D1-433D-9DE5-83C386687BC6}"/>
    <cellStyle name="Normal 9 5 3 2 4" xfId="20137" xr:uid="{C605D586-8314-4896-B2DE-6AFE974D968D}"/>
    <cellStyle name="Normal 9 5 3 2 5" xfId="11689" xr:uid="{911119EC-E203-422F-A075-147D323A7974}"/>
    <cellStyle name="Normal 9 5 3 3" xfId="5312" xr:uid="{00000000-0005-0000-0000-000062200000}"/>
    <cellStyle name="Normal 9 5 3 3 2" xfId="30651" xr:uid="{8CC13302-31AC-4AA5-AF61-B1AD51A32D28}"/>
    <cellStyle name="Normal 9 5 3 3 3" xfId="22210" xr:uid="{3358735B-2021-4627-8448-609A9FDCC530}"/>
    <cellStyle name="Normal 9 5 3 3 4" xfId="13762" xr:uid="{D9625FB8-EA0E-431C-BEF4-B0F066643B33}"/>
    <cellStyle name="Normal 9 5 3 4" xfId="26433" xr:uid="{250F6697-A23F-48DC-B8C0-7C7D5EB8FC11}"/>
    <cellStyle name="Normal 9 5 3 5" xfId="17992" xr:uid="{5ADB0540-8D53-4378-A0ED-A85F679125E4}"/>
    <cellStyle name="Normal 9 5 3 6" xfId="9544" xr:uid="{F3908DBC-B7AB-4B04-A87B-F94981D04241}"/>
    <cellStyle name="Normal 9 5 4" xfId="1418" xr:uid="{00000000-0005-0000-0000-000063200000}"/>
    <cellStyle name="Normal 9 5 4 2" xfId="3648" xr:uid="{00000000-0005-0000-0000-000064200000}"/>
    <cellStyle name="Normal 9 5 4 2 2" xfId="7870" xr:uid="{00000000-0005-0000-0000-000065200000}"/>
    <cellStyle name="Normal 9 5 4 2 2 2" xfId="33209" xr:uid="{E647D871-9A2C-4F94-9BC4-B69EC9394A35}"/>
    <cellStyle name="Normal 9 5 4 2 2 3" xfId="24768" xr:uid="{8371223F-FBA2-4F7A-ACA3-DF9845BE07A3}"/>
    <cellStyle name="Normal 9 5 4 2 2 4" xfId="16320" xr:uid="{EAD27090-F771-4D5E-B06F-D6230B66A709}"/>
    <cellStyle name="Normal 9 5 4 2 3" xfId="28991" xr:uid="{9C8F7581-2B68-468C-A8F8-D9B941A5ABFC}"/>
    <cellStyle name="Normal 9 5 4 2 4" xfId="20550" xr:uid="{82D96D8D-1FEB-4520-ABDB-EB4E1AE129DC}"/>
    <cellStyle name="Normal 9 5 4 2 5" xfId="12102" xr:uid="{13B58DD5-17F7-445C-A2CA-F80C80F5F8F3}"/>
    <cellStyle name="Normal 9 5 4 3" xfId="5725" xr:uid="{00000000-0005-0000-0000-000066200000}"/>
    <cellStyle name="Normal 9 5 4 3 2" xfId="31064" xr:uid="{64559A3D-C938-484E-80DC-7FB96239FF72}"/>
    <cellStyle name="Normal 9 5 4 3 3" xfId="22623" xr:uid="{546FA3E9-1BD5-4FC4-8E70-FF23B0DB3663}"/>
    <cellStyle name="Normal 9 5 4 3 4" xfId="14175" xr:uid="{BADE5446-6E8C-4168-ADA3-888D2A3FFD2C}"/>
    <cellStyle name="Normal 9 5 4 4" xfId="26846" xr:uid="{97455956-2971-4ABD-B5FF-CF937035EEB2}"/>
    <cellStyle name="Normal 9 5 4 5" xfId="18405" xr:uid="{B144CB6B-55AE-480E-A564-402AE11C0F6C}"/>
    <cellStyle name="Normal 9 5 4 6" xfId="9957" xr:uid="{4464004B-49AC-4F53-AE39-77466AB43D5E}"/>
    <cellStyle name="Normal 9 5 5" xfId="1831" xr:uid="{00000000-0005-0000-0000-000067200000}"/>
    <cellStyle name="Normal 9 5 5 2" xfId="4061" xr:uid="{00000000-0005-0000-0000-000068200000}"/>
    <cellStyle name="Normal 9 5 5 2 2" xfId="8283" xr:uid="{00000000-0005-0000-0000-000069200000}"/>
    <cellStyle name="Normal 9 5 5 2 2 2" xfId="33622" xr:uid="{AF5B8AD4-4AFD-4C67-A235-9DE9C2141AC0}"/>
    <cellStyle name="Normal 9 5 5 2 2 3" xfId="25181" xr:uid="{01C5B2F5-A79F-49E7-99F1-23C138FC4B8F}"/>
    <cellStyle name="Normal 9 5 5 2 2 4" xfId="16733" xr:uid="{2E1BE79F-C5B9-4EE6-9243-1F837E3F2E7D}"/>
    <cellStyle name="Normal 9 5 5 2 3" xfId="29404" xr:uid="{50ECB29D-7C3F-43D5-AEE6-A9830646DCD7}"/>
    <cellStyle name="Normal 9 5 5 2 4" xfId="20963" xr:uid="{26CE5AC6-9DC4-4135-9C6F-CE7B5D5D7A67}"/>
    <cellStyle name="Normal 9 5 5 2 5" xfId="12515" xr:uid="{352574CA-9404-4848-A34B-85382184D227}"/>
    <cellStyle name="Normal 9 5 5 3" xfId="6138" xr:uid="{00000000-0005-0000-0000-00006A200000}"/>
    <cellStyle name="Normal 9 5 5 3 2" xfId="31477" xr:uid="{CE76D939-0714-4F02-A597-B91743CB914A}"/>
    <cellStyle name="Normal 9 5 5 3 3" xfId="23036" xr:uid="{37F20C49-0F16-48B3-8A08-6EB48981C120}"/>
    <cellStyle name="Normal 9 5 5 3 4" xfId="14588" xr:uid="{EC490916-BF40-4C8D-97C3-DCB16D0625F9}"/>
    <cellStyle name="Normal 9 5 5 4" xfId="27259" xr:uid="{7DE87142-3703-4F0D-916F-143AA735CDCD}"/>
    <cellStyle name="Normal 9 5 5 5" xfId="18818" xr:uid="{D0F24FB2-42B4-4D59-B079-899574CA365F}"/>
    <cellStyle name="Normal 9 5 5 6" xfId="10370" xr:uid="{6AC3E407-DD83-4B0C-A587-FC96EACD19BE}"/>
    <cellStyle name="Normal 9 5 6" xfId="2245" xr:uid="{00000000-0005-0000-0000-00006B200000}"/>
    <cellStyle name="Normal 9 5 6 2" xfId="4474" xr:uid="{00000000-0005-0000-0000-00006C200000}"/>
    <cellStyle name="Normal 9 5 6 2 2" xfId="8696" xr:uid="{00000000-0005-0000-0000-00006D200000}"/>
    <cellStyle name="Normal 9 5 6 2 2 2" xfId="34035" xr:uid="{6C83C735-29E6-425B-959F-CB56467D8A41}"/>
    <cellStyle name="Normal 9 5 6 2 2 3" xfId="25594" xr:uid="{EE9ADFCE-A7B0-4856-A891-023F604F3E70}"/>
    <cellStyle name="Normal 9 5 6 2 2 4" xfId="17146" xr:uid="{4904E369-E481-4726-904D-352CAE09DD92}"/>
    <cellStyle name="Normal 9 5 6 2 3" xfId="29817" xr:uid="{FB181176-07B7-4458-A937-67F99BDCBBD1}"/>
    <cellStyle name="Normal 9 5 6 2 4" xfId="21376" xr:uid="{D13953EE-0D3C-4AF3-87B6-AD9991DD46A2}"/>
    <cellStyle name="Normal 9 5 6 2 5" xfId="12928" xr:uid="{57BF06B7-B89A-4BB0-B976-7051428EDC1D}"/>
    <cellStyle name="Normal 9 5 6 3" xfId="6551" xr:uid="{00000000-0005-0000-0000-00006E200000}"/>
    <cellStyle name="Normal 9 5 6 3 2" xfId="31890" xr:uid="{B2685E76-653B-4CA3-A5C6-0A21039257BF}"/>
    <cellStyle name="Normal 9 5 6 3 3" xfId="23449" xr:uid="{4AE6C4F3-90CD-41B9-9C68-1E4E68C420FF}"/>
    <cellStyle name="Normal 9 5 6 3 4" xfId="15001" xr:uid="{24560975-8BDA-4832-804D-FA89A560DE11}"/>
    <cellStyle name="Normal 9 5 6 4" xfId="27672" xr:uid="{B826693A-9F81-49E4-9385-726F2836CF9B}"/>
    <cellStyle name="Normal 9 5 6 5" xfId="19231" xr:uid="{56852BB4-DD56-4D60-B7E5-66E83DCEB8EF}"/>
    <cellStyle name="Normal 9 5 6 6" xfId="10783" xr:uid="{199A1FB1-A531-45F1-8115-A9AB71F8CF7A}"/>
    <cellStyle name="Normal 9 5 7" xfId="2681" xr:uid="{00000000-0005-0000-0000-00006F200000}"/>
    <cellStyle name="Normal 9 5 7 2" xfId="6964" xr:uid="{00000000-0005-0000-0000-000070200000}"/>
    <cellStyle name="Normal 9 5 7 2 2" xfId="32303" xr:uid="{2166EB74-376D-43E2-8DB5-6B8C3863B87F}"/>
    <cellStyle name="Normal 9 5 7 2 3" xfId="23862" xr:uid="{EFD53752-D7EC-4B48-ADE7-4FE291788765}"/>
    <cellStyle name="Normal 9 5 7 2 4" xfId="15414" xr:uid="{905AF914-6A04-4A75-8E87-88B9FDFC4E6E}"/>
    <cellStyle name="Normal 9 5 7 3" xfId="28085" xr:uid="{94AB6B9D-1461-49A6-8C3C-B016897D348E}"/>
    <cellStyle name="Normal 9 5 7 4" xfId="19644" xr:uid="{14C7CCA0-E6ED-4AC2-8348-070C6C4FA0BA}"/>
    <cellStyle name="Normal 9 5 7 5" xfId="11196" xr:uid="{CFCB27F6-97C1-4C0C-89F8-5D728FF3C32D}"/>
    <cellStyle name="Normal 9 5 8" xfId="4899" xr:uid="{00000000-0005-0000-0000-000071200000}"/>
    <cellStyle name="Normal 9 5 8 2" xfId="30238" xr:uid="{6E0A95E5-89ED-4414-ABBA-D7ACBA531598}"/>
    <cellStyle name="Normal 9 5 8 3" xfId="21797" xr:uid="{0413408A-1677-492E-842E-6057D800AB22}"/>
    <cellStyle name="Normal 9 5 8 4" xfId="13349" xr:uid="{DB535704-E3C8-442C-BBE5-2FDC5E14BB79}"/>
    <cellStyle name="Normal 9 5 9" xfId="26020" xr:uid="{DA4933C7-41B6-453C-9564-238DE559910A}"/>
    <cellStyle name="Normal 9 6" xfId="538" xr:uid="{00000000-0005-0000-0000-000072200000}"/>
    <cellStyle name="Normal 9 6 10" xfId="9133" xr:uid="{EEC4938B-315F-4B5E-9656-2FA9861719C2}"/>
    <cellStyle name="Normal 9 6 2" xfId="1005" xr:uid="{00000000-0005-0000-0000-000073200000}"/>
    <cellStyle name="Normal 9 6 2 2" xfId="3237" xr:uid="{00000000-0005-0000-0000-000074200000}"/>
    <cellStyle name="Normal 9 6 2 2 2" xfId="7459" xr:uid="{00000000-0005-0000-0000-000075200000}"/>
    <cellStyle name="Normal 9 6 2 2 2 2" xfId="32798" xr:uid="{3D175E32-CD3C-4E96-A5C3-C226B281809E}"/>
    <cellStyle name="Normal 9 6 2 2 2 3" xfId="24357" xr:uid="{247DAECC-3B96-44FD-947D-46FA48347674}"/>
    <cellStyle name="Normal 9 6 2 2 2 4" xfId="15909" xr:uid="{6AAEEEA9-D12B-4A5D-98AD-6FA2CA5D33CD}"/>
    <cellStyle name="Normal 9 6 2 2 3" xfId="28580" xr:uid="{B237B713-E550-4C86-AAB1-22E88A1E1F36}"/>
    <cellStyle name="Normal 9 6 2 2 4" xfId="20139" xr:uid="{C983AEF3-3EE9-4CE8-A94F-C87439157FF2}"/>
    <cellStyle name="Normal 9 6 2 2 5" xfId="11691" xr:uid="{5FABF269-9197-4BB9-9E1D-E638FFFD70F2}"/>
    <cellStyle name="Normal 9 6 2 3" xfId="5314" xr:uid="{00000000-0005-0000-0000-000076200000}"/>
    <cellStyle name="Normal 9 6 2 3 2" xfId="30653" xr:uid="{ED7CB2F6-372F-4CF4-84D9-AB9C6742FEA1}"/>
    <cellStyle name="Normal 9 6 2 3 3" xfId="22212" xr:uid="{D21E9B8B-B7A1-488F-A2F3-57B7BA8CC588}"/>
    <cellStyle name="Normal 9 6 2 3 4" xfId="13764" xr:uid="{A6D58214-FF8A-40C1-BB53-C19D4F546EC1}"/>
    <cellStyle name="Normal 9 6 2 4" xfId="26435" xr:uid="{51FE10D4-C20F-4695-BB17-83369D461E83}"/>
    <cellStyle name="Normal 9 6 2 5" xfId="17994" xr:uid="{A0C0DD7D-E635-4671-AD02-9ECA0D5C79F1}"/>
    <cellStyle name="Normal 9 6 2 6" xfId="9546" xr:uid="{9AC2A5AB-5F5E-494C-896E-095D789F7CC9}"/>
    <cellStyle name="Normal 9 6 3" xfId="1420" xr:uid="{00000000-0005-0000-0000-000077200000}"/>
    <cellStyle name="Normal 9 6 3 2" xfId="3650" xr:uid="{00000000-0005-0000-0000-000078200000}"/>
    <cellStyle name="Normal 9 6 3 2 2" xfId="7872" xr:uid="{00000000-0005-0000-0000-000079200000}"/>
    <cellStyle name="Normal 9 6 3 2 2 2" xfId="33211" xr:uid="{6478E425-8CF2-4FF6-9FB4-7E0A94C75340}"/>
    <cellStyle name="Normal 9 6 3 2 2 3" xfId="24770" xr:uid="{B698BD0D-DA52-4FC1-B972-87CD222F546D}"/>
    <cellStyle name="Normal 9 6 3 2 2 4" xfId="16322" xr:uid="{2A819066-C65A-4F02-BF6F-CBC3F9D7F992}"/>
    <cellStyle name="Normal 9 6 3 2 3" xfId="28993" xr:uid="{42B72CAE-200B-4217-A610-4FEE2F43169A}"/>
    <cellStyle name="Normal 9 6 3 2 4" xfId="20552" xr:uid="{D7C4FBB6-0CA9-465B-A388-DC553410275D}"/>
    <cellStyle name="Normal 9 6 3 2 5" xfId="12104" xr:uid="{A6AD1678-E419-488A-A861-39AC06B53033}"/>
    <cellStyle name="Normal 9 6 3 3" xfId="5727" xr:uid="{00000000-0005-0000-0000-00007A200000}"/>
    <cellStyle name="Normal 9 6 3 3 2" xfId="31066" xr:uid="{4CB28B80-DC26-45EA-8ED7-FBA619CDD0E3}"/>
    <cellStyle name="Normal 9 6 3 3 3" xfId="22625" xr:uid="{B36CC6D1-8A87-45D2-80D7-253C78465B5D}"/>
    <cellStyle name="Normal 9 6 3 3 4" xfId="14177" xr:uid="{E94E0F60-EC5B-454A-B739-8F4E3B81A32A}"/>
    <cellStyle name="Normal 9 6 3 4" xfId="26848" xr:uid="{F11D72F3-B467-466A-9CEC-49195BD07CD5}"/>
    <cellStyle name="Normal 9 6 3 5" xfId="18407" xr:uid="{217B4380-6DC4-4B4D-B098-E33C04AA071C}"/>
    <cellStyle name="Normal 9 6 3 6" xfId="9959" xr:uid="{6249C2BA-7A74-4C0B-8169-5CB2798FA6FC}"/>
    <cellStyle name="Normal 9 6 4" xfId="1833" xr:uid="{00000000-0005-0000-0000-00007B200000}"/>
    <cellStyle name="Normal 9 6 4 2" xfId="4063" xr:uid="{00000000-0005-0000-0000-00007C200000}"/>
    <cellStyle name="Normal 9 6 4 2 2" xfId="8285" xr:uid="{00000000-0005-0000-0000-00007D200000}"/>
    <cellStyle name="Normal 9 6 4 2 2 2" xfId="33624" xr:uid="{E3CAB4C0-A229-4376-BFCC-8819EA548BA0}"/>
    <cellStyle name="Normal 9 6 4 2 2 3" xfId="25183" xr:uid="{9A296229-7FDE-4BAE-AFDB-C90BE794F8CE}"/>
    <cellStyle name="Normal 9 6 4 2 2 4" xfId="16735" xr:uid="{E66D9844-56C8-457C-B554-F98885641372}"/>
    <cellStyle name="Normal 9 6 4 2 3" xfId="29406" xr:uid="{53C67AA0-2254-4EFB-8671-FFC8F7214EEA}"/>
    <cellStyle name="Normal 9 6 4 2 4" xfId="20965" xr:uid="{C691A340-F133-4F33-ACA9-8178699EE677}"/>
    <cellStyle name="Normal 9 6 4 2 5" xfId="12517" xr:uid="{A91EEAE5-9A0A-4389-9A60-28A9A55EA3AF}"/>
    <cellStyle name="Normal 9 6 4 3" xfId="6140" xr:uid="{00000000-0005-0000-0000-00007E200000}"/>
    <cellStyle name="Normal 9 6 4 3 2" xfId="31479" xr:uid="{23D6306E-48D3-470F-AF8B-4C4380519777}"/>
    <cellStyle name="Normal 9 6 4 3 3" xfId="23038" xr:uid="{011C6A32-5B6B-4EBC-8780-C3E2240DD856}"/>
    <cellStyle name="Normal 9 6 4 3 4" xfId="14590" xr:uid="{16F740B9-84D3-447D-8339-3BC2DE034CA1}"/>
    <cellStyle name="Normal 9 6 4 4" xfId="27261" xr:uid="{4339A925-BA2B-45F6-AE9F-9F88CF22901F}"/>
    <cellStyle name="Normal 9 6 4 5" xfId="18820" xr:uid="{AA1E85D1-70A3-4018-A31A-F85051F22476}"/>
    <cellStyle name="Normal 9 6 4 6" xfId="10372" xr:uid="{4F711961-9D11-42DB-B822-65F34871A529}"/>
    <cellStyle name="Normal 9 6 5" xfId="2247" xr:uid="{00000000-0005-0000-0000-00007F200000}"/>
    <cellStyle name="Normal 9 6 5 2" xfId="4476" xr:uid="{00000000-0005-0000-0000-000080200000}"/>
    <cellStyle name="Normal 9 6 5 2 2" xfId="8698" xr:uid="{00000000-0005-0000-0000-000081200000}"/>
    <cellStyle name="Normal 9 6 5 2 2 2" xfId="34037" xr:uid="{F7C781B9-D390-4299-AA57-4F69BB61E6F2}"/>
    <cellStyle name="Normal 9 6 5 2 2 3" xfId="25596" xr:uid="{70DD72BC-6F1F-4274-8A48-AFBE8281DCDE}"/>
    <cellStyle name="Normal 9 6 5 2 2 4" xfId="17148" xr:uid="{7BAF0B52-2767-4F7A-A323-3BB21C544F39}"/>
    <cellStyle name="Normal 9 6 5 2 3" xfId="29819" xr:uid="{5A7444A3-4A0A-4561-B3F9-E362A1FCB3A3}"/>
    <cellStyle name="Normal 9 6 5 2 4" xfId="21378" xr:uid="{47FC8EF5-65C4-4B7A-A733-1DA5DDC281C7}"/>
    <cellStyle name="Normal 9 6 5 2 5" xfId="12930" xr:uid="{B350B020-2953-408F-9876-70D2715B9F7A}"/>
    <cellStyle name="Normal 9 6 5 3" xfId="6553" xr:uid="{00000000-0005-0000-0000-000082200000}"/>
    <cellStyle name="Normal 9 6 5 3 2" xfId="31892" xr:uid="{9BA8AF23-C61C-4C0E-832E-0FC63A6200DE}"/>
    <cellStyle name="Normal 9 6 5 3 3" xfId="23451" xr:uid="{B0BD940F-2A94-4173-8946-33BE3306DD2F}"/>
    <cellStyle name="Normal 9 6 5 3 4" xfId="15003" xr:uid="{FAAB23C6-F5C8-41D9-AE45-955E95A66D58}"/>
    <cellStyle name="Normal 9 6 5 4" xfId="27674" xr:uid="{9D799395-1844-454E-BF4B-E04858732540}"/>
    <cellStyle name="Normal 9 6 5 5" xfId="19233" xr:uid="{C1D119DD-6FAA-4D9D-AA67-F24B0DBC89A2}"/>
    <cellStyle name="Normal 9 6 5 6" xfId="10785" xr:uid="{F6E33AEC-5240-486E-A3A6-B92E2C93142C}"/>
    <cellStyle name="Normal 9 6 6" xfId="2683" xr:uid="{00000000-0005-0000-0000-000083200000}"/>
    <cellStyle name="Normal 9 6 6 2" xfId="6966" xr:uid="{00000000-0005-0000-0000-000084200000}"/>
    <cellStyle name="Normal 9 6 6 2 2" xfId="32305" xr:uid="{4B398099-CE30-4851-93C7-FE31AC88485A}"/>
    <cellStyle name="Normal 9 6 6 2 3" xfId="23864" xr:uid="{E6FBD691-4B16-482C-B655-AEC11E6681FF}"/>
    <cellStyle name="Normal 9 6 6 2 4" xfId="15416" xr:uid="{436CD498-1053-416E-9BFE-2D58B57E6FB3}"/>
    <cellStyle name="Normal 9 6 6 3" xfId="28087" xr:uid="{EEB97C34-ACB3-4791-B1AD-89DFFFA1A8D2}"/>
    <cellStyle name="Normal 9 6 6 4" xfId="19646" xr:uid="{D69BB02E-52D7-4E27-8554-6974E7ABA6A1}"/>
    <cellStyle name="Normal 9 6 6 5" xfId="11198" xr:uid="{2DC31D53-A7B3-413F-ABEA-84B779DD8FCA}"/>
    <cellStyle name="Normal 9 6 7" xfId="4901" xr:uid="{00000000-0005-0000-0000-000085200000}"/>
    <cellStyle name="Normal 9 6 7 2" xfId="30240" xr:uid="{9360A076-0C4C-41D9-90C9-58C3B41349FE}"/>
    <cellStyle name="Normal 9 6 7 3" xfId="21799" xr:uid="{FB96CEF3-E432-4146-BA55-5E6ED1E35BD4}"/>
    <cellStyle name="Normal 9 6 7 4" xfId="13351" xr:uid="{1A964BA6-8A15-42B8-AF6C-8EE2E32BFA06}"/>
    <cellStyle name="Normal 9 6 8" xfId="26022" xr:uid="{02AF1279-4CCF-4C62-888B-FD653CE2B9BC}"/>
    <cellStyle name="Normal 9 6 9" xfId="17581" xr:uid="{F0ACAD00-F689-4C03-88F2-C087D760E283}"/>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32386" xr:uid="{C61096B7-4B81-4488-99BB-6C9618E760CB}"/>
    <cellStyle name="Note 2 2 10 2 3" xfId="23945" xr:uid="{224AC606-CA95-469A-962E-695F73E9E12B}"/>
    <cellStyle name="Note 2 2 10 2 4" xfId="15497" xr:uid="{6145B0A1-458A-4A17-B211-4019ED9253D1}"/>
    <cellStyle name="Note 2 2 10 3" xfId="28168" xr:uid="{A3429078-6EA7-4E0C-99C1-967F53482740}"/>
    <cellStyle name="Note 2 2 10 4" xfId="19727" xr:uid="{DCEF23CF-FF09-419A-B3CF-2C1E75A36E78}"/>
    <cellStyle name="Note 2 2 10 5" xfId="11279" xr:uid="{1EDD4796-EFDE-473C-94F1-708829AE1146}"/>
    <cellStyle name="Note 2 2 11" xfId="4902" xr:uid="{00000000-0005-0000-0000-000094200000}"/>
    <cellStyle name="Note 2 2 11 2" xfId="30241" xr:uid="{12DD9AF5-3AB0-42AB-B23D-56C5EBDC399A}"/>
    <cellStyle name="Note 2 2 11 3" xfId="21800" xr:uid="{7B1FE13D-E13E-4224-BF9B-894302526D44}"/>
    <cellStyle name="Note 2 2 11 4" xfId="13352" xr:uid="{4A520050-1D8D-444F-AA24-3BBB77448736}"/>
    <cellStyle name="Note 2 2 12" xfId="26023" xr:uid="{B80B66AE-7E56-4B11-9470-C8823B90EE18}"/>
    <cellStyle name="Note 2 2 13" xfId="17582" xr:uid="{54E1DC64-653D-493D-AACD-5B6BD8DD2CB6}"/>
    <cellStyle name="Note 2 2 14" xfId="9134" xr:uid="{8C0C6403-F4D4-4CB7-94AA-AD332108679C}"/>
    <cellStyle name="Note 2 2 2" xfId="546" xr:uid="{00000000-0005-0000-0000-000095200000}"/>
    <cellStyle name="Note 2 2 2 10" xfId="4903" xr:uid="{00000000-0005-0000-0000-000096200000}"/>
    <cellStyle name="Note 2 2 2 10 2" xfId="30242" xr:uid="{9016E80E-E2FF-47D5-9114-A2811D5DFBF1}"/>
    <cellStyle name="Note 2 2 2 10 3" xfId="21801" xr:uid="{557F1E6D-E06C-4E88-AA2C-342C67B7559E}"/>
    <cellStyle name="Note 2 2 2 10 4" xfId="13353" xr:uid="{38DC45B8-8A06-4A4B-BF7E-79BC7E553BB1}"/>
    <cellStyle name="Note 2 2 2 11" xfId="26024" xr:uid="{77A456D5-58DA-4270-A7D1-A38025261E7C}"/>
    <cellStyle name="Note 2 2 2 12" xfId="17583" xr:uid="{C8D57C1A-0C6F-47A0-8620-FDE56FB4D580}"/>
    <cellStyle name="Note 2 2 2 13" xfId="9135" xr:uid="{51F14FB2-3B3B-4C67-9698-4FCE1E84D478}"/>
    <cellStyle name="Note 2 2 2 2" xfId="547" xr:uid="{00000000-0005-0000-0000-000097200000}"/>
    <cellStyle name="Note 2 2 2 2 10" xfId="26025" xr:uid="{0404BB04-FA11-49E0-B80E-5228EC8C4BC1}"/>
    <cellStyle name="Note 2 2 2 2 11" xfId="17584" xr:uid="{58AD0373-DB6B-422E-8DBC-CE03E8C74FBE}"/>
    <cellStyle name="Note 2 2 2 2 12" xfId="9136" xr:uid="{A1BDDF27-ED9C-4307-8CE7-BE55808CF6FD}"/>
    <cellStyle name="Note 2 2 2 2 2" xfId="1008" xr:uid="{00000000-0005-0000-0000-000098200000}"/>
    <cellStyle name="Note 2 2 2 2 2 2" xfId="3240" xr:uid="{00000000-0005-0000-0000-000099200000}"/>
    <cellStyle name="Note 2 2 2 2 2 2 2" xfId="7462" xr:uid="{00000000-0005-0000-0000-00009A200000}"/>
    <cellStyle name="Note 2 2 2 2 2 2 2 2" xfId="32801" xr:uid="{7EFD9EA0-31BB-4AAB-BAF7-FDA7684A2BD4}"/>
    <cellStyle name="Note 2 2 2 2 2 2 2 3" xfId="24360" xr:uid="{0F4EC4AE-CA3B-463B-8641-239EC196BB2A}"/>
    <cellStyle name="Note 2 2 2 2 2 2 2 4" xfId="15912" xr:uid="{821B175C-E222-42A3-BCB7-043BA6E882B4}"/>
    <cellStyle name="Note 2 2 2 2 2 2 3" xfId="28583" xr:uid="{CF80900C-1897-4506-BD2C-192FABBEC5A3}"/>
    <cellStyle name="Note 2 2 2 2 2 2 4" xfId="20142" xr:uid="{19A9ED89-3352-4A11-914F-BC0068A4EF7F}"/>
    <cellStyle name="Note 2 2 2 2 2 2 5" xfId="11694" xr:uid="{0E900DA1-A6F8-485C-B761-9D92AB1FEA1E}"/>
    <cellStyle name="Note 2 2 2 2 2 3" xfId="5317" xr:uid="{00000000-0005-0000-0000-00009B200000}"/>
    <cellStyle name="Note 2 2 2 2 2 3 2" xfId="30656" xr:uid="{785FC751-6B33-4ED4-843B-2C5C0511CA01}"/>
    <cellStyle name="Note 2 2 2 2 2 3 3" xfId="22215" xr:uid="{E3356BAC-59FC-4A5E-90DF-9A8896B175BF}"/>
    <cellStyle name="Note 2 2 2 2 2 3 4" xfId="13767" xr:uid="{B35EAD33-9323-43C1-9191-7571526DA936}"/>
    <cellStyle name="Note 2 2 2 2 2 4" xfId="26438" xr:uid="{C1F07F07-82C0-4625-86F8-28B9FEB7ED05}"/>
    <cellStyle name="Note 2 2 2 2 2 5" xfId="17997" xr:uid="{88A64C91-C70B-4962-9C06-C1D3F4B7385F}"/>
    <cellStyle name="Note 2 2 2 2 2 6" xfId="9549" xr:uid="{0EA3A4BE-5536-4B83-85DD-ADD0144115BA}"/>
    <cellStyle name="Note 2 2 2 2 3" xfId="1423" xr:uid="{00000000-0005-0000-0000-00009C200000}"/>
    <cellStyle name="Note 2 2 2 2 3 2" xfId="3653" xr:uid="{00000000-0005-0000-0000-00009D200000}"/>
    <cellStyle name="Note 2 2 2 2 3 2 2" xfId="7875" xr:uid="{00000000-0005-0000-0000-00009E200000}"/>
    <cellStyle name="Note 2 2 2 2 3 2 2 2" xfId="33214" xr:uid="{B4D268ED-A530-4490-9753-8537821F3C3D}"/>
    <cellStyle name="Note 2 2 2 2 3 2 2 3" xfId="24773" xr:uid="{30363F5C-2FAB-4319-A472-7B82CF850272}"/>
    <cellStyle name="Note 2 2 2 2 3 2 2 4" xfId="16325" xr:uid="{FCE9D79A-27DC-40C0-9A58-DC5FD6C2F78E}"/>
    <cellStyle name="Note 2 2 2 2 3 2 3" xfId="28996" xr:uid="{701F2C8D-A7B9-4750-A58F-82A296C49CA2}"/>
    <cellStyle name="Note 2 2 2 2 3 2 4" xfId="20555" xr:uid="{BBAAF972-3020-4AD1-B22B-5CCE782AC1D6}"/>
    <cellStyle name="Note 2 2 2 2 3 2 5" xfId="12107" xr:uid="{5A81E8D1-BE01-4CAD-98D6-CF0603AE24E7}"/>
    <cellStyle name="Note 2 2 2 2 3 3" xfId="5730" xr:uid="{00000000-0005-0000-0000-00009F200000}"/>
    <cellStyle name="Note 2 2 2 2 3 3 2" xfId="31069" xr:uid="{FA558D77-F15D-49D3-94E8-0484644585AF}"/>
    <cellStyle name="Note 2 2 2 2 3 3 3" xfId="22628" xr:uid="{1FCC1798-54BD-406D-91E5-7021B60C964F}"/>
    <cellStyle name="Note 2 2 2 2 3 3 4" xfId="14180" xr:uid="{3452CE0C-B0A9-4564-AAF0-007B7FA99686}"/>
    <cellStyle name="Note 2 2 2 2 3 4" xfId="26851" xr:uid="{509F94C2-2F2D-49E4-92C4-07D4EB12B4D0}"/>
    <cellStyle name="Note 2 2 2 2 3 5" xfId="18410" xr:uid="{E0CA4945-F45F-4C8B-B332-9CF80E68D22A}"/>
    <cellStyle name="Note 2 2 2 2 3 6" xfId="9962" xr:uid="{B7A607E9-2820-4583-90AF-8B776459F4E6}"/>
    <cellStyle name="Note 2 2 2 2 4" xfId="1837" xr:uid="{00000000-0005-0000-0000-0000A0200000}"/>
    <cellStyle name="Note 2 2 2 2 4 2" xfId="4066" xr:uid="{00000000-0005-0000-0000-0000A1200000}"/>
    <cellStyle name="Note 2 2 2 2 4 2 2" xfId="8288" xr:uid="{00000000-0005-0000-0000-0000A2200000}"/>
    <cellStyle name="Note 2 2 2 2 4 2 2 2" xfId="33627" xr:uid="{11EC361F-DF85-4EEA-AC09-E771F9D1B3B2}"/>
    <cellStyle name="Note 2 2 2 2 4 2 2 3" xfId="25186" xr:uid="{E45973EE-B6AF-40DD-AD38-3ADDF19F769E}"/>
    <cellStyle name="Note 2 2 2 2 4 2 2 4" xfId="16738" xr:uid="{370E09D0-FCCE-4F09-84AF-5132DD4E4275}"/>
    <cellStyle name="Note 2 2 2 2 4 2 3" xfId="29409" xr:uid="{17F3435A-19B6-4BAB-A159-270D5041C865}"/>
    <cellStyle name="Note 2 2 2 2 4 2 4" xfId="20968" xr:uid="{20102EED-C13A-4ADB-BB24-C34F4CB875A4}"/>
    <cellStyle name="Note 2 2 2 2 4 2 5" xfId="12520" xr:uid="{C01EE70F-DB82-41DE-BF3D-62B9FBD4F6C0}"/>
    <cellStyle name="Note 2 2 2 2 4 3" xfId="6143" xr:uid="{00000000-0005-0000-0000-0000A3200000}"/>
    <cellStyle name="Note 2 2 2 2 4 3 2" xfId="31482" xr:uid="{56AB5D73-8F03-4697-A05E-6BAD0C604880}"/>
    <cellStyle name="Note 2 2 2 2 4 3 3" xfId="23041" xr:uid="{AC889ACD-5209-4D71-A13B-5EE9072036B1}"/>
    <cellStyle name="Note 2 2 2 2 4 3 4" xfId="14593" xr:uid="{A2C20266-F454-4F18-B51C-3B7617DC8F8A}"/>
    <cellStyle name="Note 2 2 2 2 4 4" xfId="27264" xr:uid="{4CFE2FB8-F797-4F08-A9C3-E53633CE1146}"/>
    <cellStyle name="Note 2 2 2 2 4 5" xfId="18823" xr:uid="{53DB177E-2D98-46EB-822F-A0B7DEF6EEF9}"/>
    <cellStyle name="Note 2 2 2 2 4 6" xfId="10375" xr:uid="{1E1D1832-1E11-415C-B8FF-1E2BF5391A8A}"/>
    <cellStyle name="Note 2 2 2 2 5" xfId="2250" xr:uid="{00000000-0005-0000-0000-0000A4200000}"/>
    <cellStyle name="Note 2 2 2 2 5 2" xfId="4479" xr:uid="{00000000-0005-0000-0000-0000A5200000}"/>
    <cellStyle name="Note 2 2 2 2 5 2 2" xfId="8701" xr:uid="{00000000-0005-0000-0000-0000A6200000}"/>
    <cellStyle name="Note 2 2 2 2 5 2 2 2" xfId="34040" xr:uid="{D86A6694-EFD5-4524-BC94-061E3FEAAE72}"/>
    <cellStyle name="Note 2 2 2 2 5 2 2 3" xfId="25599" xr:uid="{6D90F883-3683-4E99-B1A1-3CE80975E569}"/>
    <cellStyle name="Note 2 2 2 2 5 2 2 4" xfId="17151" xr:uid="{DA51C156-7D5F-4219-A3B6-FD9072FF32F8}"/>
    <cellStyle name="Note 2 2 2 2 5 2 3" xfId="29822" xr:uid="{A6BE0057-063F-46C7-B6B3-AFB4E7B63E8C}"/>
    <cellStyle name="Note 2 2 2 2 5 2 4" xfId="21381" xr:uid="{BC348021-22B2-4BF2-B08C-E2E657D80447}"/>
    <cellStyle name="Note 2 2 2 2 5 2 5" xfId="12933" xr:uid="{E5DA5F6A-8734-4F61-970E-52899A43C364}"/>
    <cellStyle name="Note 2 2 2 2 5 3" xfId="6556" xr:uid="{00000000-0005-0000-0000-0000A7200000}"/>
    <cellStyle name="Note 2 2 2 2 5 3 2" xfId="31895" xr:uid="{606814EB-9877-45CE-93DA-7B77BE7B3A6D}"/>
    <cellStyle name="Note 2 2 2 2 5 3 3" xfId="23454" xr:uid="{1B2825EC-2411-4A67-BE63-5708E309C5AF}"/>
    <cellStyle name="Note 2 2 2 2 5 3 4" xfId="15006" xr:uid="{6098C597-09CA-40B3-8A01-DD5B14889B7C}"/>
    <cellStyle name="Note 2 2 2 2 5 4" xfId="27677" xr:uid="{F700B809-6EB7-4749-A2AE-B43C1B6EF209}"/>
    <cellStyle name="Note 2 2 2 2 5 5" xfId="19236" xr:uid="{A85A11A7-DD14-4A90-898A-DA0DA52B47DC}"/>
    <cellStyle name="Note 2 2 2 2 5 6" xfId="10788" xr:uid="{9E9C1C4D-1487-4105-B4A3-99558019C306}"/>
    <cellStyle name="Note 2 2 2 2 6" xfId="2686" xr:uid="{00000000-0005-0000-0000-0000A8200000}"/>
    <cellStyle name="Note 2 2 2 2 6 2" xfId="6969" xr:uid="{00000000-0005-0000-0000-0000A9200000}"/>
    <cellStyle name="Note 2 2 2 2 6 2 2" xfId="32308" xr:uid="{AB54DD49-EF2E-43EE-BC1D-E0521E2CCE83}"/>
    <cellStyle name="Note 2 2 2 2 6 2 3" xfId="23867" xr:uid="{A23C3767-553F-4C44-9476-7EE0EAA54525}"/>
    <cellStyle name="Note 2 2 2 2 6 2 4" xfId="15419" xr:uid="{95D01603-4DEF-43E9-8095-F14225AA4D47}"/>
    <cellStyle name="Note 2 2 2 2 6 3" xfId="28090" xr:uid="{4488D974-F150-49F6-BE3E-502ADCF5C72A}"/>
    <cellStyle name="Note 2 2 2 2 6 4" xfId="19649" xr:uid="{9463B93C-E6E8-4A2F-BD28-B95C10FA8582}"/>
    <cellStyle name="Note 2 2 2 2 6 5" xfId="11201" xr:uid="{0EF82920-3119-46D3-AB8E-835E715F1111}"/>
    <cellStyle name="Note 2 2 2 2 7" xfId="2745" xr:uid="{00000000-0005-0000-0000-0000AA200000}"/>
    <cellStyle name="Note 2 2 2 2 8" xfId="2826" xr:uid="{00000000-0005-0000-0000-0000AB200000}"/>
    <cellStyle name="Note 2 2 2 2 8 2" xfId="7049" xr:uid="{00000000-0005-0000-0000-0000AC200000}"/>
    <cellStyle name="Note 2 2 2 2 8 2 2" xfId="32388" xr:uid="{D796FB2B-ADBC-493E-A023-5F976F12B253}"/>
    <cellStyle name="Note 2 2 2 2 8 2 3" xfId="23947" xr:uid="{A5E7D44C-BE2A-4106-9DC1-7A27D5231078}"/>
    <cellStyle name="Note 2 2 2 2 8 2 4" xfId="15499" xr:uid="{EC4150F9-E8C2-420D-9D05-4146FA39E567}"/>
    <cellStyle name="Note 2 2 2 2 8 3" xfId="28170" xr:uid="{C1AA16A0-F648-4E24-80E6-E6F795587058}"/>
    <cellStyle name="Note 2 2 2 2 8 4" xfId="19729" xr:uid="{7338F9F7-F0DA-4A46-9B20-CD3DFDF31944}"/>
    <cellStyle name="Note 2 2 2 2 8 5" xfId="11281" xr:uid="{4181EA53-373A-4930-8CBA-DE3F7A70431F}"/>
    <cellStyle name="Note 2 2 2 2 9" xfId="4904" xr:uid="{00000000-0005-0000-0000-0000AD200000}"/>
    <cellStyle name="Note 2 2 2 2 9 2" xfId="30243" xr:uid="{D1E117CA-E231-4AF6-930A-0ADC570FD788}"/>
    <cellStyle name="Note 2 2 2 2 9 3" xfId="21802" xr:uid="{CD92C5F0-2526-40E7-A021-6245888E4A42}"/>
    <cellStyle name="Note 2 2 2 2 9 4" xfId="13354" xr:uid="{D628F065-3E97-4AA2-8FC6-A765B9C30B00}"/>
    <cellStyle name="Note 2 2 2 3" xfId="1007" xr:uid="{00000000-0005-0000-0000-0000AE200000}"/>
    <cellStyle name="Note 2 2 2 3 2" xfId="3239" xr:uid="{00000000-0005-0000-0000-0000AF200000}"/>
    <cellStyle name="Note 2 2 2 3 2 2" xfId="7461" xr:uid="{00000000-0005-0000-0000-0000B0200000}"/>
    <cellStyle name="Note 2 2 2 3 2 2 2" xfId="32800" xr:uid="{CC84F886-6286-46BE-AD2D-D8EE648209AA}"/>
    <cellStyle name="Note 2 2 2 3 2 2 3" xfId="24359" xr:uid="{7860CCCC-99FB-4649-A52C-3BA3DD747AC2}"/>
    <cellStyle name="Note 2 2 2 3 2 2 4" xfId="15911" xr:uid="{E61D55EC-9E64-483E-A154-BED0B5569416}"/>
    <cellStyle name="Note 2 2 2 3 2 3" xfId="28582" xr:uid="{0821912E-65DF-407C-A7B2-4EAC9D414794}"/>
    <cellStyle name="Note 2 2 2 3 2 4" xfId="20141" xr:uid="{3B125BA1-D0BC-46CB-9739-A420F0729A66}"/>
    <cellStyle name="Note 2 2 2 3 2 5" xfId="11693" xr:uid="{919EBE5B-1042-4040-9826-A8DD980FFB19}"/>
    <cellStyle name="Note 2 2 2 3 3" xfId="5316" xr:uid="{00000000-0005-0000-0000-0000B1200000}"/>
    <cellStyle name="Note 2 2 2 3 3 2" xfId="30655" xr:uid="{94607BCE-A1CB-4DCC-B202-E0A285AB3905}"/>
    <cellStyle name="Note 2 2 2 3 3 3" xfId="22214" xr:uid="{0AC84233-9E03-4AB5-9543-19A26EB810C0}"/>
    <cellStyle name="Note 2 2 2 3 3 4" xfId="13766" xr:uid="{D2616D4F-0E46-4AEB-9B9D-8721B7F6A7D8}"/>
    <cellStyle name="Note 2 2 2 3 4" xfId="26437" xr:uid="{2E684C79-94F6-446D-9D2E-27D1B81FFB07}"/>
    <cellStyle name="Note 2 2 2 3 5" xfId="17996" xr:uid="{ECA7053B-855A-4685-B2DA-415318752206}"/>
    <cellStyle name="Note 2 2 2 3 6" xfId="9548" xr:uid="{75A97C9C-48D6-436A-856B-852CB48C954D}"/>
    <cellStyle name="Note 2 2 2 4" xfId="1422" xr:uid="{00000000-0005-0000-0000-0000B2200000}"/>
    <cellStyle name="Note 2 2 2 4 2" xfId="3652" xr:uid="{00000000-0005-0000-0000-0000B3200000}"/>
    <cellStyle name="Note 2 2 2 4 2 2" xfId="7874" xr:uid="{00000000-0005-0000-0000-0000B4200000}"/>
    <cellStyle name="Note 2 2 2 4 2 2 2" xfId="33213" xr:uid="{F6FC0E54-5E45-4FE6-9132-B9BA55A4F056}"/>
    <cellStyle name="Note 2 2 2 4 2 2 3" xfId="24772" xr:uid="{0C556B0F-FAFC-4FF6-8D2A-E5B5AFCBC7A8}"/>
    <cellStyle name="Note 2 2 2 4 2 2 4" xfId="16324" xr:uid="{68F999BA-05FC-476A-9D68-91D9D5FA4E35}"/>
    <cellStyle name="Note 2 2 2 4 2 3" xfId="28995" xr:uid="{AF366F06-55A3-4067-905F-40AA28F55EB3}"/>
    <cellStyle name="Note 2 2 2 4 2 4" xfId="20554" xr:uid="{DD5986C3-4CF8-4F17-ADC3-38A28EAE9981}"/>
    <cellStyle name="Note 2 2 2 4 2 5" xfId="12106" xr:uid="{8331A676-21BF-4BAB-8E5D-2D19F9E9CD34}"/>
    <cellStyle name="Note 2 2 2 4 3" xfId="5729" xr:uid="{00000000-0005-0000-0000-0000B5200000}"/>
    <cellStyle name="Note 2 2 2 4 3 2" xfId="31068" xr:uid="{1756DB80-AA6B-441E-946C-56E6D997D4BD}"/>
    <cellStyle name="Note 2 2 2 4 3 3" xfId="22627" xr:uid="{66C3C745-B77D-43B7-9D40-3B02FEE92CF6}"/>
    <cellStyle name="Note 2 2 2 4 3 4" xfId="14179" xr:uid="{4D3448F4-B6EA-47D9-90CB-37599CD91644}"/>
    <cellStyle name="Note 2 2 2 4 4" xfId="26850" xr:uid="{A2FCA46F-613B-43B6-9504-6CAA82D16E32}"/>
    <cellStyle name="Note 2 2 2 4 5" xfId="18409" xr:uid="{8CC9E6E1-562E-4864-946C-C48921CD43E0}"/>
    <cellStyle name="Note 2 2 2 4 6" xfId="9961" xr:uid="{B1A06E50-23D5-4B41-BA9A-BB95CE17DE76}"/>
    <cellStyle name="Note 2 2 2 5" xfId="1836" xr:uid="{00000000-0005-0000-0000-0000B6200000}"/>
    <cellStyle name="Note 2 2 2 5 2" xfId="4065" xr:uid="{00000000-0005-0000-0000-0000B7200000}"/>
    <cellStyle name="Note 2 2 2 5 2 2" xfId="8287" xr:uid="{00000000-0005-0000-0000-0000B8200000}"/>
    <cellStyle name="Note 2 2 2 5 2 2 2" xfId="33626" xr:uid="{8288DAA9-0295-4483-B82E-0DDE390F14FE}"/>
    <cellStyle name="Note 2 2 2 5 2 2 3" xfId="25185" xr:uid="{91D5DC02-1204-44FD-8503-5D1BFB6B5E42}"/>
    <cellStyle name="Note 2 2 2 5 2 2 4" xfId="16737" xr:uid="{86F53598-2213-44D1-BC84-82A783AAC48E}"/>
    <cellStyle name="Note 2 2 2 5 2 3" xfId="29408" xr:uid="{FA8281F2-258D-41C6-BBED-3292BF4F0EB6}"/>
    <cellStyle name="Note 2 2 2 5 2 4" xfId="20967" xr:uid="{2A9DAADE-BC25-42BC-87CD-90E0A6866FD4}"/>
    <cellStyle name="Note 2 2 2 5 2 5" xfId="12519" xr:uid="{069F3814-8337-4EA9-9240-AFCE90506AB2}"/>
    <cellStyle name="Note 2 2 2 5 3" xfId="6142" xr:uid="{00000000-0005-0000-0000-0000B9200000}"/>
    <cellStyle name="Note 2 2 2 5 3 2" xfId="31481" xr:uid="{85A260CA-1711-496D-B820-520C1627C2D6}"/>
    <cellStyle name="Note 2 2 2 5 3 3" xfId="23040" xr:uid="{1A51C27D-2815-4D08-BD0A-25A9F21BB444}"/>
    <cellStyle name="Note 2 2 2 5 3 4" xfId="14592" xr:uid="{DE05888E-DFB5-4A3B-8D96-837DAC348266}"/>
    <cellStyle name="Note 2 2 2 5 4" xfId="27263" xr:uid="{86B47E19-D28C-46D9-B9DE-535F0BFDB492}"/>
    <cellStyle name="Note 2 2 2 5 5" xfId="18822" xr:uid="{EAC1D252-D214-48A4-A54B-1DF17E337A9A}"/>
    <cellStyle name="Note 2 2 2 5 6" xfId="10374" xr:uid="{748C9054-3CDB-4DD0-9DF0-74950CBEC1D6}"/>
    <cellStyle name="Note 2 2 2 6" xfId="2249" xr:uid="{00000000-0005-0000-0000-0000BA200000}"/>
    <cellStyle name="Note 2 2 2 6 2" xfId="4478" xr:uid="{00000000-0005-0000-0000-0000BB200000}"/>
    <cellStyle name="Note 2 2 2 6 2 2" xfId="8700" xr:uid="{00000000-0005-0000-0000-0000BC200000}"/>
    <cellStyle name="Note 2 2 2 6 2 2 2" xfId="34039" xr:uid="{5A2CC5BB-EBAC-4A29-854F-09B03E648026}"/>
    <cellStyle name="Note 2 2 2 6 2 2 3" xfId="25598" xr:uid="{1A9AC0E5-AEE1-4B2B-B485-45525F866BFE}"/>
    <cellStyle name="Note 2 2 2 6 2 2 4" xfId="17150" xr:uid="{69DC0510-9204-445F-9A2E-32178E51650C}"/>
    <cellStyle name="Note 2 2 2 6 2 3" xfId="29821" xr:uid="{7ED42E1A-84EA-466F-A5DC-3CB43DE61ADA}"/>
    <cellStyle name="Note 2 2 2 6 2 4" xfId="21380" xr:uid="{2320EC1E-69E5-47A3-82D3-0574FC9B3F58}"/>
    <cellStyle name="Note 2 2 2 6 2 5" xfId="12932" xr:uid="{D5B4B3BC-DE8E-4D94-9CD3-18D9EE8AAE98}"/>
    <cellStyle name="Note 2 2 2 6 3" xfId="6555" xr:uid="{00000000-0005-0000-0000-0000BD200000}"/>
    <cellStyle name="Note 2 2 2 6 3 2" xfId="31894" xr:uid="{BC407268-FA76-4337-8B07-149159268B1E}"/>
    <cellStyle name="Note 2 2 2 6 3 3" xfId="23453" xr:uid="{D0060C8C-59C8-4C54-AA49-34473D659702}"/>
    <cellStyle name="Note 2 2 2 6 3 4" xfId="15005" xr:uid="{3EB26B13-E5E2-4CBC-B447-6E6187D1E6B5}"/>
    <cellStyle name="Note 2 2 2 6 4" xfId="27676" xr:uid="{7C27E5DF-723C-4B1C-99EB-95C02F502077}"/>
    <cellStyle name="Note 2 2 2 6 5" xfId="19235" xr:uid="{39916D11-4A77-4064-8B46-B6ABEED28569}"/>
    <cellStyle name="Note 2 2 2 6 6" xfId="10787" xr:uid="{F74F5748-91D6-4A62-B37B-2DA5921BED3A}"/>
    <cellStyle name="Note 2 2 2 7" xfId="2685" xr:uid="{00000000-0005-0000-0000-0000BE200000}"/>
    <cellStyle name="Note 2 2 2 7 2" xfId="6968" xr:uid="{00000000-0005-0000-0000-0000BF200000}"/>
    <cellStyle name="Note 2 2 2 7 2 2" xfId="32307" xr:uid="{E06BE90B-51D3-4AA2-967A-DBE7B5445B09}"/>
    <cellStyle name="Note 2 2 2 7 2 3" xfId="23866" xr:uid="{72105870-1212-4EF0-AC27-874471116E71}"/>
    <cellStyle name="Note 2 2 2 7 2 4" xfId="15418" xr:uid="{2E00C125-706B-4F33-B40C-5DDF90A20CD2}"/>
    <cellStyle name="Note 2 2 2 7 3" xfId="28089" xr:uid="{54268DB2-E8B0-4ABC-A84C-13FB53DF2FFB}"/>
    <cellStyle name="Note 2 2 2 7 4" xfId="19648" xr:uid="{26753F5A-4C89-489E-BF29-82DE41DE4A93}"/>
    <cellStyle name="Note 2 2 2 7 5" xfId="11200" xr:uid="{4F635B6E-76B4-4511-B4B7-D8802F6A8BE1}"/>
    <cellStyle name="Note 2 2 2 8" xfId="2744" xr:uid="{00000000-0005-0000-0000-0000C0200000}"/>
    <cellStyle name="Note 2 2 2 9" xfId="2825" xr:uid="{00000000-0005-0000-0000-0000C1200000}"/>
    <cellStyle name="Note 2 2 2 9 2" xfId="7048" xr:uid="{00000000-0005-0000-0000-0000C2200000}"/>
    <cellStyle name="Note 2 2 2 9 2 2" xfId="32387" xr:uid="{3FEEAE69-906D-4FDE-803D-523F5B4A5505}"/>
    <cellStyle name="Note 2 2 2 9 2 3" xfId="23946" xr:uid="{9D769693-DAC9-4468-A02F-D9EA0E7A8D97}"/>
    <cellStyle name="Note 2 2 2 9 2 4" xfId="15498" xr:uid="{331A6949-D52F-48F7-A171-3613223962FE}"/>
    <cellStyle name="Note 2 2 2 9 3" xfId="28169" xr:uid="{66CA64BD-510C-4D93-8055-AF7D924C85FC}"/>
    <cellStyle name="Note 2 2 2 9 4" xfId="19728" xr:uid="{25475362-1714-4AFF-B28D-5ED43B54F8E0}"/>
    <cellStyle name="Note 2 2 2 9 5" xfId="11280" xr:uid="{6A021D21-6D58-4D1B-AF26-675846FD1BCC}"/>
    <cellStyle name="Note 2 2 3" xfId="548" xr:uid="{00000000-0005-0000-0000-0000C3200000}"/>
    <cellStyle name="Note 2 2 3 10" xfId="26026" xr:uid="{16B31CD5-5951-47C6-BBC3-466BB2C99A6C}"/>
    <cellStyle name="Note 2 2 3 11" xfId="17585" xr:uid="{CA517944-8E93-4F36-B606-15D023BE8D3B}"/>
    <cellStyle name="Note 2 2 3 12" xfId="9137" xr:uid="{62AFF310-2986-46A5-8369-DA799E1756D7}"/>
    <cellStyle name="Note 2 2 3 2" xfId="1009" xr:uid="{00000000-0005-0000-0000-0000C4200000}"/>
    <cellStyle name="Note 2 2 3 2 2" xfId="3241" xr:uid="{00000000-0005-0000-0000-0000C5200000}"/>
    <cellStyle name="Note 2 2 3 2 2 2" xfId="7463" xr:uid="{00000000-0005-0000-0000-0000C6200000}"/>
    <cellStyle name="Note 2 2 3 2 2 2 2" xfId="32802" xr:uid="{3F6ED4E9-CE82-4296-ACF3-2819DC2516B2}"/>
    <cellStyle name="Note 2 2 3 2 2 2 3" xfId="24361" xr:uid="{C8761F82-CE69-4FB8-A424-516C80712572}"/>
    <cellStyle name="Note 2 2 3 2 2 2 4" xfId="15913" xr:uid="{4978F857-7CE4-420C-B64D-BA8FC5B82890}"/>
    <cellStyle name="Note 2 2 3 2 2 3" xfId="28584" xr:uid="{EE770CE5-0746-47B5-920C-ABAB57AAE730}"/>
    <cellStyle name="Note 2 2 3 2 2 4" xfId="20143" xr:uid="{954F004B-7AFF-4306-9C6E-C859F896A3F7}"/>
    <cellStyle name="Note 2 2 3 2 2 5" xfId="11695" xr:uid="{7315791D-5743-4116-BC90-305B9A5EFBB9}"/>
    <cellStyle name="Note 2 2 3 2 3" xfId="5318" xr:uid="{00000000-0005-0000-0000-0000C7200000}"/>
    <cellStyle name="Note 2 2 3 2 3 2" xfId="30657" xr:uid="{AF90083B-CCF5-40F9-AFEC-457254B29DB6}"/>
    <cellStyle name="Note 2 2 3 2 3 3" xfId="22216" xr:uid="{46F099C8-8F37-40EE-9D87-BEA1DC383E9D}"/>
    <cellStyle name="Note 2 2 3 2 3 4" xfId="13768" xr:uid="{47C44F48-8A25-40BF-9118-1AACC6EC2C9E}"/>
    <cellStyle name="Note 2 2 3 2 4" xfId="26439" xr:uid="{A22AC332-1129-4400-B705-A398A87C6DF5}"/>
    <cellStyle name="Note 2 2 3 2 5" xfId="17998" xr:uid="{0E6F0365-78B6-4D2B-8C67-696472D3A987}"/>
    <cellStyle name="Note 2 2 3 2 6" xfId="9550" xr:uid="{191735C0-370E-49C3-B400-B187BC5ACB93}"/>
    <cellStyle name="Note 2 2 3 3" xfId="1424" xr:uid="{00000000-0005-0000-0000-0000C8200000}"/>
    <cellStyle name="Note 2 2 3 3 2" xfId="3654" xr:uid="{00000000-0005-0000-0000-0000C9200000}"/>
    <cellStyle name="Note 2 2 3 3 2 2" xfId="7876" xr:uid="{00000000-0005-0000-0000-0000CA200000}"/>
    <cellStyle name="Note 2 2 3 3 2 2 2" xfId="33215" xr:uid="{8F764772-F0DA-4DE9-ABFE-1A69FA330CA4}"/>
    <cellStyle name="Note 2 2 3 3 2 2 3" xfId="24774" xr:uid="{9DFC31C4-DE40-4317-8336-8893F5EDFAFF}"/>
    <cellStyle name="Note 2 2 3 3 2 2 4" xfId="16326" xr:uid="{DDABB8C7-420D-4F07-AF71-15B57A851635}"/>
    <cellStyle name="Note 2 2 3 3 2 3" xfId="28997" xr:uid="{ACD420C6-895D-41EE-831C-58276352DC60}"/>
    <cellStyle name="Note 2 2 3 3 2 4" xfId="20556" xr:uid="{9355B9D7-E69A-4B76-B668-B2CD39A901F6}"/>
    <cellStyle name="Note 2 2 3 3 2 5" xfId="12108" xr:uid="{2F7EFC85-5974-4334-9746-1D6592BEA850}"/>
    <cellStyle name="Note 2 2 3 3 3" xfId="5731" xr:uid="{00000000-0005-0000-0000-0000CB200000}"/>
    <cellStyle name="Note 2 2 3 3 3 2" xfId="31070" xr:uid="{580F263C-3C0B-472D-A7C2-F1356744D98D}"/>
    <cellStyle name="Note 2 2 3 3 3 3" xfId="22629" xr:uid="{801E865C-F7AD-4992-8D8F-0D0BFFAF55F0}"/>
    <cellStyle name="Note 2 2 3 3 3 4" xfId="14181" xr:uid="{AC7A0A5D-5602-417D-AACA-6F9B99351196}"/>
    <cellStyle name="Note 2 2 3 3 4" xfId="26852" xr:uid="{F4620A3F-5369-481A-8A73-2440241EC0A5}"/>
    <cellStyle name="Note 2 2 3 3 5" xfId="18411" xr:uid="{533A365E-10B0-4ACD-8C16-B68BFDBE6152}"/>
    <cellStyle name="Note 2 2 3 3 6" xfId="9963" xr:uid="{F2966A26-9979-4E63-8BD1-B11CF3C8E7E6}"/>
    <cellStyle name="Note 2 2 3 4" xfId="1838" xr:uid="{00000000-0005-0000-0000-0000CC200000}"/>
    <cellStyle name="Note 2 2 3 4 2" xfId="4067" xr:uid="{00000000-0005-0000-0000-0000CD200000}"/>
    <cellStyle name="Note 2 2 3 4 2 2" xfId="8289" xr:uid="{00000000-0005-0000-0000-0000CE200000}"/>
    <cellStyle name="Note 2 2 3 4 2 2 2" xfId="33628" xr:uid="{217D2C50-12AB-4118-8C63-68841A7D1347}"/>
    <cellStyle name="Note 2 2 3 4 2 2 3" xfId="25187" xr:uid="{6E95F460-0688-494A-9AE2-A1CB514A397F}"/>
    <cellStyle name="Note 2 2 3 4 2 2 4" xfId="16739" xr:uid="{2C0B0C93-62A3-4A89-8FE4-28C7C2C8524E}"/>
    <cellStyle name="Note 2 2 3 4 2 3" xfId="29410" xr:uid="{9DCF9897-663C-4B22-BE6A-86FD5F091A4D}"/>
    <cellStyle name="Note 2 2 3 4 2 4" xfId="20969" xr:uid="{3C81A4C6-8AFB-4586-8AC0-C929A9821E24}"/>
    <cellStyle name="Note 2 2 3 4 2 5" xfId="12521" xr:uid="{0808A37F-377E-46E4-8A9F-3DEAEC9E47E7}"/>
    <cellStyle name="Note 2 2 3 4 3" xfId="6144" xr:uid="{00000000-0005-0000-0000-0000CF200000}"/>
    <cellStyle name="Note 2 2 3 4 3 2" xfId="31483" xr:uid="{F165B674-7211-4D27-9BDF-FA3B3F82BC0E}"/>
    <cellStyle name="Note 2 2 3 4 3 3" xfId="23042" xr:uid="{43E310E4-92CF-4E57-B6EA-E86913B3A405}"/>
    <cellStyle name="Note 2 2 3 4 3 4" xfId="14594" xr:uid="{08EE29AB-36CC-4462-9237-A352CAB37A41}"/>
    <cellStyle name="Note 2 2 3 4 4" xfId="27265" xr:uid="{D6380708-065B-421C-877A-8B5D95F8625E}"/>
    <cellStyle name="Note 2 2 3 4 5" xfId="18824" xr:uid="{E38AC27B-F4CB-42A6-B94D-D0A1C4DC6ECF}"/>
    <cellStyle name="Note 2 2 3 4 6" xfId="10376" xr:uid="{6D372995-AEAD-4B77-BC78-AFAD2725073F}"/>
    <cellStyle name="Note 2 2 3 5" xfId="2251" xr:uid="{00000000-0005-0000-0000-0000D0200000}"/>
    <cellStyle name="Note 2 2 3 5 2" xfId="4480" xr:uid="{00000000-0005-0000-0000-0000D1200000}"/>
    <cellStyle name="Note 2 2 3 5 2 2" xfId="8702" xr:uid="{00000000-0005-0000-0000-0000D2200000}"/>
    <cellStyle name="Note 2 2 3 5 2 2 2" xfId="34041" xr:uid="{41D78AF0-FCFD-4640-8E07-8FF6CF0191C7}"/>
    <cellStyle name="Note 2 2 3 5 2 2 3" xfId="25600" xr:uid="{125FBFCE-3BB4-44AF-A46C-A6F0D11DB3B9}"/>
    <cellStyle name="Note 2 2 3 5 2 2 4" xfId="17152" xr:uid="{206F30CD-6ADB-44F6-9AF6-999AA0688285}"/>
    <cellStyle name="Note 2 2 3 5 2 3" xfId="29823" xr:uid="{079635A5-7497-433B-94CC-E29F2D36DC77}"/>
    <cellStyle name="Note 2 2 3 5 2 4" xfId="21382" xr:uid="{A53411BE-48F4-4B17-A6AE-C73240780300}"/>
    <cellStyle name="Note 2 2 3 5 2 5" xfId="12934" xr:uid="{6C5676DD-5A05-44FD-AED4-33FBB6623275}"/>
    <cellStyle name="Note 2 2 3 5 3" xfId="6557" xr:uid="{00000000-0005-0000-0000-0000D3200000}"/>
    <cellStyle name="Note 2 2 3 5 3 2" xfId="31896" xr:uid="{9D7CA0E1-8EEF-455B-BDD3-CCF803808D79}"/>
    <cellStyle name="Note 2 2 3 5 3 3" xfId="23455" xr:uid="{A038F6C6-8ACC-4C48-99C7-5D156B3ECBCE}"/>
    <cellStyle name="Note 2 2 3 5 3 4" xfId="15007" xr:uid="{AF2115E2-E364-47C7-A47E-4EBDD8EBD435}"/>
    <cellStyle name="Note 2 2 3 5 4" xfId="27678" xr:uid="{E3814207-F960-4FC3-A61E-CD554E8448B0}"/>
    <cellStyle name="Note 2 2 3 5 5" xfId="19237" xr:uid="{A8431126-6FC1-4271-95C6-A3C37B94DA7B}"/>
    <cellStyle name="Note 2 2 3 5 6" xfId="10789" xr:uid="{1E09B9F2-6A8F-47A3-AA2B-FF7654352792}"/>
    <cellStyle name="Note 2 2 3 6" xfId="2687" xr:uid="{00000000-0005-0000-0000-0000D4200000}"/>
    <cellStyle name="Note 2 2 3 6 2" xfId="6970" xr:uid="{00000000-0005-0000-0000-0000D5200000}"/>
    <cellStyle name="Note 2 2 3 6 2 2" xfId="32309" xr:uid="{EA7B663C-7C3B-49C6-ACC1-2838FF4AE2E4}"/>
    <cellStyle name="Note 2 2 3 6 2 3" xfId="23868" xr:uid="{D3BD943E-D05D-469D-B440-6543910D645E}"/>
    <cellStyle name="Note 2 2 3 6 2 4" xfId="15420" xr:uid="{38FCB8EF-3B51-42F3-9338-BD0C8CC16998}"/>
    <cellStyle name="Note 2 2 3 6 3" xfId="28091" xr:uid="{845DC648-77D7-4A07-9DA4-E3A2E533C3F8}"/>
    <cellStyle name="Note 2 2 3 6 4" xfId="19650" xr:uid="{7D2DFB56-6E6C-4AA6-8642-2F96F56555E3}"/>
    <cellStyle name="Note 2 2 3 6 5" xfId="11202" xr:uid="{6094A604-735A-4DA7-BCB6-B443E25B0701}"/>
    <cellStyle name="Note 2 2 3 7" xfId="2746" xr:uid="{00000000-0005-0000-0000-0000D6200000}"/>
    <cellStyle name="Note 2 2 3 8" xfId="2827" xr:uid="{00000000-0005-0000-0000-0000D7200000}"/>
    <cellStyle name="Note 2 2 3 8 2" xfId="7050" xr:uid="{00000000-0005-0000-0000-0000D8200000}"/>
    <cellStyle name="Note 2 2 3 8 2 2" xfId="32389" xr:uid="{245C3249-46D0-4F4D-866E-F71BE7019188}"/>
    <cellStyle name="Note 2 2 3 8 2 3" xfId="23948" xr:uid="{676DB408-D370-4499-95DE-6348D6F27E98}"/>
    <cellStyle name="Note 2 2 3 8 2 4" xfId="15500" xr:uid="{6F1EE216-77FD-4F41-B057-E13229FD933D}"/>
    <cellStyle name="Note 2 2 3 8 3" xfId="28171" xr:uid="{AB0FE9CA-6701-4FC5-8077-ABC9789E994F}"/>
    <cellStyle name="Note 2 2 3 8 4" xfId="19730" xr:uid="{A1887198-5F5A-4E8F-A819-894917842063}"/>
    <cellStyle name="Note 2 2 3 8 5" xfId="11282" xr:uid="{565CAC67-1C26-412B-B687-30D67C635F32}"/>
    <cellStyle name="Note 2 2 3 9" xfId="4905" xr:uid="{00000000-0005-0000-0000-0000D9200000}"/>
    <cellStyle name="Note 2 2 3 9 2" xfId="30244" xr:uid="{CCA4C759-BA1B-48B6-8D68-E40A8EF9E8C2}"/>
    <cellStyle name="Note 2 2 3 9 3" xfId="21803" xr:uid="{FC0D3411-B824-47A3-A7E5-34039F274856}"/>
    <cellStyle name="Note 2 2 3 9 4" xfId="13355" xr:uid="{651CE2CC-B9F9-48F7-8BDC-E5282D47D49D}"/>
    <cellStyle name="Note 2 2 4" xfId="1006" xr:uid="{00000000-0005-0000-0000-0000DA200000}"/>
    <cellStyle name="Note 2 2 4 2" xfId="3238" xr:uid="{00000000-0005-0000-0000-0000DB200000}"/>
    <cellStyle name="Note 2 2 4 2 2" xfId="7460" xr:uid="{00000000-0005-0000-0000-0000DC200000}"/>
    <cellStyle name="Note 2 2 4 2 2 2" xfId="32799" xr:uid="{C5578BF8-3F59-4F8D-A50B-BA7A207B63A0}"/>
    <cellStyle name="Note 2 2 4 2 2 3" xfId="24358" xr:uid="{C3ECBCF7-A6D0-4FEB-90F9-C930F00AA031}"/>
    <cellStyle name="Note 2 2 4 2 2 4" xfId="15910" xr:uid="{0DE5D98C-72BE-4B14-94D6-7C2EE6709B46}"/>
    <cellStyle name="Note 2 2 4 2 3" xfId="28581" xr:uid="{1C27230B-ACCE-4349-B133-44841784C0D1}"/>
    <cellStyle name="Note 2 2 4 2 4" xfId="20140" xr:uid="{238C754D-4CC3-4901-9A1B-85BBB6566DA5}"/>
    <cellStyle name="Note 2 2 4 2 5" xfId="11692" xr:uid="{5D2D8DA4-66C2-4254-ADE1-8DF61A00CCF6}"/>
    <cellStyle name="Note 2 2 4 3" xfId="5315" xr:uid="{00000000-0005-0000-0000-0000DD200000}"/>
    <cellStyle name="Note 2 2 4 3 2" xfId="30654" xr:uid="{CECC5CE4-B223-4168-98DE-E8B038848C59}"/>
    <cellStyle name="Note 2 2 4 3 3" xfId="22213" xr:uid="{4CB04808-D35E-4473-B965-78BC37FE69BF}"/>
    <cellStyle name="Note 2 2 4 3 4" xfId="13765" xr:uid="{1667BD8D-1988-4392-A8C6-711B99723B7E}"/>
    <cellStyle name="Note 2 2 4 4" xfId="26436" xr:uid="{EC4DB9E5-5D8C-4EA5-AC07-D6C19F06746C}"/>
    <cellStyle name="Note 2 2 4 5" xfId="17995" xr:uid="{C6A120D3-A4B0-4EB9-B33C-7D11A64E10AF}"/>
    <cellStyle name="Note 2 2 4 6" xfId="9547" xr:uid="{C44191C2-2612-496A-A817-FD2FECB10972}"/>
    <cellStyle name="Note 2 2 5" xfId="1421" xr:uid="{00000000-0005-0000-0000-0000DE200000}"/>
    <cellStyle name="Note 2 2 5 2" xfId="3651" xr:uid="{00000000-0005-0000-0000-0000DF200000}"/>
    <cellStyle name="Note 2 2 5 2 2" xfId="7873" xr:uid="{00000000-0005-0000-0000-0000E0200000}"/>
    <cellStyle name="Note 2 2 5 2 2 2" xfId="33212" xr:uid="{10DEB015-7168-4C3A-B565-14F2684B335C}"/>
    <cellStyle name="Note 2 2 5 2 2 3" xfId="24771" xr:uid="{B87DC174-FD4B-455B-891F-FB9B65B0A3F3}"/>
    <cellStyle name="Note 2 2 5 2 2 4" xfId="16323" xr:uid="{ADBC4ABB-0218-4CCC-AB21-1965E99D2F8D}"/>
    <cellStyle name="Note 2 2 5 2 3" xfId="28994" xr:uid="{CDC6906B-9C06-490D-B5B4-4B0BBB6FEF61}"/>
    <cellStyle name="Note 2 2 5 2 4" xfId="20553" xr:uid="{C9883A47-C6CE-4B91-BC04-E4819BC1053C}"/>
    <cellStyle name="Note 2 2 5 2 5" xfId="12105" xr:uid="{22B1292D-B7A7-4A7F-A6A4-DCE7BCDF1DA1}"/>
    <cellStyle name="Note 2 2 5 3" xfId="5728" xr:uid="{00000000-0005-0000-0000-0000E1200000}"/>
    <cellStyle name="Note 2 2 5 3 2" xfId="31067" xr:uid="{7A72787F-4FC3-4804-95F4-DD0411DF0015}"/>
    <cellStyle name="Note 2 2 5 3 3" xfId="22626" xr:uid="{E403AD32-F804-46E0-9238-4688A0A6DFD7}"/>
    <cellStyle name="Note 2 2 5 3 4" xfId="14178" xr:uid="{7DF6343B-CA70-4581-B14C-F0A89734CC39}"/>
    <cellStyle name="Note 2 2 5 4" xfId="26849" xr:uid="{C5292D76-EEBE-4B18-BA65-6F4483F5719E}"/>
    <cellStyle name="Note 2 2 5 5" xfId="18408" xr:uid="{78133258-3D20-415A-853F-E84F0B09C75A}"/>
    <cellStyle name="Note 2 2 5 6" xfId="9960" xr:uid="{5840B5E2-9701-40D6-8AAD-1CADFAAAF66B}"/>
    <cellStyle name="Note 2 2 6" xfId="1835" xr:uid="{00000000-0005-0000-0000-0000E2200000}"/>
    <cellStyle name="Note 2 2 6 2" xfId="4064" xr:uid="{00000000-0005-0000-0000-0000E3200000}"/>
    <cellStyle name="Note 2 2 6 2 2" xfId="8286" xr:uid="{00000000-0005-0000-0000-0000E4200000}"/>
    <cellStyle name="Note 2 2 6 2 2 2" xfId="33625" xr:uid="{382603CA-BB35-4B0C-AB5C-3FDB2706E9B8}"/>
    <cellStyle name="Note 2 2 6 2 2 3" xfId="25184" xr:uid="{4497C90B-5D3A-46AD-9750-98B08A1B72CD}"/>
    <cellStyle name="Note 2 2 6 2 2 4" xfId="16736" xr:uid="{7880DE7F-A3FC-46D1-833A-BF704AF3BCD7}"/>
    <cellStyle name="Note 2 2 6 2 3" xfId="29407" xr:uid="{CCF10CBF-E5D6-4721-9396-17C8E1099BD9}"/>
    <cellStyle name="Note 2 2 6 2 4" xfId="20966" xr:uid="{258F3D87-9561-4393-A254-3B09853D61A9}"/>
    <cellStyle name="Note 2 2 6 2 5" xfId="12518" xr:uid="{3BE0150D-540C-4C3E-AA7D-426E6F8E1EA7}"/>
    <cellStyle name="Note 2 2 6 3" xfId="6141" xr:uid="{00000000-0005-0000-0000-0000E5200000}"/>
    <cellStyle name="Note 2 2 6 3 2" xfId="31480" xr:uid="{70E6905C-6423-4458-8AD3-B50F49ED8495}"/>
    <cellStyle name="Note 2 2 6 3 3" xfId="23039" xr:uid="{F7A2089C-141B-4664-99FF-054D32A94291}"/>
    <cellStyle name="Note 2 2 6 3 4" xfId="14591" xr:uid="{0A050BD2-4873-4C93-A34E-90AFFA3D39BE}"/>
    <cellStyle name="Note 2 2 6 4" xfId="27262" xr:uid="{9AA0C106-1F22-4DA5-8414-45AD81E089AD}"/>
    <cellStyle name="Note 2 2 6 5" xfId="18821" xr:uid="{3A2E3714-98B3-4ABE-B518-6FDE6DBF163F}"/>
    <cellStyle name="Note 2 2 6 6" xfId="10373" xr:uid="{61E6E605-117E-4F61-B43A-BF8A38C652EC}"/>
    <cellStyle name="Note 2 2 7" xfId="2248" xr:uid="{00000000-0005-0000-0000-0000E6200000}"/>
    <cellStyle name="Note 2 2 7 2" xfId="4477" xr:uid="{00000000-0005-0000-0000-0000E7200000}"/>
    <cellStyle name="Note 2 2 7 2 2" xfId="8699" xr:uid="{00000000-0005-0000-0000-0000E8200000}"/>
    <cellStyle name="Note 2 2 7 2 2 2" xfId="34038" xr:uid="{F1F96E44-9314-43E9-AADB-4BAFE8A58B01}"/>
    <cellStyle name="Note 2 2 7 2 2 3" xfId="25597" xr:uid="{A4236A9B-0D85-4664-95D8-230EF37A04C8}"/>
    <cellStyle name="Note 2 2 7 2 2 4" xfId="17149" xr:uid="{4B6A8194-7F96-4240-8BCC-CE4103CCAD9A}"/>
    <cellStyle name="Note 2 2 7 2 3" xfId="29820" xr:uid="{60256C6C-47F9-4B74-A479-38FB33B7CEF4}"/>
    <cellStyle name="Note 2 2 7 2 4" xfId="21379" xr:uid="{1D616FDF-043F-4A2D-BC07-8C5061C64693}"/>
    <cellStyle name="Note 2 2 7 2 5" xfId="12931" xr:uid="{13C44518-742B-482D-83EE-5DC7EAFAE332}"/>
    <cellStyle name="Note 2 2 7 3" xfId="6554" xr:uid="{00000000-0005-0000-0000-0000E9200000}"/>
    <cellStyle name="Note 2 2 7 3 2" xfId="31893" xr:uid="{7F150CA0-60AC-4393-BE3E-6579E865D75B}"/>
    <cellStyle name="Note 2 2 7 3 3" xfId="23452" xr:uid="{EFF8B675-9536-49CC-A8C9-F6B4DBEBA9C9}"/>
    <cellStyle name="Note 2 2 7 3 4" xfId="15004" xr:uid="{997532D8-417F-4B28-9B5B-B479E26E3F17}"/>
    <cellStyle name="Note 2 2 7 4" xfId="27675" xr:uid="{3891CD4F-8042-4FD6-A0CB-5FBB413EE0BE}"/>
    <cellStyle name="Note 2 2 7 5" xfId="19234" xr:uid="{126FBC83-8857-4DAC-ADE5-ABD31CAD9DEE}"/>
    <cellStyle name="Note 2 2 7 6" xfId="10786" xr:uid="{4B95758E-DB5B-49B1-9E6A-D4D84C96AD84}"/>
    <cellStyle name="Note 2 2 8" xfId="2684" xr:uid="{00000000-0005-0000-0000-0000EA200000}"/>
    <cellStyle name="Note 2 2 8 2" xfId="6967" xr:uid="{00000000-0005-0000-0000-0000EB200000}"/>
    <cellStyle name="Note 2 2 8 2 2" xfId="32306" xr:uid="{8141093D-BD9C-4924-B8D3-26697FB59CF6}"/>
    <cellStyle name="Note 2 2 8 2 3" xfId="23865" xr:uid="{27B59EC0-51FF-4BB5-B196-E8989F6B6204}"/>
    <cellStyle name="Note 2 2 8 2 4" xfId="15417" xr:uid="{3AEA9DF4-BACD-431C-AD2A-AAC8B5FCF384}"/>
    <cellStyle name="Note 2 2 8 3" xfId="28088" xr:uid="{9FBD935A-E259-4272-B764-96C436380830}"/>
    <cellStyle name="Note 2 2 8 4" xfId="19647" xr:uid="{3D348C2B-A655-4B36-931F-A5240D462F7B}"/>
    <cellStyle name="Note 2 2 8 5" xfId="11199" xr:uid="{F332A391-4C16-42E7-A4C0-30B5344EF971}"/>
    <cellStyle name="Note 2 2 9" xfId="2743" xr:uid="{00000000-0005-0000-0000-0000EC200000}"/>
    <cellStyle name="Note 2 3" xfId="549" xr:uid="{00000000-0005-0000-0000-0000ED200000}"/>
    <cellStyle name="Note 2 3 10" xfId="4906" xr:uid="{00000000-0005-0000-0000-0000EE200000}"/>
    <cellStyle name="Note 2 3 10 2" xfId="30245" xr:uid="{9D32F8CA-F002-40FC-86BF-5C0BFA9BF06F}"/>
    <cellStyle name="Note 2 3 10 3" xfId="21804" xr:uid="{0DE74842-7FBC-4765-9734-D309629F2A7A}"/>
    <cellStyle name="Note 2 3 10 4" xfId="13356" xr:uid="{49A9AF47-9414-4AB0-BA39-7B349B8E85D0}"/>
    <cellStyle name="Note 2 3 11" xfId="26027" xr:uid="{3595FDEB-CADC-4070-8ACB-46D081314B4C}"/>
    <cellStyle name="Note 2 3 12" xfId="17586" xr:uid="{69DCC5F3-677F-4601-93AA-D28EC9D91FA6}"/>
    <cellStyle name="Note 2 3 13" xfId="9138" xr:uid="{75EF1989-7365-4BEE-8A42-EB6928017431}"/>
    <cellStyle name="Note 2 3 2" xfId="550" xr:uid="{00000000-0005-0000-0000-0000EF200000}"/>
    <cellStyle name="Note 2 3 2 10" xfId="26028" xr:uid="{24E76F2B-AEA6-4C8F-A972-20A918E55E60}"/>
    <cellStyle name="Note 2 3 2 11" xfId="17587" xr:uid="{526AE5A4-CBF4-489B-BA12-A57094264513}"/>
    <cellStyle name="Note 2 3 2 12" xfId="9139" xr:uid="{CA060B5C-AFE5-4E43-AC84-12538ECFDC14}"/>
    <cellStyle name="Note 2 3 2 2" xfId="1011" xr:uid="{00000000-0005-0000-0000-0000F0200000}"/>
    <cellStyle name="Note 2 3 2 2 2" xfId="3243" xr:uid="{00000000-0005-0000-0000-0000F1200000}"/>
    <cellStyle name="Note 2 3 2 2 2 2" xfId="7465" xr:uid="{00000000-0005-0000-0000-0000F2200000}"/>
    <cellStyle name="Note 2 3 2 2 2 2 2" xfId="32804" xr:uid="{3768257E-C51D-4B55-B1BB-438D7FB80A6B}"/>
    <cellStyle name="Note 2 3 2 2 2 2 3" xfId="24363" xr:uid="{72960F27-FE86-4A0A-AE75-51324AEA975C}"/>
    <cellStyle name="Note 2 3 2 2 2 2 4" xfId="15915" xr:uid="{9E1091B4-4362-459F-B325-79E3536B90F4}"/>
    <cellStyle name="Note 2 3 2 2 2 3" xfId="28586" xr:uid="{05239EDF-291F-4705-B339-8346716E39B8}"/>
    <cellStyle name="Note 2 3 2 2 2 4" xfId="20145" xr:uid="{5E1845C7-43DB-4A15-A989-0D418809ABCB}"/>
    <cellStyle name="Note 2 3 2 2 2 5" xfId="11697" xr:uid="{1F5AF129-DB86-4A3A-A21E-9CD555A1A8B6}"/>
    <cellStyle name="Note 2 3 2 2 3" xfId="5320" xr:uid="{00000000-0005-0000-0000-0000F3200000}"/>
    <cellStyle name="Note 2 3 2 2 3 2" xfId="30659" xr:uid="{BC82DDD9-1C81-4ADB-863A-FFD0D790D695}"/>
    <cellStyle name="Note 2 3 2 2 3 3" xfId="22218" xr:uid="{D4964731-E0D3-4A66-AE42-F9B6FDFB84DF}"/>
    <cellStyle name="Note 2 3 2 2 3 4" xfId="13770" xr:uid="{D5D61C84-3BD6-4516-9F00-10CA08AD0651}"/>
    <cellStyle name="Note 2 3 2 2 4" xfId="26441" xr:uid="{EA0587D3-37A7-4512-8E01-9233CF8FE2A7}"/>
    <cellStyle name="Note 2 3 2 2 5" xfId="18000" xr:uid="{3C460CA3-5C32-45D8-91E7-C1A78A293338}"/>
    <cellStyle name="Note 2 3 2 2 6" xfId="9552" xr:uid="{7627AE46-88F1-4CF8-BA20-1AF868B2EE21}"/>
    <cellStyle name="Note 2 3 2 3" xfId="1426" xr:uid="{00000000-0005-0000-0000-0000F4200000}"/>
    <cellStyle name="Note 2 3 2 3 2" xfId="3656" xr:uid="{00000000-0005-0000-0000-0000F5200000}"/>
    <cellStyle name="Note 2 3 2 3 2 2" xfId="7878" xr:uid="{00000000-0005-0000-0000-0000F6200000}"/>
    <cellStyle name="Note 2 3 2 3 2 2 2" xfId="33217" xr:uid="{FDDD9B74-4418-4246-BB4F-62DDC19E498A}"/>
    <cellStyle name="Note 2 3 2 3 2 2 3" xfId="24776" xr:uid="{01D1FCCA-AD87-41FB-AFDC-124EA470234C}"/>
    <cellStyle name="Note 2 3 2 3 2 2 4" xfId="16328" xr:uid="{593FA044-4D95-4CD0-A889-FE659790F2D8}"/>
    <cellStyle name="Note 2 3 2 3 2 3" xfId="28999" xr:uid="{8736D5D9-F578-4846-A32E-CC864466FB63}"/>
    <cellStyle name="Note 2 3 2 3 2 4" xfId="20558" xr:uid="{04FBA761-4851-4EFF-A78E-883911EEBB65}"/>
    <cellStyle name="Note 2 3 2 3 2 5" xfId="12110" xr:uid="{4268B120-24E6-4C03-B314-664FE5980240}"/>
    <cellStyle name="Note 2 3 2 3 3" xfId="5733" xr:uid="{00000000-0005-0000-0000-0000F7200000}"/>
    <cellStyle name="Note 2 3 2 3 3 2" xfId="31072" xr:uid="{75968BC5-250B-4CBC-A659-9D73E5DCD3EE}"/>
    <cellStyle name="Note 2 3 2 3 3 3" xfId="22631" xr:uid="{980E65E4-EAE4-4BC8-BCD0-085A073E2E19}"/>
    <cellStyle name="Note 2 3 2 3 3 4" xfId="14183" xr:uid="{5BF2B249-53A2-4890-8B71-1E3CF44C6FB1}"/>
    <cellStyle name="Note 2 3 2 3 4" xfId="26854" xr:uid="{48E8C2C4-08D2-4DA3-8123-7E35ABF125D4}"/>
    <cellStyle name="Note 2 3 2 3 5" xfId="18413" xr:uid="{30A1862F-928C-4733-ABBC-BDF017C6F0AD}"/>
    <cellStyle name="Note 2 3 2 3 6" xfId="9965" xr:uid="{E2D5EC3C-80B2-4593-9325-9277043C30B2}"/>
    <cellStyle name="Note 2 3 2 4" xfId="1840" xr:uid="{00000000-0005-0000-0000-0000F8200000}"/>
    <cellStyle name="Note 2 3 2 4 2" xfId="4069" xr:uid="{00000000-0005-0000-0000-0000F9200000}"/>
    <cellStyle name="Note 2 3 2 4 2 2" xfId="8291" xr:uid="{00000000-0005-0000-0000-0000FA200000}"/>
    <cellStyle name="Note 2 3 2 4 2 2 2" xfId="33630" xr:uid="{266B6018-619B-494B-9468-A454DA421621}"/>
    <cellStyle name="Note 2 3 2 4 2 2 3" xfId="25189" xr:uid="{4D962F89-9031-469C-BBFA-021FEAF252F1}"/>
    <cellStyle name="Note 2 3 2 4 2 2 4" xfId="16741" xr:uid="{679ED59E-45CC-4FD9-9723-53CC70817989}"/>
    <cellStyle name="Note 2 3 2 4 2 3" xfId="29412" xr:uid="{FB5A3142-38C0-4295-8102-D784483FA9B5}"/>
    <cellStyle name="Note 2 3 2 4 2 4" xfId="20971" xr:uid="{05FB2709-6EF0-4D53-BD51-218C65C90E98}"/>
    <cellStyle name="Note 2 3 2 4 2 5" xfId="12523" xr:uid="{19A232B8-9C07-4C78-8466-37B1E0600219}"/>
    <cellStyle name="Note 2 3 2 4 3" xfId="6146" xr:uid="{00000000-0005-0000-0000-0000FB200000}"/>
    <cellStyle name="Note 2 3 2 4 3 2" xfId="31485" xr:uid="{CC761AE2-A303-4BB5-8A64-F78A79048D0E}"/>
    <cellStyle name="Note 2 3 2 4 3 3" xfId="23044" xr:uid="{E77CE9ED-EBBF-47E0-BFB5-84BA105E466C}"/>
    <cellStyle name="Note 2 3 2 4 3 4" xfId="14596" xr:uid="{AC7182EE-70D5-4052-859C-CE039C1986E9}"/>
    <cellStyle name="Note 2 3 2 4 4" xfId="27267" xr:uid="{CB75EE3F-98E8-4D71-9911-03B3770C551E}"/>
    <cellStyle name="Note 2 3 2 4 5" xfId="18826" xr:uid="{8D6FE5B3-7A4D-454E-B75B-AA9244A39921}"/>
    <cellStyle name="Note 2 3 2 4 6" xfId="10378" xr:uid="{23BD506E-4634-46FD-8763-9ABFA8C60FC7}"/>
    <cellStyle name="Note 2 3 2 5" xfId="2253" xr:uid="{00000000-0005-0000-0000-0000FC200000}"/>
    <cellStyle name="Note 2 3 2 5 2" xfId="4482" xr:uid="{00000000-0005-0000-0000-0000FD200000}"/>
    <cellStyle name="Note 2 3 2 5 2 2" xfId="8704" xr:uid="{00000000-0005-0000-0000-0000FE200000}"/>
    <cellStyle name="Note 2 3 2 5 2 2 2" xfId="34043" xr:uid="{A13D58AE-AD46-469D-97E4-AB7A88AE2B94}"/>
    <cellStyle name="Note 2 3 2 5 2 2 3" xfId="25602" xr:uid="{96968C42-BCD1-42EA-A1C3-2C7B085DF594}"/>
    <cellStyle name="Note 2 3 2 5 2 2 4" xfId="17154" xr:uid="{63FB104D-AF27-482F-B5C4-AEA9400BCD93}"/>
    <cellStyle name="Note 2 3 2 5 2 3" xfId="29825" xr:uid="{56779504-61A2-4E8F-A9D6-7F7BA142DB2F}"/>
    <cellStyle name="Note 2 3 2 5 2 4" xfId="21384" xr:uid="{EA4F21C4-7F58-46D7-9D41-B46A2AA50AEF}"/>
    <cellStyle name="Note 2 3 2 5 2 5" xfId="12936" xr:uid="{537CDF01-A635-43D5-9C31-B3F0CD30C00E}"/>
    <cellStyle name="Note 2 3 2 5 3" xfId="6559" xr:uid="{00000000-0005-0000-0000-0000FF200000}"/>
    <cellStyle name="Note 2 3 2 5 3 2" xfId="31898" xr:uid="{F3496E1F-36FE-4AD4-8A4E-4618146BD7A2}"/>
    <cellStyle name="Note 2 3 2 5 3 3" xfId="23457" xr:uid="{8926EBC0-F0E7-4058-86D3-3B176FB9DB27}"/>
    <cellStyle name="Note 2 3 2 5 3 4" xfId="15009" xr:uid="{E4585789-CB52-4BD6-93E3-C09FD583CC5D}"/>
    <cellStyle name="Note 2 3 2 5 4" xfId="27680" xr:uid="{BDA4164F-6F71-464F-A810-D20FFB1AF920}"/>
    <cellStyle name="Note 2 3 2 5 5" xfId="19239" xr:uid="{83816F16-322F-48B9-9A38-A26183B761A3}"/>
    <cellStyle name="Note 2 3 2 5 6" xfId="10791" xr:uid="{0C7B0FB2-6CD1-4956-B288-E3FAFE6E6A42}"/>
    <cellStyle name="Note 2 3 2 6" xfId="2689" xr:uid="{00000000-0005-0000-0000-000000210000}"/>
    <cellStyle name="Note 2 3 2 6 2" xfId="6972" xr:uid="{00000000-0005-0000-0000-000001210000}"/>
    <cellStyle name="Note 2 3 2 6 2 2" xfId="32311" xr:uid="{C592B61A-83FB-464A-94B9-29DAC011E000}"/>
    <cellStyle name="Note 2 3 2 6 2 3" xfId="23870" xr:uid="{56854441-4382-4ED0-944B-18D5AFDD5560}"/>
    <cellStyle name="Note 2 3 2 6 2 4" xfId="15422" xr:uid="{34D0C71F-5176-4885-B099-41D653C796DA}"/>
    <cellStyle name="Note 2 3 2 6 3" xfId="28093" xr:uid="{D90C415D-41EA-4EB5-B1B7-36D713DD8732}"/>
    <cellStyle name="Note 2 3 2 6 4" xfId="19652" xr:uid="{20E3218A-CB8A-4821-9287-F6C18F18920B}"/>
    <cellStyle name="Note 2 3 2 6 5" xfId="11204" xr:uid="{CF6389CE-DB66-4604-B4A8-C138B9F13DEF}"/>
    <cellStyle name="Note 2 3 2 7" xfId="2748" xr:uid="{00000000-0005-0000-0000-000002210000}"/>
    <cellStyle name="Note 2 3 2 8" xfId="2829" xr:uid="{00000000-0005-0000-0000-000003210000}"/>
    <cellStyle name="Note 2 3 2 8 2" xfId="7052" xr:uid="{00000000-0005-0000-0000-000004210000}"/>
    <cellStyle name="Note 2 3 2 8 2 2" xfId="32391" xr:uid="{16F44583-102F-46CA-8E6F-441CE09E13AB}"/>
    <cellStyle name="Note 2 3 2 8 2 3" xfId="23950" xr:uid="{72C84CB2-FE7D-42D0-97D9-9F9BC3A4B4E5}"/>
    <cellStyle name="Note 2 3 2 8 2 4" xfId="15502" xr:uid="{35783FF5-92F7-453E-9CFE-8D20A30D1E29}"/>
    <cellStyle name="Note 2 3 2 8 3" xfId="28173" xr:uid="{D6F3F318-817C-4FF5-A990-737BFF96ED41}"/>
    <cellStyle name="Note 2 3 2 8 4" xfId="19732" xr:uid="{AF031918-E435-4AC0-A8FD-42F5EB008840}"/>
    <cellStyle name="Note 2 3 2 8 5" xfId="11284" xr:uid="{BF5FD42C-A2A5-472D-8C13-2628C2377531}"/>
    <cellStyle name="Note 2 3 2 9" xfId="4907" xr:uid="{00000000-0005-0000-0000-000005210000}"/>
    <cellStyle name="Note 2 3 2 9 2" xfId="30246" xr:uid="{B4F5C167-4FBA-41C2-92B8-51CA5F5AAF68}"/>
    <cellStyle name="Note 2 3 2 9 3" xfId="21805" xr:uid="{75876C51-59BD-429E-9ABB-E920B43133D8}"/>
    <cellStyle name="Note 2 3 2 9 4" xfId="13357" xr:uid="{707FEAE6-8BED-4893-B48E-83B3CB67A6D2}"/>
    <cellStyle name="Note 2 3 3" xfId="1010" xr:uid="{00000000-0005-0000-0000-000006210000}"/>
    <cellStyle name="Note 2 3 3 2" xfId="3242" xr:uid="{00000000-0005-0000-0000-000007210000}"/>
    <cellStyle name="Note 2 3 3 2 2" xfId="7464" xr:uid="{00000000-0005-0000-0000-000008210000}"/>
    <cellStyle name="Note 2 3 3 2 2 2" xfId="32803" xr:uid="{CFB129F1-431E-4FBD-B0D2-F5C5F575D144}"/>
    <cellStyle name="Note 2 3 3 2 2 3" xfId="24362" xr:uid="{9519F00F-6F15-4F16-BEF4-CAC79B8F9F98}"/>
    <cellStyle name="Note 2 3 3 2 2 4" xfId="15914" xr:uid="{B880AD66-FFD2-447E-9A42-7FFE672B2B56}"/>
    <cellStyle name="Note 2 3 3 2 3" xfId="28585" xr:uid="{6C6CC19A-164F-4F9A-BCAD-CA94CA4FF01A}"/>
    <cellStyle name="Note 2 3 3 2 4" xfId="20144" xr:uid="{1758FC58-579A-4601-8B81-4BC8F979F544}"/>
    <cellStyle name="Note 2 3 3 2 5" xfId="11696" xr:uid="{3E50514D-4F77-4C8D-A1E6-D156AF6E85EA}"/>
    <cellStyle name="Note 2 3 3 3" xfId="5319" xr:uid="{00000000-0005-0000-0000-000009210000}"/>
    <cellStyle name="Note 2 3 3 3 2" xfId="30658" xr:uid="{DF48338E-156E-4498-93C2-5E3D56CD4E65}"/>
    <cellStyle name="Note 2 3 3 3 3" xfId="22217" xr:uid="{69E2CF6A-529B-4E26-91F5-3860417C6937}"/>
    <cellStyle name="Note 2 3 3 3 4" xfId="13769" xr:uid="{9945D049-A62D-4849-B483-536A148D2879}"/>
    <cellStyle name="Note 2 3 3 4" xfId="26440" xr:uid="{7FFA6C00-5ECA-4DDC-A8BB-382CA3FDF4C9}"/>
    <cellStyle name="Note 2 3 3 5" xfId="17999" xr:uid="{EA5C6FC7-5C09-4B25-9889-8E77D2FFD444}"/>
    <cellStyle name="Note 2 3 3 6" xfId="9551" xr:uid="{4C2ADB38-0232-48EF-8E0A-B93565D78131}"/>
    <cellStyle name="Note 2 3 4" xfId="1425" xr:uid="{00000000-0005-0000-0000-00000A210000}"/>
    <cellStyle name="Note 2 3 4 2" xfId="3655" xr:uid="{00000000-0005-0000-0000-00000B210000}"/>
    <cellStyle name="Note 2 3 4 2 2" xfId="7877" xr:uid="{00000000-0005-0000-0000-00000C210000}"/>
    <cellStyle name="Note 2 3 4 2 2 2" xfId="33216" xr:uid="{DFFA03C0-8AA6-4DBA-BC45-DCBE6F98514D}"/>
    <cellStyle name="Note 2 3 4 2 2 3" xfId="24775" xr:uid="{F079A997-1492-41C0-A4C6-33938E9ACC08}"/>
    <cellStyle name="Note 2 3 4 2 2 4" xfId="16327" xr:uid="{C448497D-7F9A-455A-8FD9-1EC2C7264548}"/>
    <cellStyle name="Note 2 3 4 2 3" xfId="28998" xr:uid="{CC3E4960-B4AB-4781-A5D8-0AD31F87ECD7}"/>
    <cellStyle name="Note 2 3 4 2 4" xfId="20557" xr:uid="{F177A894-BD64-4E19-96A4-A81DCB02C13B}"/>
    <cellStyle name="Note 2 3 4 2 5" xfId="12109" xr:uid="{9E4D4FBB-E243-4988-9DA6-F3FD16083F60}"/>
    <cellStyle name="Note 2 3 4 3" xfId="5732" xr:uid="{00000000-0005-0000-0000-00000D210000}"/>
    <cellStyle name="Note 2 3 4 3 2" xfId="31071" xr:uid="{1942BE43-0DE7-4B51-8CE7-057167E1B90B}"/>
    <cellStyle name="Note 2 3 4 3 3" xfId="22630" xr:uid="{EBDF73EF-3722-4850-9A1C-8CF7C6BF8E14}"/>
    <cellStyle name="Note 2 3 4 3 4" xfId="14182" xr:uid="{635F3C6F-3AE8-48D1-AA8C-4BE5FE4EEB9D}"/>
    <cellStyle name="Note 2 3 4 4" xfId="26853" xr:uid="{D089A764-DC97-42D8-8839-CDA6AD47A7EF}"/>
    <cellStyle name="Note 2 3 4 5" xfId="18412" xr:uid="{BFCE99AC-F192-46C0-B836-AA324A0AC6D1}"/>
    <cellStyle name="Note 2 3 4 6" xfId="9964" xr:uid="{34BA2264-7574-405B-B327-8667DA2D58DB}"/>
    <cellStyle name="Note 2 3 5" xfId="1839" xr:uid="{00000000-0005-0000-0000-00000E210000}"/>
    <cellStyle name="Note 2 3 5 2" xfId="4068" xr:uid="{00000000-0005-0000-0000-00000F210000}"/>
    <cellStyle name="Note 2 3 5 2 2" xfId="8290" xr:uid="{00000000-0005-0000-0000-000010210000}"/>
    <cellStyle name="Note 2 3 5 2 2 2" xfId="33629" xr:uid="{3C6CBB28-BEF9-44BC-9CDE-A8D5E76BAE94}"/>
    <cellStyle name="Note 2 3 5 2 2 3" xfId="25188" xr:uid="{59365E86-8BBC-4BB2-92C9-FF1BA69DF76E}"/>
    <cellStyle name="Note 2 3 5 2 2 4" xfId="16740" xr:uid="{DDD776C5-E8B4-4A99-B0AB-F5E7B2C150E7}"/>
    <cellStyle name="Note 2 3 5 2 3" xfId="29411" xr:uid="{938C2130-BBE1-4B97-B157-E320BC92071C}"/>
    <cellStyle name="Note 2 3 5 2 4" xfId="20970" xr:uid="{7691DBB5-52BB-44F0-8829-005A6EBED3F6}"/>
    <cellStyle name="Note 2 3 5 2 5" xfId="12522" xr:uid="{6EBF1295-D6DB-4BF7-AA84-95B042092F38}"/>
    <cellStyle name="Note 2 3 5 3" xfId="6145" xr:uid="{00000000-0005-0000-0000-000011210000}"/>
    <cellStyle name="Note 2 3 5 3 2" xfId="31484" xr:uid="{5DA65F0A-ED86-4C2C-8BBB-80543EC36E65}"/>
    <cellStyle name="Note 2 3 5 3 3" xfId="23043" xr:uid="{4E7C7479-8651-4598-A982-4ECB40AC7607}"/>
    <cellStyle name="Note 2 3 5 3 4" xfId="14595" xr:uid="{3D873055-FBCC-410D-A09E-528A0B019E5F}"/>
    <cellStyle name="Note 2 3 5 4" xfId="27266" xr:uid="{B596DA79-1E87-4691-B804-18684D1C5D7B}"/>
    <cellStyle name="Note 2 3 5 5" xfId="18825" xr:uid="{C5D425B4-635B-482D-859E-53A7A746D9E2}"/>
    <cellStyle name="Note 2 3 5 6" xfId="10377" xr:uid="{649C138F-BBDB-4C4C-8385-4DA166156079}"/>
    <cellStyle name="Note 2 3 6" xfId="2252" xr:uid="{00000000-0005-0000-0000-000012210000}"/>
    <cellStyle name="Note 2 3 6 2" xfId="4481" xr:uid="{00000000-0005-0000-0000-000013210000}"/>
    <cellStyle name="Note 2 3 6 2 2" xfId="8703" xr:uid="{00000000-0005-0000-0000-000014210000}"/>
    <cellStyle name="Note 2 3 6 2 2 2" xfId="34042" xr:uid="{952ABF9A-3134-4374-93D7-745BEDE22024}"/>
    <cellStyle name="Note 2 3 6 2 2 3" xfId="25601" xr:uid="{58059BA0-62F4-4E83-9EEA-554E4E826F42}"/>
    <cellStyle name="Note 2 3 6 2 2 4" xfId="17153" xr:uid="{0CB4966B-C144-4DEC-BD48-DBF278CFD6D1}"/>
    <cellStyle name="Note 2 3 6 2 3" xfId="29824" xr:uid="{0609311F-F6FC-4A07-89DC-204C8BB8AF16}"/>
    <cellStyle name="Note 2 3 6 2 4" xfId="21383" xr:uid="{C4A038C0-F527-4540-9304-BD4484448F27}"/>
    <cellStyle name="Note 2 3 6 2 5" xfId="12935" xr:uid="{46288541-1914-4F02-9FAE-A1970082C238}"/>
    <cellStyle name="Note 2 3 6 3" xfId="6558" xr:uid="{00000000-0005-0000-0000-000015210000}"/>
    <cellStyle name="Note 2 3 6 3 2" xfId="31897" xr:uid="{5CB9ACCF-E7AA-4A9D-9EC8-DA1DDB31F061}"/>
    <cellStyle name="Note 2 3 6 3 3" xfId="23456" xr:uid="{065F6624-F13C-4B1F-AE5D-C6892D156E4D}"/>
    <cellStyle name="Note 2 3 6 3 4" xfId="15008" xr:uid="{B2E2B6AC-491F-4B34-B4ED-1ADED739B8D5}"/>
    <cellStyle name="Note 2 3 6 4" xfId="27679" xr:uid="{0929BFDF-19FC-4D60-A3F5-FF5CED925575}"/>
    <cellStyle name="Note 2 3 6 5" xfId="19238" xr:uid="{DAA9C1DD-F1CA-4995-AF7E-43E26F3D31AD}"/>
    <cellStyle name="Note 2 3 6 6" xfId="10790" xr:uid="{1644E707-853B-49E4-83B2-EC6E883A0CC2}"/>
    <cellStyle name="Note 2 3 7" xfId="2688" xr:uid="{00000000-0005-0000-0000-000016210000}"/>
    <cellStyle name="Note 2 3 7 2" xfId="6971" xr:uid="{00000000-0005-0000-0000-000017210000}"/>
    <cellStyle name="Note 2 3 7 2 2" xfId="32310" xr:uid="{A46E9042-8D1F-4CE5-B08D-CF2F64C46906}"/>
    <cellStyle name="Note 2 3 7 2 3" xfId="23869" xr:uid="{0817E2D0-6545-454F-8FD0-D11621CFCF7F}"/>
    <cellStyle name="Note 2 3 7 2 4" xfId="15421" xr:uid="{8A81549C-5C1F-4A5C-850D-11DE0D3ADFBB}"/>
    <cellStyle name="Note 2 3 7 3" xfId="28092" xr:uid="{FFA29A79-F566-40F4-BE16-6210E921B360}"/>
    <cellStyle name="Note 2 3 7 4" xfId="19651" xr:uid="{7C47B736-B6F2-4267-894F-0076C06E01E8}"/>
    <cellStyle name="Note 2 3 7 5" xfId="11203" xr:uid="{8FAAE32C-BCFA-4FF5-9A9C-4A6D8C17ACEC}"/>
    <cellStyle name="Note 2 3 8" xfId="2747" xr:uid="{00000000-0005-0000-0000-000018210000}"/>
    <cellStyle name="Note 2 3 9" xfId="2828" xr:uid="{00000000-0005-0000-0000-000019210000}"/>
    <cellStyle name="Note 2 3 9 2" xfId="7051" xr:uid="{00000000-0005-0000-0000-00001A210000}"/>
    <cellStyle name="Note 2 3 9 2 2" xfId="32390" xr:uid="{70337A91-CC4A-46AC-A7FA-7FC6A3A2B729}"/>
    <cellStyle name="Note 2 3 9 2 3" xfId="23949" xr:uid="{98B563F7-C2F8-4DA3-8872-D933FD2245EA}"/>
    <cellStyle name="Note 2 3 9 2 4" xfId="15501" xr:uid="{C639B4D1-2B31-482C-B600-E3780E87AC96}"/>
    <cellStyle name="Note 2 3 9 3" xfId="28172" xr:uid="{495D8CD3-519F-40B6-B680-CC43729DC701}"/>
    <cellStyle name="Note 2 3 9 4" xfId="19731" xr:uid="{0705FBC2-04D9-41C0-8E2D-4519682FA04D}"/>
    <cellStyle name="Note 2 3 9 5" xfId="11283" xr:uid="{EDC45490-5A13-4792-A78F-01F783FD7DC2}"/>
    <cellStyle name="Note 2 4" xfId="551" xr:uid="{00000000-0005-0000-0000-00001B210000}"/>
    <cellStyle name="Note 2 4 10" xfId="26029" xr:uid="{05303200-0C89-4E88-9457-DA371511E1DA}"/>
    <cellStyle name="Note 2 4 11" xfId="17588" xr:uid="{8DE5D495-3F10-461C-B67E-32A46B63BCC5}"/>
    <cellStyle name="Note 2 4 12" xfId="9140" xr:uid="{AEF7017F-460A-4C2B-8BCF-774E6BCEBC5E}"/>
    <cellStyle name="Note 2 4 2" xfId="1012" xr:uid="{00000000-0005-0000-0000-00001C210000}"/>
    <cellStyle name="Note 2 4 2 2" xfId="3244" xr:uid="{00000000-0005-0000-0000-00001D210000}"/>
    <cellStyle name="Note 2 4 2 2 2" xfId="7466" xr:uid="{00000000-0005-0000-0000-00001E210000}"/>
    <cellStyle name="Note 2 4 2 2 2 2" xfId="32805" xr:uid="{1C16073F-683F-46F2-86EE-DD01A4A8DFEB}"/>
    <cellStyle name="Note 2 4 2 2 2 3" xfId="24364" xr:uid="{0B1D2BA1-6066-4BBE-B981-3DF2D1BE396B}"/>
    <cellStyle name="Note 2 4 2 2 2 4" xfId="15916" xr:uid="{6CEFBAD9-8721-45DD-8192-98BCAF8AB99B}"/>
    <cellStyle name="Note 2 4 2 2 3" xfId="28587" xr:uid="{6A767389-F447-4738-AEEE-C6CE2E45E0C4}"/>
    <cellStyle name="Note 2 4 2 2 4" xfId="20146" xr:uid="{25CCB40A-5CDB-4DAD-8674-873593F05DEC}"/>
    <cellStyle name="Note 2 4 2 2 5" xfId="11698" xr:uid="{2B9EE27E-FD30-41F8-8E1E-525FAA483637}"/>
    <cellStyle name="Note 2 4 2 3" xfId="5321" xr:uid="{00000000-0005-0000-0000-00001F210000}"/>
    <cellStyle name="Note 2 4 2 3 2" xfId="30660" xr:uid="{5DBE4EF2-3CAC-410A-8B65-0BECC9DDD877}"/>
    <cellStyle name="Note 2 4 2 3 3" xfId="22219" xr:uid="{0C96561A-49B6-4A2A-A66B-3ABC8421DB6A}"/>
    <cellStyle name="Note 2 4 2 3 4" xfId="13771" xr:uid="{2C209511-7919-4678-93C9-A9D12721F07E}"/>
    <cellStyle name="Note 2 4 2 4" xfId="26442" xr:uid="{0B816A14-73F6-4C4E-84DB-E02427F1032E}"/>
    <cellStyle name="Note 2 4 2 5" xfId="18001" xr:uid="{A2E65952-9C56-41B4-80DC-C11CCB4D2958}"/>
    <cellStyle name="Note 2 4 2 6" xfId="9553" xr:uid="{EF58C271-96B6-46FD-AA86-6CAFA7698EE2}"/>
    <cellStyle name="Note 2 4 3" xfId="1427" xr:uid="{00000000-0005-0000-0000-000020210000}"/>
    <cellStyle name="Note 2 4 3 2" xfId="3657" xr:uid="{00000000-0005-0000-0000-000021210000}"/>
    <cellStyle name="Note 2 4 3 2 2" xfId="7879" xr:uid="{00000000-0005-0000-0000-000022210000}"/>
    <cellStyle name="Note 2 4 3 2 2 2" xfId="33218" xr:uid="{CC1939BD-2039-4918-9780-7C9E4427AAAC}"/>
    <cellStyle name="Note 2 4 3 2 2 3" xfId="24777" xr:uid="{DC11AF4C-AD4D-4C20-85F1-F140DEF25EB5}"/>
    <cellStyle name="Note 2 4 3 2 2 4" xfId="16329" xr:uid="{A9767606-61BE-41A1-BE2A-2DB328EC68F5}"/>
    <cellStyle name="Note 2 4 3 2 3" xfId="29000" xr:uid="{6253F8B4-3EE9-4B67-BDD0-083CFE53E3B4}"/>
    <cellStyle name="Note 2 4 3 2 4" xfId="20559" xr:uid="{27E7D817-4CC3-409E-8245-6477E3BCDBCE}"/>
    <cellStyle name="Note 2 4 3 2 5" xfId="12111" xr:uid="{24EA4DC7-C058-409E-826E-603B0BCCCD32}"/>
    <cellStyle name="Note 2 4 3 3" xfId="5734" xr:uid="{00000000-0005-0000-0000-000023210000}"/>
    <cellStyle name="Note 2 4 3 3 2" xfId="31073" xr:uid="{52FE7627-C4CF-497B-ACEE-7AF3A44AB347}"/>
    <cellStyle name="Note 2 4 3 3 3" xfId="22632" xr:uid="{4772A6E4-86E2-419C-8874-A073981A2897}"/>
    <cellStyle name="Note 2 4 3 3 4" xfId="14184" xr:uid="{594EF5D7-FEEA-4906-8920-3CA87582DAB1}"/>
    <cellStyle name="Note 2 4 3 4" xfId="26855" xr:uid="{074CB02C-FF6E-44DA-986A-42E53264B4CE}"/>
    <cellStyle name="Note 2 4 3 5" xfId="18414" xr:uid="{948E74B8-96F8-4219-8F0B-93E6BE2D0409}"/>
    <cellStyle name="Note 2 4 3 6" xfId="9966" xr:uid="{07E28544-17AE-497D-A386-3D8E9D78007D}"/>
    <cellStyle name="Note 2 4 4" xfId="1841" xr:uid="{00000000-0005-0000-0000-000024210000}"/>
    <cellStyle name="Note 2 4 4 2" xfId="4070" xr:uid="{00000000-0005-0000-0000-000025210000}"/>
    <cellStyle name="Note 2 4 4 2 2" xfId="8292" xr:uid="{00000000-0005-0000-0000-000026210000}"/>
    <cellStyle name="Note 2 4 4 2 2 2" xfId="33631" xr:uid="{291D9E93-139F-460B-9CAA-CA93E78DE664}"/>
    <cellStyle name="Note 2 4 4 2 2 3" xfId="25190" xr:uid="{4F718F4D-FC4B-4A4D-AD57-06E94B8B83CB}"/>
    <cellStyle name="Note 2 4 4 2 2 4" xfId="16742" xr:uid="{545DD961-287B-452E-BE82-1002DABB2191}"/>
    <cellStyle name="Note 2 4 4 2 3" xfId="29413" xr:uid="{E869FFFB-014F-4DDC-8D13-B3A580601F27}"/>
    <cellStyle name="Note 2 4 4 2 4" xfId="20972" xr:uid="{2F7291D1-E638-43D5-BEF0-AAA833D5EFE1}"/>
    <cellStyle name="Note 2 4 4 2 5" xfId="12524" xr:uid="{57E61D9E-0184-4A2A-BB29-77074FADE558}"/>
    <cellStyle name="Note 2 4 4 3" xfId="6147" xr:uid="{00000000-0005-0000-0000-000027210000}"/>
    <cellStyle name="Note 2 4 4 3 2" xfId="31486" xr:uid="{83632572-F717-404B-85B8-D5C9E0214CEC}"/>
    <cellStyle name="Note 2 4 4 3 3" xfId="23045" xr:uid="{CD61F763-0090-46FE-9332-722F3438874B}"/>
    <cellStyle name="Note 2 4 4 3 4" xfId="14597" xr:uid="{70A6FE26-6AB5-4553-B637-75E1A2D2E9DB}"/>
    <cellStyle name="Note 2 4 4 4" xfId="27268" xr:uid="{CDC1742F-62AD-4948-9736-1976F190533E}"/>
    <cellStyle name="Note 2 4 4 5" xfId="18827" xr:uid="{E1673537-D7A3-4551-8CAC-7196C8934189}"/>
    <cellStyle name="Note 2 4 4 6" xfId="10379" xr:uid="{98974FF7-CA86-4E1C-8A37-7F0F3DCA2A22}"/>
    <cellStyle name="Note 2 4 5" xfId="2254" xr:uid="{00000000-0005-0000-0000-000028210000}"/>
    <cellStyle name="Note 2 4 5 2" xfId="4483" xr:uid="{00000000-0005-0000-0000-000029210000}"/>
    <cellStyle name="Note 2 4 5 2 2" xfId="8705" xr:uid="{00000000-0005-0000-0000-00002A210000}"/>
    <cellStyle name="Note 2 4 5 2 2 2" xfId="34044" xr:uid="{03768F12-4844-4814-8787-FBD5BA62921B}"/>
    <cellStyle name="Note 2 4 5 2 2 3" xfId="25603" xr:uid="{11AD5233-7FBC-4195-939E-3B14F0741516}"/>
    <cellStyle name="Note 2 4 5 2 2 4" xfId="17155" xr:uid="{1210FE14-46EC-450A-9824-C7FB5A1B8279}"/>
    <cellStyle name="Note 2 4 5 2 3" xfId="29826" xr:uid="{3872D1F2-AB21-48EF-BD74-C46BF11850E4}"/>
    <cellStyle name="Note 2 4 5 2 4" xfId="21385" xr:uid="{65299C35-73E5-48B4-A8E1-3463560F530D}"/>
    <cellStyle name="Note 2 4 5 2 5" xfId="12937" xr:uid="{5F9D7319-717D-483D-BD88-8E2C9B9650DA}"/>
    <cellStyle name="Note 2 4 5 3" xfId="6560" xr:uid="{00000000-0005-0000-0000-00002B210000}"/>
    <cellStyle name="Note 2 4 5 3 2" xfId="31899" xr:uid="{ECE5386D-68AC-402E-8193-70CB37F2FA5B}"/>
    <cellStyle name="Note 2 4 5 3 3" xfId="23458" xr:uid="{4FA4AB3A-4E72-43CF-BF67-D99B4D4BC0BC}"/>
    <cellStyle name="Note 2 4 5 3 4" xfId="15010" xr:uid="{4FC30576-5A3B-41A0-96EA-184E449CB688}"/>
    <cellStyle name="Note 2 4 5 4" xfId="27681" xr:uid="{8D9B4B79-84C7-438C-8AA7-98D07B06EF83}"/>
    <cellStyle name="Note 2 4 5 5" xfId="19240" xr:uid="{A784EFE4-E7FC-4521-8E8B-CEEA74BF4715}"/>
    <cellStyle name="Note 2 4 5 6" xfId="10792" xr:uid="{DD8B356D-BD7C-49E0-AD26-BD8E0BB62A25}"/>
    <cellStyle name="Note 2 4 6" xfId="2690" xr:uid="{00000000-0005-0000-0000-00002C210000}"/>
    <cellStyle name="Note 2 4 6 2" xfId="6973" xr:uid="{00000000-0005-0000-0000-00002D210000}"/>
    <cellStyle name="Note 2 4 6 2 2" xfId="32312" xr:uid="{4B8A80B2-706E-41AA-955C-F98263CD8423}"/>
    <cellStyle name="Note 2 4 6 2 3" xfId="23871" xr:uid="{A850EBBE-3BAA-4DAF-97AF-0C005AE1BD1F}"/>
    <cellStyle name="Note 2 4 6 2 4" xfId="15423" xr:uid="{1AD336C3-5A5E-4DD4-A360-AC3DC4092960}"/>
    <cellStyle name="Note 2 4 6 3" xfId="28094" xr:uid="{CCBB9941-344E-4D28-B952-E2AC7AB273B9}"/>
    <cellStyle name="Note 2 4 6 4" xfId="19653" xr:uid="{E97935ED-4BC9-4EC6-B9D5-DF3937C560F6}"/>
    <cellStyle name="Note 2 4 6 5" xfId="11205" xr:uid="{D816E767-6E21-461C-8210-FC62B672C39D}"/>
    <cellStyle name="Note 2 4 7" xfId="2749" xr:uid="{00000000-0005-0000-0000-00002E210000}"/>
    <cellStyle name="Note 2 4 8" xfId="2830" xr:uid="{00000000-0005-0000-0000-00002F210000}"/>
    <cellStyle name="Note 2 4 8 2" xfId="7053" xr:uid="{00000000-0005-0000-0000-000030210000}"/>
    <cellStyle name="Note 2 4 8 2 2" xfId="32392" xr:uid="{5820A7F3-AAF7-4CBE-899A-CDFCBBC0ED42}"/>
    <cellStyle name="Note 2 4 8 2 3" xfId="23951" xr:uid="{442E1846-2F7B-45E4-AD21-E70CC90C5277}"/>
    <cellStyle name="Note 2 4 8 2 4" xfId="15503" xr:uid="{FEBF5AB0-8EB4-4EAE-A4E2-DD40C32A0B38}"/>
    <cellStyle name="Note 2 4 8 3" xfId="28174" xr:uid="{6634A4B6-E92E-49C5-B78D-0ECE73560277}"/>
    <cellStyle name="Note 2 4 8 4" xfId="19733" xr:uid="{FDFC5FDE-25AA-473E-9802-A17526BB4B6B}"/>
    <cellStyle name="Note 2 4 8 5" xfId="11285" xr:uid="{196B69BC-E73B-40A9-807E-77B2655F0C4A}"/>
    <cellStyle name="Note 2 4 9" xfId="4908" xr:uid="{00000000-0005-0000-0000-000031210000}"/>
    <cellStyle name="Note 2 4 9 2" xfId="30247" xr:uid="{1A79FBAC-0DDC-4698-AE99-764785E05A65}"/>
    <cellStyle name="Note 2 4 9 3" xfId="21806" xr:uid="{F3E93068-B154-4F53-A119-E0F7D6A97AE1}"/>
    <cellStyle name="Note 2 4 9 4" xfId="13358" xr:uid="{9F5D968F-AA01-4154-9C88-94067F787568}"/>
    <cellStyle name="Note 2 5" xfId="552" xr:uid="{00000000-0005-0000-0000-000032210000}"/>
    <cellStyle name="Note 2 5 10" xfId="26030" xr:uid="{863DECC7-90BB-4A6F-A056-58A3CF013B9B}"/>
    <cellStyle name="Note 2 5 11" xfId="17589" xr:uid="{91952BB1-FBCD-4C42-BB43-6957FD07C066}"/>
    <cellStyle name="Note 2 5 12" xfId="9141" xr:uid="{2A30375A-F173-418F-A2AE-01B5CF013573}"/>
    <cellStyle name="Note 2 5 2" xfId="1013" xr:uid="{00000000-0005-0000-0000-000033210000}"/>
    <cellStyle name="Note 2 5 2 2" xfId="3245" xr:uid="{00000000-0005-0000-0000-000034210000}"/>
    <cellStyle name="Note 2 5 2 2 2" xfId="7467" xr:uid="{00000000-0005-0000-0000-000035210000}"/>
    <cellStyle name="Note 2 5 2 2 2 2" xfId="32806" xr:uid="{43EF3093-CCFD-442E-A826-8782EA0A1437}"/>
    <cellStyle name="Note 2 5 2 2 2 3" xfId="24365" xr:uid="{69E75CF2-95F7-4737-BAAF-4DCC676CD854}"/>
    <cellStyle name="Note 2 5 2 2 2 4" xfId="15917" xr:uid="{180FE474-B6BB-47D1-BD4B-ABCF13C7641A}"/>
    <cellStyle name="Note 2 5 2 2 3" xfId="28588" xr:uid="{FE64C7C1-7851-40FA-9998-5D8781D98D1B}"/>
    <cellStyle name="Note 2 5 2 2 4" xfId="20147" xr:uid="{0EE1F0C7-072D-40A7-89BB-DA964A437A72}"/>
    <cellStyle name="Note 2 5 2 2 5" xfId="11699" xr:uid="{BD4D1685-4B58-4BC8-B5B6-1A18E0ED088A}"/>
    <cellStyle name="Note 2 5 2 3" xfId="5322" xr:uid="{00000000-0005-0000-0000-000036210000}"/>
    <cellStyle name="Note 2 5 2 3 2" xfId="30661" xr:uid="{B501BD6D-BEFD-4578-BE61-C9EA89670F78}"/>
    <cellStyle name="Note 2 5 2 3 3" xfId="22220" xr:uid="{8BAAD936-9BC8-451E-94CD-5FA8A78C8FFF}"/>
    <cellStyle name="Note 2 5 2 3 4" xfId="13772" xr:uid="{8166C6B8-2814-498F-8EF9-8E8A6FCA455B}"/>
    <cellStyle name="Note 2 5 2 4" xfId="26443" xr:uid="{E683C4B0-0D97-48B0-866A-9F82C8382FB8}"/>
    <cellStyle name="Note 2 5 2 5" xfId="18002" xr:uid="{3FDBD593-746F-4460-A10C-B331CE3898B6}"/>
    <cellStyle name="Note 2 5 2 6" xfId="9554" xr:uid="{9F0E68EB-91E2-48EB-A6BE-DA3F7346A4C2}"/>
    <cellStyle name="Note 2 5 3" xfId="1428" xr:uid="{00000000-0005-0000-0000-000037210000}"/>
    <cellStyle name="Note 2 5 3 2" xfId="3658" xr:uid="{00000000-0005-0000-0000-000038210000}"/>
    <cellStyle name="Note 2 5 3 2 2" xfId="7880" xr:uid="{00000000-0005-0000-0000-000039210000}"/>
    <cellStyle name="Note 2 5 3 2 2 2" xfId="33219" xr:uid="{E6C4036C-FF1C-49CB-AEC7-AD920C4593E3}"/>
    <cellStyle name="Note 2 5 3 2 2 3" xfId="24778" xr:uid="{32886306-977D-4492-9964-4B60226FE7C4}"/>
    <cellStyle name="Note 2 5 3 2 2 4" xfId="16330" xr:uid="{7102FDA4-0C82-472E-8315-31B995B5FC46}"/>
    <cellStyle name="Note 2 5 3 2 3" xfId="29001" xr:uid="{C98D9E8A-07DC-4E13-BAE7-2C8496150C00}"/>
    <cellStyle name="Note 2 5 3 2 4" xfId="20560" xr:uid="{014D72EE-5F1B-4287-A46A-7A65FC0B91D1}"/>
    <cellStyle name="Note 2 5 3 2 5" xfId="12112" xr:uid="{48CBA189-7845-4248-9AA9-466A43A9BA43}"/>
    <cellStyle name="Note 2 5 3 3" xfId="5735" xr:uid="{00000000-0005-0000-0000-00003A210000}"/>
    <cellStyle name="Note 2 5 3 3 2" xfId="31074" xr:uid="{C1E20A2A-3108-45F8-890B-D219A7232C2A}"/>
    <cellStyle name="Note 2 5 3 3 3" xfId="22633" xr:uid="{2202D99D-D405-4ECD-A7DC-8A82B35816E4}"/>
    <cellStyle name="Note 2 5 3 3 4" xfId="14185" xr:uid="{FAB76FDF-8B9E-4CCD-A9ED-940A13291859}"/>
    <cellStyle name="Note 2 5 3 4" xfId="26856" xr:uid="{7BEAE11C-3079-4A00-9AD8-06AFADBF7231}"/>
    <cellStyle name="Note 2 5 3 5" xfId="18415" xr:uid="{D3376D5B-B2A7-4518-B3C3-F27691C508F4}"/>
    <cellStyle name="Note 2 5 3 6" xfId="9967" xr:uid="{0236AF16-FE5D-457E-A597-8F3F1E3F1245}"/>
    <cellStyle name="Note 2 5 4" xfId="1842" xr:uid="{00000000-0005-0000-0000-00003B210000}"/>
    <cellStyle name="Note 2 5 4 2" xfId="4071" xr:uid="{00000000-0005-0000-0000-00003C210000}"/>
    <cellStyle name="Note 2 5 4 2 2" xfId="8293" xr:uid="{00000000-0005-0000-0000-00003D210000}"/>
    <cellStyle name="Note 2 5 4 2 2 2" xfId="33632" xr:uid="{F1E46039-C658-4973-92E7-0F68A82DCF21}"/>
    <cellStyle name="Note 2 5 4 2 2 3" xfId="25191" xr:uid="{F0806A55-F3F8-4980-BC4F-537404F4A745}"/>
    <cellStyle name="Note 2 5 4 2 2 4" xfId="16743" xr:uid="{955F2230-0B80-4EFE-85EE-B30F36C15C33}"/>
    <cellStyle name="Note 2 5 4 2 3" xfId="29414" xr:uid="{553E2CD1-9B04-4B16-AD90-66084C69311D}"/>
    <cellStyle name="Note 2 5 4 2 4" xfId="20973" xr:uid="{AD4C8474-E4B4-426D-9865-4452D29795A2}"/>
    <cellStyle name="Note 2 5 4 2 5" xfId="12525" xr:uid="{679F26E6-1861-44AF-926C-8307D8198DDD}"/>
    <cellStyle name="Note 2 5 4 3" xfId="6148" xr:uid="{00000000-0005-0000-0000-00003E210000}"/>
    <cellStyle name="Note 2 5 4 3 2" xfId="31487" xr:uid="{29B41DCE-4DCD-442E-A756-68643AFAA575}"/>
    <cellStyle name="Note 2 5 4 3 3" xfId="23046" xr:uid="{D26F6EAA-C520-4A0E-BBD4-D1FFE467CCEF}"/>
    <cellStyle name="Note 2 5 4 3 4" xfId="14598" xr:uid="{5789BF38-8EF2-43F5-83D3-51451D7E0321}"/>
    <cellStyle name="Note 2 5 4 4" xfId="27269" xr:uid="{354A6D26-8DEC-4DD2-9407-465343B201FF}"/>
    <cellStyle name="Note 2 5 4 5" xfId="18828" xr:uid="{865C5B09-19F0-4854-A6BE-919B47C25B64}"/>
    <cellStyle name="Note 2 5 4 6" xfId="10380" xr:uid="{14467B94-DBD4-4971-997D-68E40D83EDE1}"/>
    <cellStyle name="Note 2 5 5" xfId="2255" xr:uid="{00000000-0005-0000-0000-00003F210000}"/>
    <cellStyle name="Note 2 5 5 2" xfId="4484" xr:uid="{00000000-0005-0000-0000-000040210000}"/>
    <cellStyle name="Note 2 5 5 2 2" xfId="8706" xr:uid="{00000000-0005-0000-0000-000041210000}"/>
    <cellStyle name="Note 2 5 5 2 2 2" xfId="34045" xr:uid="{A98E848F-ADE7-4F27-93C5-F636D23D9235}"/>
    <cellStyle name="Note 2 5 5 2 2 3" xfId="25604" xr:uid="{2D28775C-B3EB-4B91-BA9B-FE595BDF2E4D}"/>
    <cellStyle name="Note 2 5 5 2 2 4" xfId="17156" xr:uid="{66EE7DB1-05CA-4779-B802-FA50C16B2EE2}"/>
    <cellStyle name="Note 2 5 5 2 3" xfId="29827" xr:uid="{29C490EB-3600-4E2A-9D51-CE50B2E74234}"/>
    <cellStyle name="Note 2 5 5 2 4" xfId="21386" xr:uid="{970D7A2F-889C-4E1F-93CB-0BC63D171D66}"/>
    <cellStyle name="Note 2 5 5 2 5" xfId="12938" xr:uid="{2725C096-278F-45DD-96B8-24D366597ECE}"/>
    <cellStyle name="Note 2 5 5 3" xfId="6561" xr:uid="{00000000-0005-0000-0000-000042210000}"/>
    <cellStyle name="Note 2 5 5 3 2" xfId="31900" xr:uid="{49248B74-E139-4F3F-9769-922F22C3D46C}"/>
    <cellStyle name="Note 2 5 5 3 3" xfId="23459" xr:uid="{A6067C10-0C4E-48AB-9EC3-589ADAFD8D30}"/>
    <cellStyle name="Note 2 5 5 3 4" xfId="15011" xr:uid="{CB9D16CF-762B-4FCD-815F-0EDE31F0ECC3}"/>
    <cellStyle name="Note 2 5 5 4" xfId="27682" xr:uid="{5AE3CF31-4CB2-4EA6-88EA-91F95A7AFD94}"/>
    <cellStyle name="Note 2 5 5 5" xfId="19241" xr:uid="{5383D311-04C4-4CBD-A301-B2573D4CEDBF}"/>
    <cellStyle name="Note 2 5 5 6" xfId="10793" xr:uid="{F4AB1B0A-A4DC-4AB9-BD99-8E32FB65342C}"/>
    <cellStyle name="Note 2 5 6" xfId="2691" xr:uid="{00000000-0005-0000-0000-000043210000}"/>
    <cellStyle name="Note 2 5 6 2" xfId="6974" xr:uid="{00000000-0005-0000-0000-000044210000}"/>
    <cellStyle name="Note 2 5 6 2 2" xfId="32313" xr:uid="{7EEE3418-59E1-4E77-A006-BE7133294524}"/>
    <cellStyle name="Note 2 5 6 2 3" xfId="23872" xr:uid="{F52885C2-08B9-4377-9578-B7528D5FA0C2}"/>
    <cellStyle name="Note 2 5 6 2 4" xfId="15424" xr:uid="{5A385E6B-E13F-4F8C-B5D8-1C208C2B3C9E}"/>
    <cellStyle name="Note 2 5 6 3" xfId="28095" xr:uid="{E3026A0B-9E6D-49AF-B810-05A72B76C7FA}"/>
    <cellStyle name="Note 2 5 6 4" xfId="19654" xr:uid="{61D18E2C-C254-4A57-B7DB-C06B6612652F}"/>
    <cellStyle name="Note 2 5 6 5" xfId="11206" xr:uid="{0DAB9680-5CF1-4D5A-A589-77D2DC14FFDB}"/>
    <cellStyle name="Note 2 5 7" xfId="2750" xr:uid="{00000000-0005-0000-0000-000045210000}"/>
    <cellStyle name="Note 2 5 8" xfId="2831" xr:uid="{00000000-0005-0000-0000-000046210000}"/>
    <cellStyle name="Note 2 5 8 2" xfId="7054" xr:uid="{00000000-0005-0000-0000-000047210000}"/>
    <cellStyle name="Note 2 5 8 2 2" xfId="32393" xr:uid="{E32B8F3C-6BC2-46C9-8358-2BA1DBC50D0C}"/>
    <cellStyle name="Note 2 5 8 2 3" xfId="23952" xr:uid="{BF22BF76-9037-4F9C-A4C2-AE8003BFE823}"/>
    <cellStyle name="Note 2 5 8 2 4" xfId="15504" xr:uid="{EAF7CF48-7221-4548-B5E8-9A1073589142}"/>
    <cellStyle name="Note 2 5 8 3" xfId="28175" xr:uid="{BCBC6104-8E2C-46BD-BE1C-1A9A4DC90B4E}"/>
    <cellStyle name="Note 2 5 8 4" xfId="19734" xr:uid="{97581B9B-D399-40A0-91AB-F76539C3CB94}"/>
    <cellStyle name="Note 2 5 8 5" xfId="11286" xr:uid="{EC900238-D887-4148-97F6-9705B0EEBA9F}"/>
    <cellStyle name="Note 2 5 9" xfId="4909" xr:uid="{00000000-0005-0000-0000-000048210000}"/>
    <cellStyle name="Note 2 5 9 2" xfId="30248" xr:uid="{119582B0-855E-40E0-8559-7DCFBE16C5BF}"/>
    <cellStyle name="Note 2 5 9 3" xfId="21807" xr:uid="{3D810D56-DB23-47AD-A1E7-C81309C41EDD}"/>
    <cellStyle name="Note 2 5 9 4" xfId="13359" xr:uid="{A1491848-4CD3-41E1-BA06-6D201D0D493E}"/>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32394" xr:uid="{B8B1DF4F-5DD1-497E-8B78-BD55E7FE7E01}"/>
    <cellStyle name="Note 3 2 10 2 3" xfId="23953" xr:uid="{634EF000-0D50-413E-B608-A0C7562D9576}"/>
    <cellStyle name="Note 3 2 10 2 4" xfId="15505" xr:uid="{9A8A0A2C-F14C-44C3-B4AC-C5ED13A65C97}"/>
    <cellStyle name="Note 3 2 10 3" xfId="28176" xr:uid="{47D3A805-8D96-4CFB-A4B6-571B1DB3A710}"/>
    <cellStyle name="Note 3 2 10 4" xfId="19735" xr:uid="{E34E5BEA-828A-456B-9F7D-87057F45A8EE}"/>
    <cellStyle name="Note 3 2 10 5" xfId="11287" xr:uid="{1FF3D20D-804C-4F61-847C-AFFC82FE31DB}"/>
    <cellStyle name="Note 3 2 11" xfId="4910" xr:uid="{00000000-0005-0000-0000-00004D210000}"/>
    <cellStyle name="Note 3 2 11 2" xfId="30249" xr:uid="{1E6557B3-28AB-426F-B3C1-8CB36F5B52C4}"/>
    <cellStyle name="Note 3 2 11 3" xfId="21808" xr:uid="{07F28783-37DA-4DD0-9C29-7904CCB8CCBC}"/>
    <cellStyle name="Note 3 2 11 4" xfId="13360" xr:uid="{A9CFDF9E-84E3-48BA-91F6-A3A25B3A671B}"/>
    <cellStyle name="Note 3 2 12" xfId="26031" xr:uid="{ED964453-BCC5-44C1-A7C0-BED00ED3FF30}"/>
    <cellStyle name="Note 3 2 13" xfId="17590" xr:uid="{1C40635A-F161-4549-9AA0-969854FE58DC}"/>
    <cellStyle name="Note 3 2 14" xfId="9142" xr:uid="{F96EE8FA-1024-496D-9F8F-0695081D7F34}"/>
    <cellStyle name="Note 3 2 2" xfId="555" xr:uid="{00000000-0005-0000-0000-00004E210000}"/>
    <cellStyle name="Note 3 2 2 10" xfId="4911" xr:uid="{00000000-0005-0000-0000-00004F210000}"/>
    <cellStyle name="Note 3 2 2 10 2" xfId="30250" xr:uid="{E8E5D506-CBF7-48F5-A8D0-1EF8D3530BE1}"/>
    <cellStyle name="Note 3 2 2 10 3" xfId="21809" xr:uid="{2D9C6D6C-8758-4688-A242-9FCFF2928A42}"/>
    <cellStyle name="Note 3 2 2 10 4" xfId="13361" xr:uid="{D5E305FD-D897-4003-836C-C78E16172BFD}"/>
    <cellStyle name="Note 3 2 2 11" xfId="26032" xr:uid="{8D1F79DA-DBFD-4962-8C75-62A41BC336B8}"/>
    <cellStyle name="Note 3 2 2 12" xfId="17591" xr:uid="{4C9FC975-2CAD-4F13-8350-DA48565E5511}"/>
    <cellStyle name="Note 3 2 2 13" xfId="9143" xr:uid="{38F836A8-4440-44CA-BC97-4C1DB97998F6}"/>
    <cellStyle name="Note 3 2 2 2" xfId="556" xr:uid="{00000000-0005-0000-0000-000050210000}"/>
    <cellStyle name="Note 3 2 2 2 10" xfId="26033" xr:uid="{F824A080-38B5-4BF0-B17F-E86C38250734}"/>
    <cellStyle name="Note 3 2 2 2 11" xfId="17592" xr:uid="{807AD2E3-6BBB-422C-BC19-9C39FDDF8523}"/>
    <cellStyle name="Note 3 2 2 2 12" xfId="9144" xr:uid="{B253200D-12BE-462D-AC61-D4A0C9F650DC}"/>
    <cellStyle name="Note 3 2 2 2 2" xfId="1016" xr:uid="{00000000-0005-0000-0000-000051210000}"/>
    <cellStyle name="Note 3 2 2 2 2 2" xfId="3248" xr:uid="{00000000-0005-0000-0000-000052210000}"/>
    <cellStyle name="Note 3 2 2 2 2 2 2" xfId="7470" xr:uid="{00000000-0005-0000-0000-000053210000}"/>
    <cellStyle name="Note 3 2 2 2 2 2 2 2" xfId="32809" xr:uid="{0DB4AEE9-E5E1-45D4-B091-61CA6204D058}"/>
    <cellStyle name="Note 3 2 2 2 2 2 2 3" xfId="24368" xr:uid="{60152726-B26F-478F-B5FF-7B75EED87ED0}"/>
    <cellStyle name="Note 3 2 2 2 2 2 2 4" xfId="15920" xr:uid="{42CD2EFC-91FE-487A-B69D-F51358D99A60}"/>
    <cellStyle name="Note 3 2 2 2 2 2 3" xfId="28591" xr:uid="{F3D859E9-1708-423F-9A35-AE9F0CA9C3C9}"/>
    <cellStyle name="Note 3 2 2 2 2 2 4" xfId="20150" xr:uid="{8C77F172-7B27-4C0C-8202-65C1899B9179}"/>
    <cellStyle name="Note 3 2 2 2 2 2 5" xfId="11702" xr:uid="{583CFF02-A489-4E25-968D-EFB2F454A539}"/>
    <cellStyle name="Note 3 2 2 2 2 3" xfId="5325" xr:uid="{00000000-0005-0000-0000-000054210000}"/>
    <cellStyle name="Note 3 2 2 2 2 3 2" xfId="30664" xr:uid="{411F9B12-6D15-4FBD-AFD3-4EDF825EA9C6}"/>
    <cellStyle name="Note 3 2 2 2 2 3 3" xfId="22223" xr:uid="{899DF1AD-ADE6-43FB-A861-83EDE44C17EF}"/>
    <cellStyle name="Note 3 2 2 2 2 3 4" xfId="13775" xr:uid="{E1FAE258-9D38-4EF6-BE36-02923A266E7D}"/>
    <cellStyle name="Note 3 2 2 2 2 4" xfId="26446" xr:uid="{46D29B02-8BE8-41B9-A059-49E2B5ED3482}"/>
    <cellStyle name="Note 3 2 2 2 2 5" xfId="18005" xr:uid="{6D8A8F3E-0E91-4035-998D-28431B9BEC25}"/>
    <cellStyle name="Note 3 2 2 2 2 6" xfId="9557" xr:uid="{FB5B6FD1-4DF8-44D3-9762-39E5A70298CB}"/>
    <cellStyle name="Note 3 2 2 2 3" xfId="1431" xr:uid="{00000000-0005-0000-0000-000055210000}"/>
    <cellStyle name="Note 3 2 2 2 3 2" xfId="3661" xr:uid="{00000000-0005-0000-0000-000056210000}"/>
    <cellStyle name="Note 3 2 2 2 3 2 2" xfId="7883" xr:uid="{00000000-0005-0000-0000-000057210000}"/>
    <cellStyle name="Note 3 2 2 2 3 2 2 2" xfId="33222" xr:uid="{3B498A1F-AA06-435C-898B-70D886BAA0FE}"/>
    <cellStyle name="Note 3 2 2 2 3 2 2 3" xfId="24781" xr:uid="{45FA6951-AE11-4F5F-B913-489570E2D6D3}"/>
    <cellStyle name="Note 3 2 2 2 3 2 2 4" xfId="16333" xr:uid="{FBEC4C9E-1259-4D77-B974-34A5414031CD}"/>
    <cellStyle name="Note 3 2 2 2 3 2 3" xfId="29004" xr:uid="{D45AF3F5-FCEA-4956-8769-B4BE97E93ADC}"/>
    <cellStyle name="Note 3 2 2 2 3 2 4" xfId="20563" xr:uid="{4B3A6983-2F13-41CA-AC61-5392F8142A46}"/>
    <cellStyle name="Note 3 2 2 2 3 2 5" xfId="12115" xr:uid="{0E4F998F-7584-4707-9C54-E2DE89329644}"/>
    <cellStyle name="Note 3 2 2 2 3 3" xfId="5738" xr:uid="{00000000-0005-0000-0000-000058210000}"/>
    <cellStyle name="Note 3 2 2 2 3 3 2" xfId="31077" xr:uid="{15E54B3E-92B7-46DA-92E6-E706B6A8B793}"/>
    <cellStyle name="Note 3 2 2 2 3 3 3" xfId="22636" xr:uid="{6DBFCD55-2DBA-4CF2-A125-3D100995A899}"/>
    <cellStyle name="Note 3 2 2 2 3 3 4" xfId="14188" xr:uid="{1FB13E54-6FD8-4D8C-A329-A36F0E1E9CE9}"/>
    <cellStyle name="Note 3 2 2 2 3 4" xfId="26859" xr:uid="{B42D5459-5D6D-4945-A145-20935070E8EF}"/>
    <cellStyle name="Note 3 2 2 2 3 5" xfId="18418" xr:uid="{1E046E58-91AB-47BE-A46B-4B8325E79DFA}"/>
    <cellStyle name="Note 3 2 2 2 3 6" xfId="9970" xr:uid="{5FC16BA3-1FEC-4369-9A58-9C4FBDBF7BC6}"/>
    <cellStyle name="Note 3 2 2 2 4" xfId="1845" xr:uid="{00000000-0005-0000-0000-000059210000}"/>
    <cellStyle name="Note 3 2 2 2 4 2" xfId="4074" xr:uid="{00000000-0005-0000-0000-00005A210000}"/>
    <cellStyle name="Note 3 2 2 2 4 2 2" xfId="8296" xr:uid="{00000000-0005-0000-0000-00005B210000}"/>
    <cellStyle name="Note 3 2 2 2 4 2 2 2" xfId="33635" xr:uid="{61DECEAA-73B9-4DCA-AD81-C8AE0DBA0C9E}"/>
    <cellStyle name="Note 3 2 2 2 4 2 2 3" xfId="25194" xr:uid="{5C36A2F0-8BD6-4E75-82D5-FE446E576BDA}"/>
    <cellStyle name="Note 3 2 2 2 4 2 2 4" xfId="16746" xr:uid="{409CBCB1-F470-4378-96B2-C0B2AA087BD9}"/>
    <cellStyle name="Note 3 2 2 2 4 2 3" xfId="29417" xr:uid="{D01A76AD-1F97-4737-98CF-E9CFDFEE7931}"/>
    <cellStyle name="Note 3 2 2 2 4 2 4" xfId="20976" xr:uid="{165945CD-D56F-4326-B5D1-5F3BF22117D7}"/>
    <cellStyle name="Note 3 2 2 2 4 2 5" xfId="12528" xr:uid="{FBD89CC7-9BAE-4612-80A0-FB9A83173292}"/>
    <cellStyle name="Note 3 2 2 2 4 3" xfId="6151" xr:uid="{00000000-0005-0000-0000-00005C210000}"/>
    <cellStyle name="Note 3 2 2 2 4 3 2" xfId="31490" xr:uid="{699C8A64-AB3B-4A20-A4D3-12C3FF5E0885}"/>
    <cellStyle name="Note 3 2 2 2 4 3 3" xfId="23049" xr:uid="{20073BA8-12AB-41EC-BC9E-54AF35671D19}"/>
    <cellStyle name="Note 3 2 2 2 4 3 4" xfId="14601" xr:uid="{4342479B-2372-4C38-B181-FC245088A23A}"/>
    <cellStyle name="Note 3 2 2 2 4 4" xfId="27272" xr:uid="{7954B0DD-7B2E-427B-86DA-A91286BF20FB}"/>
    <cellStyle name="Note 3 2 2 2 4 5" xfId="18831" xr:uid="{40DD933B-75D3-4F2D-B97D-608D8E86F5A0}"/>
    <cellStyle name="Note 3 2 2 2 4 6" xfId="10383" xr:uid="{933BEEAF-8250-4173-B58E-36DDD308A440}"/>
    <cellStyle name="Note 3 2 2 2 5" xfId="2258" xr:uid="{00000000-0005-0000-0000-00005D210000}"/>
    <cellStyle name="Note 3 2 2 2 5 2" xfId="4487" xr:uid="{00000000-0005-0000-0000-00005E210000}"/>
    <cellStyle name="Note 3 2 2 2 5 2 2" xfId="8709" xr:uid="{00000000-0005-0000-0000-00005F210000}"/>
    <cellStyle name="Note 3 2 2 2 5 2 2 2" xfId="34048" xr:uid="{A66E8431-5F81-4525-8C1C-E2BBE2FE649D}"/>
    <cellStyle name="Note 3 2 2 2 5 2 2 3" xfId="25607" xr:uid="{5C8299DD-F52A-4EC8-AB9F-91F101CB8A8E}"/>
    <cellStyle name="Note 3 2 2 2 5 2 2 4" xfId="17159" xr:uid="{725D3AF5-273E-4D4F-9049-DE4EABD13E3D}"/>
    <cellStyle name="Note 3 2 2 2 5 2 3" xfId="29830" xr:uid="{E733F134-2C6A-4849-897E-B427B7D00EE3}"/>
    <cellStyle name="Note 3 2 2 2 5 2 4" xfId="21389" xr:uid="{AA14B141-4AC5-4D98-8462-195C71A542B7}"/>
    <cellStyle name="Note 3 2 2 2 5 2 5" xfId="12941" xr:uid="{0A50D4C2-3B6C-43C4-B4EB-CD254EDBDF22}"/>
    <cellStyle name="Note 3 2 2 2 5 3" xfId="6564" xr:uid="{00000000-0005-0000-0000-000060210000}"/>
    <cellStyle name="Note 3 2 2 2 5 3 2" xfId="31903" xr:uid="{86FBE953-577A-4C55-8D1E-7AA043A43347}"/>
    <cellStyle name="Note 3 2 2 2 5 3 3" xfId="23462" xr:uid="{7516B6DA-8027-4CD3-8270-CE92162F004A}"/>
    <cellStyle name="Note 3 2 2 2 5 3 4" xfId="15014" xr:uid="{7BA805F0-C28F-4BF8-B34F-1CFF6DDA04BF}"/>
    <cellStyle name="Note 3 2 2 2 5 4" xfId="27685" xr:uid="{AA1FACE3-8906-4214-B8B1-6CA68D15D372}"/>
    <cellStyle name="Note 3 2 2 2 5 5" xfId="19244" xr:uid="{15341AA4-B526-4834-AA86-AEA83D60D8F9}"/>
    <cellStyle name="Note 3 2 2 2 5 6" xfId="10796" xr:uid="{50ED62BB-8570-451B-BA6B-FD83671E3777}"/>
    <cellStyle name="Note 3 2 2 2 6" xfId="2694" xr:uid="{00000000-0005-0000-0000-000061210000}"/>
    <cellStyle name="Note 3 2 2 2 6 2" xfId="6977" xr:uid="{00000000-0005-0000-0000-000062210000}"/>
    <cellStyle name="Note 3 2 2 2 6 2 2" xfId="32316" xr:uid="{E8498D7A-266C-43A3-8B4C-F8D139A757E2}"/>
    <cellStyle name="Note 3 2 2 2 6 2 3" xfId="23875" xr:uid="{550F7226-730E-4E64-9D8C-9DCDCAF21D68}"/>
    <cellStyle name="Note 3 2 2 2 6 2 4" xfId="15427" xr:uid="{33EB1D0F-8DF3-4174-AD55-F859311BF50D}"/>
    <cellStyle name="Note 3 2 2 2 6 3" xfId="28098" xr:uid="{69E11C4B-C15E-4FA6-802B-4A82DC05C5D7}"/>
    <cellStyle name="Note 3 2 2 2 6 4" xfId="19657" xr:uid="{4C0EF1E1-881C-4647-8B03-74BDFCB06D30}"/>
    <cellStyle name="Note 3 2 2 2 6 5" xfId="11209" xr:uid="{C5C899FC-C6F0-41D3-99AE-FD3481DB98C7}"/>
    <cellStyle name="Note 3 2 2 2 7" xfId="2753" xr:uid="{00000000-0005-0000-0000-000063210000}"/>
    <cellStyle name="Note 3 2 2 2 8" xfId="2834" xr:uid="{00000000-0005-0000-0000-000064210000}"/>
    <cellStyle name="Note 3 2 2 2 8 2" xfId="7057" xr:uid="{00000000-0005-0000-0000-000065210000}"/>
    <cellStyle name="Note 3 2 2 2 8 2 2" xfId="32396" xr:uid="{E3FE7451-711D-4CAE-9359-F587EA796455}"/>
    <cellStyle name="Note 3 2 2 2 8 2 3" xfId="23955" xr:uid="{9AF9C8A5-7ACA-4A17-9512-2D5236DEE654}"/>
    <cellStyle name="Note 3 2 2 2 8 2 4" xfId="15507" xr:uid="{6180DA6C-8FD7-4D10-886D-C50A83F08CED}"/>
    <cellStyle name="Note 3 2 2 2 8 3" xfId="28178" xr:uid="{0B242A42-1970-4622-89D8-FCE8D5A5D76E}"/>
    <cellStyle name="Note 3 2 2 2 8 4" xfId="19737" xr:uid="{D1416EE1-2878-4F02-A1B8-BA513B1C50CD}"/>
    <cellStyle name="Note 3 2 2 2 8 5" xfId="11289" xr:uid="{A061AB49-D766-41FB-A235-86553C4FFC90}"/>
    <cellStyle name="Note 3 2 2 2 9" xfId="4912" xr:uid="{00000000-0005-0000-0000-000066210000}"/>
    <cellStyle name="Note 3 2 2 2 9 2" xfId="30251" xr:uid="{23BCCB6F-F031-4564-B4B8-5276FA12A9B7}"/>
    <cellStyle name="Note 3 2 2 2 9 3" xfId="21810" xr:uid="{6930CBA5-F443-4BBC-B444-007E2AEC6474}"/>
    <cellStyle name="Note 3 2 2 2 9 4" xfId="13362" xr:uid="{FB58C397-F2F3-4D40-A6B6-3C57ECE19DAD}"/>
    <cellStyle name="Note 3 2 2 3" xfId="1015" xr:uid="{00000000-0005-0000-0000-000067210000}"/>
    <cellStyle name="Note 3 2 2 3 2" xfId="3247" xr:uid="{00000000-0005-0000-0000-000068210000}"/>
    <cellStyle name="Note 3 2 2 3 2 2" xfId="7469" xr:uid="{00000000-0005-0000-0000-000069210000}"/>
    <cellStyle name="Note 3 2 2 3 2 2 2" xfId="32808" xr:uid="{C0D718D5-C058-4C19-B95A-FA1B49485F5A}"/>
    <cellStyle name="Note 3 2 2 3 2 2 3" xfId="24367" xr:uid="{AAB79F53-D636-4DED-924C-3CB857EEB3A9}"/>
    <cellStyle name="Note 3 2 2 3 2 2 4" xfId="15919" xr:uid="{63E89C60-FDB1-4876-ABC6-5207EC68309A}"/>
    <cellStyle name="Note 3 2 2 3 2 3" xfId="28590" xr:uid="{578CD3B6-AB7E-41EE-AF58-52C5A92156C1}"/>
    <cellStyle name="Note 3 2 2 3 2 4" xfId="20149" xr:uid="{4AB3C9A5-0C20-4C9D-90C9-10D7CDDB2805}"/>
    <cellStyle name="Note 3 2 2 3 2 5" xfId="11701" xr:uid="{89D33835-C2DE-476D-841E-3475BBB599A7}"/>
    <cellStyle name="Note 3 2 2 3 3" xfId="5324" xr:uid="{00000000-0005-0000-0000-00006A210000}"/>
    <cellStyle name="Note 3 2 2 3 3 2" xfId="30663" xr:uid="{59D0F6A0-D67E-453C-8407-F687EC80A738}"/>
    <cellStyle name="Note 3 2 2 3 3 3" xfId="22222" xr:uid="{2F5260BF-6D23-4056-9EDA-08B6ACB4ECE8}"/>
    <cellStyle name="Note 3 2 2 3 3 4" xfId="13774" xr:uid="{8F4A96C0-2ACA-4B25-AD6C-986790C52597}"/>
    <cellStyle name="Note 3 2 2 3 4" xfId="26445" xr:uid="{3B4613C1-06E2-4E52-875B-B41FD21915FA}"/>
    <cellStyle name="Note 3 2 2 3 5" xfId="18004" xr:uid="{845665EB-A21F-4347-A6EB-17683AC630A1}"/>
    <cellStyle name="Note 3 2 2 3 6" xfId="9556" xr:uid="{F09C2230-6571-46DE-8DED-4315A6072F07}"/>
    <cellStyle name="Note 3 2 2 4" xfId="1430" xr:uid="{00000000-0005-0000-0000-00006B210000}"/>
    <cellStyle name="Note 3 2 2 4 2" xfId="3660" xr:uid="{00000000-0005-0000-0000-00006C210000}"/>
    <cellStyle name="Note 3 2 2 4 2 2" xfId="7882" xr:uid="{00000000-0005-0000-0000-00006D210000}"/>
    <cellStyle name="Note 3 2 2 4 2 2 2" xfId="33221" xr:uid="{E6B7DBA8-AA58-4D1A-B90C-19A072DBC3B6}"/>
    <cellStyle name="Note 3 2 2 4 2 2 3" xfId="24780" xr:uid="{AC51FE26-93F1-4F87-9235-3051DAB39608}"/>
    <cellStyle name="Note 3 2 2 4 2 2 4" xfId="16332" xr:uid="{1167708D-D906-4B35-9115-3FF76FEB9D2E}"/>
    <cellStyle name="Note 3 2 2 4 2 3" xfId="29003" xr:uid="{23DDBE74-6B24-4A43-84B4-E0DC3C2649D0}"/>
    <cellStyle name="Note 3 2 2 4 2 4" xfId="20562" xr:uid="{0CA24704-1D00-4434-976D-DDDE278BFE6F}"/>
    <cellStyle name="Note 3 2 2 4 2 5" xfId="12114" xr:uid="{D813A8AC-C041-4ACF-BE40-F4E59D5EBE1F}"/>
    <cellStyle name="Note 3 2 2 4 3" xfId="5737" xr:uid="{00000000-0005-0000-0000-00006E210000}"/>
    <cellStyle name="Note 3 2 2 4 3 2" xfId="31076" xr:uid="{53CFED7A-D8E7-4059-8028-4763567B064A}"/>
    <cellStyle name="Note 3 2 2 4 3 3" xfId="22635" xr:uid="{ADEB861D-7125-49EB-997F-8896896F1D50}"/>
    <cellStyle name="Note 3 2 2 4 3 4" xfId="14187" xr:uid="{2BFDF8C6-6A4D-4489-A25F-34224C1DBD9B}"/>
    <cellStyle name="Note 3 2 2 4 4" xfId="26858" xr:uid="{8875074A-0C25-4F5E-9B78-6F86B445E422}"/>
    <cellStyle name="Note 3 2 2 4 5" xfId="18417" xr:uid="{F1E068E9-18F5-47AC-83EC-8AD6BCAE26BD}"/>
    <cellStyle name="Note 3 2 2 4 6" xfId="9969" xr:uid="{DE0E9F3A-61F4-43A7-8686-5C1DD9FF4D9E}"/>
    <cellStyle name="Note 3 2 2 5" xfId="1844" xr:uid="{00000000-0005-0000-0000-00006F210000}"/>
    <cellStyle name="Note 3 2 2 5 2" xfId="4073" xr:uid="{00000000-0005-0000-0000-000070210000}"/>
    <cellStyle name="Note 3 2 2 5 2 2" xfId="8295" xr:uid="{00000000-0005-0000-0000-000071210000}"/>
    <cellStyle name="Note 3 2 2 5 2 2 2" xfId="33634" xr:uid="{1BC5AEC2-55E3-452C-92F9-E35AD6EAA3B8}"/>
    <cellStyle name="Note 3 2 2 5 2 2 3" xfId="25193" xr:uid="{E3C716F4-80FE-40E8-B62D-FF9576CBA5B7}"/>
    <cellStyle name="Note 3 2 2 5 2 2 4" xfId="16745" xr:uid="{5F24D8D2-9520-4EFF-8D48-F08BA19E4821}"/>
    <cellStyle name="Note 3 2 2 5 2 3" xfId="29416" xr:uid="{78AB03E2-4841-4D06-AA9B-CE4B2D886D27}"/>
    <cellStyle name="Note 3 2 2 5 2 4" xfId="20975" xr:uid="{995F2416-8695-440B-8C3A-E8690AB5A4D9}"/>
    <cellStyle name="Note 3 2 2 5 2 5" xfId="12527" xr:uid="{CF903587-556C-4885-8D9C-29BE5E03D870}"/>
    <cellStyle name="Note 3 2 2 5 3" xfId="6150" xr:uid="{00000000-0005-0000-0000-000072210000}"/>
    <cellStyle name="Note 3 2 2 5 3 2" xfId="31489" xr:uid="{F0FAC2E7-A240-4417-B89D-E6B8D09B71B4}"/>
    <cellStyle name="Note 3 2 2 5 3 3" xfId="23048" xr:uid="{1C3B3C39-2B27-4621-9B94-03714DACAAEF}"/>
    <cellStyle name="Note 3 2 2 5 3 4" xfId="14600" xr:uid="{C45B11CD-3185-4D5C-A1F5-CF7A6F70B8E6}"/>
    <cellStyle name="Note 3 2 2 5 4" xfId="27271" xr:uid="{99C957EB-CC3B-4412-A86B-265D9D536919}"/>
    <cellStyle name="Note 3 2 2 5 5" xfId="18830" xr:uid="{34433EDC-00AF-4B92-9313-1851C950E2B7}"/>
    <cellStyle name="Note 3 2 2 5 6" xfId="10382" xr:uid="{75BE0474-1821-4116-BBD2-B0CDA428200D}"/>
    <cellStyle name="Note 3 2 2 6" xfId="2257" xr:uid="{00000000-0005-0000-0000-000073210000}"/>
    <cellStyle name="Note 3 2 2 6 2" xfId="4486" xr:uid="{00000000-0005-0000-0000-000074210000}"/>
    <cellStyle name="Note 3 2 2 6 2 2" xfId="8708" xr:uid="{00000000-0005-0000-0000-000075210000}"/>
    <cellStyle name="Note 3 2 2 6 2 2 2" xfId="34047" xr:uid="{6D0AF99D-17AE-47F2-8DE2-A33A6D6C2F21}"/>
    <cellStyle name="Note 3 2 2 6 2 2 3" xfId="25606" xr:uid="{F4976292-B813-4F8D-B875-434B38C5C64F}"/>
    <cellStyle name="Note 3 2 2 6 2 2 4" xfId="17158" xr:uid="{8D1FA746-21AC-4976-A077-28ADADF86FC2}"/>
    <cellStyle name="Note 3 2 2 6 2 3" xfId="29829" xr:uid="{8BDC06CE-8186-4E17-B579-346C43BB2E98}"/>
    <cellStyle name="Note 3 2 2 6 2 4" xfId="21388" xr:uid="{1B09E3CE-963D-408A-A738-2B256E0C02F9}"/>
    <cellStyle name="Note 3 2 2 6 2 5" xfId="12940" xr:uid="{D2890A29-689B-4464-A54D-5D2B3947D219}"/>
    <cellStyle name="Note 3 2 2 6 3" xfId="6563" xr:uid="{00000000-0005-0000-0000-000076210000}"/>
    <cellStyle name="Note 3 2 2 6 3 2" xfId="31902" xr:uid="{91D540B3-F276-457A-9260-E3A81BC17982}"/>
    <cellStyle name="Note 3 2 2 6 3 3" xfId="23461" xr:uid="{0C72434A-F0C8-4A9F-BCA5-B386AC1466A9}"/>
    <cellStyle name="Note 3 2 2 6 3 4" xfId="15013" xr:uid="{909DC0C7-C887-4AFF-8B28-75869E5DFE1E}"/>
    <cellStyle name="Note 3 2 2 6 4" xfId="27684" xr:uid="{70AFF2A8-7E84-4D67-AEBC-140F9BA85FF2}"/>
    <cellStyle name="Note 3 2 2 6 5" xfId="19243" xr:uid="{3B396AB8-4F72-4F24-B345-A87C07B8A18C}"/>
    <cellStyle name="Note 3 2 2 6 6" xfId="10795" xr:uid="{EA7922C6-6046-4F56-ACB9-897F0E1AFF24}"/>
    <cellStyle name="Note 3 2 2 7" xfId="2693" xr:uid="{00000000-0005-0000-0000-000077210000}"/>
    <cellStyle name="Note 3 2 2 7 2" xfId="6976" xr:uid="{00000000-0005-0000-0000-000078210000}"/>
    <cellStyle name="Note 3 2 2 7 2 2" xfId="32315" xr:uid="{873CAFF0-A9F6-457F-B6EA-E164F21E56D8}"/>
    <cellStyle name="Note 3 2 2 7 2 3" xfId="23874" xr:uid="{1A794645-F12B-4601-AFED-DA47CB2EEE02}"/>
    <cellStyle name="Note 3 2 2 7 2 4" xfId="15426" xr:uid="{39F57B80-A1EA-4F2D-879D-4D505D7C909E}"/>
    <cellStyle name="Note 3 2 2 7 3" xfId="28097" xr:uid="{4DD6AAD3-0676-43FE-BA6A-60083046DCFB}"/>
    <cellStyle name="Note 3 2 2 7 4" xfId="19656" xr:uid="{D4766745-9354-44BE-8F09-70363857BAD2}"/>
    <cellStyle name="Note 3 2 2 7 5" xfId="11208" xr:uid="{62274299-5D54-4B16-8F3A-FEB04009BAE9}"/>
    <cellStyle name="Note 3 2 2 8" xfId="2752" xr:uid="{00000000-0005-0000-0000-000079210000}"/>
    <cellStyle name="Note 3 2 2 9" xfId="2833" xr:uid="{00000000-0005-0000-0000-00007A210000}"/>
    <cellStyle name="Note 3 2 2 9 2" xfId="7056" xr:uid="{00000000-0005-0000-0000-00007B210000}"/>
    <cellStyle name="Note 3 2 2 9 2 2" xfId="32395" xr:uid="{0B0D9747-2FDA-431E-A4D5-D1623C7612C6}"/>
    <cellStyle name="Note 3 2 2 9 2 3" xfId="23954" xr:uid="{46566E7B-0D54-4977-8B02-302F1C0324BB}"/>
    <cellStyle name="Note 3 2 2 9 2 4" xfId="15506" xr:uid="{98898DA2-DFBC-4FBA-B004-2AB53CF8CA3B}"/>
    <cellStyle name="Note 3 2 2 9 3" xfId="28177" xr:uid="{E9E5DA5A-C6A0-4380-9345-B7F490D4F27E}"/>
    <cellStyle name="Note 3 2 2 9 4" xfId="19736" xr:uid="{1C97F325-1AA3-4D45-96F4-D50075E7F2BD}"/>
    <cellStyle name="Note 3 2 2 9 5" xfId="11288" xr:uid="{C37BCB1E-AC2B-4264-B150-4C1DF6AB5DA0}"/>
    <cellStyle name="Note 3 2 3" xfId="557" xr:uid="{00000000-0005-0000-0000-00007C210000}"/>
    <cellStyle name="Note 3 2 3 10" xfId="26034" xr:uid="{11C2E80E-1438-425D-8A6F-455D9249C5A5}"/>
    <cellStyle name="Note 3 2 3 11" xfId="17593" xr:uid="{0EF3C6C5-B1F9-4A7C-9AEF-87E064BB24C8}"/>
    <cellStyle name="Note 3 2 3 12" xfId="9145" xr:uid="{E2A6072E-2707-4C82-89D4-439CF952C7A1}"/>
    <cellStyle name="Note 3 2 3 2" xfId="1017" xr:uid="{00000000-0005-0000-0000-00007D210000}"/>
    <cellStyle name="Note 3 2 3 2 2" xfId="3249" xr:uid="{00000000-0005-0000-0000-00007E210000}"/>
    <cellStyle name="Note 3 2 3 2 2 2" xfId="7471" xr:uid="{00000000-0005-0000-0000-00007F210000}"/>
    <cellStyle name="Note 3 2 3 2 2 2 2" xfId="32810" xr:uid="{4B950142-9E07-48EF-990F-C3F2EED6195B}"/>
    <cellStyle name="Note 3 2 3 2 2 2 3" xfId="24369" xr:uid="{C3FBACA5-A771-49D1-AA9E-DC41C856C8FA}"/>
    <cellStyle name="Note 3 2 3 2 2 2 4" xfId="15921" xr:uid="{56D9C8BB-C66B-493C-9062-47B06C5B637D}"/>
    <cellStyle name="Note 3 2 3 2 2 3" xfId="28592" xr:uid="{D85136F5-B404-471D-AC09-6B2A30CCD5AE}"/>
    <cellStyle name="Note 3 2 3 2 2 4" xfId="20151" xr:uid="{D46B2546-696C-48B3-BA3A-FC6792281EF4}"/>
    <cellStyle name="Note 3 2 3 2 2 5" xfId="11703" xr:uid="{8C203EBE-B14C-4665-ACD8-F91915B1BD3B}"/>
    <cellStyle name="Note 3 2 3 2 3" xfId="5326" xr:uid="{00000000-0005-0000-0000-000080210000}"/>
    <cellStyle name="Note 3 2 3 2 3 2" xfId="30665" xr:uid="{8E915D27-8E59-4509-9573-FE6BDF971883}"/>
    <cellStyle name="Note 3 2 3 2 3 3" xfId="22224" xr:uid="{E50361D5-4B15-4E3A-B55F-BB401A0489FB}"/>
    <cellStyle name="Note 3 2 3 2 3 4" xfId="13776" xr:uid="{0D6F1414-8C54-4B60-A3DB-062122E04CDB}"/>
    <cellStyle name="Note 3 2 3 2 4" xfId="26447" xr:uid="{CB92FF40-D541-4E29-B080-05692C1F4BBA}"/>
    <cellStyle name="Note 3 2 3 2 5" xfId="18006" xr:uid="{FF86E118-2CDC-4AE1-A2A2-487F5208E0D0}"/>
    <cellStyle name="Note 3 2 3 2 6" xfId="9558" xr:uid="{F92F587A-03DC-44B1-9CDE-185D2F813EEB}"/>
    <cellStyle name="Note 3 2 3 3" xfId="1432" xr:uid="{00000000-0005-0000-0000-000081210000}"/>
    <cellStyle name="Note 3 2 3 3 2" xfId="3662" xr:uid="{00000000-0005-0000-0000-000082210000}"/>
    <cellStyle name="Note 3 2 3 3 2 2" xfId="7884" xr:uid="{00000000-0005-0000-0000-000083210000}"/>
    <cellStyle name="Note 3 2 3 3 2 2 2" xfId="33223" xr:uid="{13ED5FD9-7DF6-4A08-BB50-098CEC18DC0E}"/>
    <cellStyle name="Note 3 2 3 3 2 2 3" xfId="24782" xr:uid="{3EC79038-0088-4F19-8879-63916D366FDD}"/>
    <cellStyle name="Note 3 2 3 3 2 2 4" xfId="16334" xr:uid="{337464B6-1310-4F7A-9592-26641CD9D3E5}"/>
    <cellStyle name="Note 3 2 3 3 2 3" xfId="29005" xr:uid="{CB240937-A11F-43FF-9E22-2BE54C818887}"/>
    <cellStyle name="Note 3 2 3 3 2 4" xfId="20564" xr:uid="{7870518F-6271-44E1-983A-B8CD8436BAA1}"/>
    <cellStyle name="Note 3 2 3 3 2 5" xfId="12116" xr:uid="{213120F8-11E4-49D9-B886-E6B6A08D1142}"/>
    <cellStyle name="Note 3 2 3 3 3" xfId="5739" xr:uid="{00000000-0005-0000-0000-000084210000}"/>
    <cellStyle name="Note 3 2 3 3 3 2" xfId="31078" xr:uid="{66221C04-C530-463D-A3E7-E50207C3FF8F}"/>
    <cellStyle name="Note 3 2 3 3 3 3" xfId="22637" xr:uid="{4193FB5A-39CF-4009-9CFC-33C3BF51D8CD}"/>
    <cellStyle name="Note 3 2 3 3 3 4" xfId="14189" xr:uid="{1ADB35A5-820A-4B86-9B19-D1E88200DFDA}"/>
    <cellStyle name="Note 3 2 3 3 4" xfId="26860" xr:uid="{C1A7E237-C39D-4955-B933-5FDF7FFA4016}"/>
    <cellStyle name="Note 3 2 3 3 5" xfId="18419" xr:uid="{36A6B9CB-5060-4E05-BD7B-A6987F678403}"/>
    <cellStyle name="Note 3 2 3 3 6" xfId="9971" xr:uid="{177686EF-DEEB-443D-A60A-9C551E59B5C8}"/>
    <cellStyle name="Note 3 2 3 4" xfId="1846" xr:uid="{00000000-0005-0000-0000-000085210000}"/>
    <cellStyle name="Note 3 2 3 4 2" xfId="4075" xr:uid="{00000000-0005-0000-0000-000086210000}"/>
    <cellStyle name="Note 3 2 3 4 2 2" xfId="8297" xr:uid="{00000000-0005-0000-0000-000087210000}"/>
    <cellStyle name="Note 3 2 3 4 2 2 2" xfId="33636" xr:uid="{F217B4C7-5CDA-41E5-B85C-DC3EDCBEB276}"/>
    <cellStyle name="Note 3 2 3 4 2 2 3" xfId="25195" xr:uid="{42E9C1AB-8B67-43C9-A221-DAAB0ADF0804}"/>
    <cellStyle name="Note 3 2 3 4 2 2 4" xfId="16747" xr:uid="{A6F7258A-FF54-496E-9910-38D45CBF934B}"/>
    <cellStyle name="Note 3 2 3 4 2 3" xfId="29418" xr:uid="{4BBF7090-7F9C-4634-A24C-9E471DD9E2AB}"/>
    <cellStyle name="Note 3 2 3 4 2 4" xfId="20977" xr:uid="{0FE151CD-124A-4A67-8FE2-6A1A9BE8F904}"/>
    <cellStyle name="Note 3 2 3 4 2 5" xfId="12529" xr:uid="{A20584E6-04D8-4F07-869A-1FD767D46724}"/>
    <cellStyle name="Note 3 2 3 4 3" xfId="6152" xr:uid="{00000000-0005-0000-0000-000088210000}"/>
    <cellStyle name="Note 3 2 3 4 3 2" xfId="31491" xr:uid="{217275C3-C757-4130-B872-C881F752B5D6}"/>
    <cellStyle name="Note 3 2 3 4 3 3" xfId="23050" xr:uid="{8B4C53D4-13E1-404D-8121-3866DE990DA2}"/>
    <cellStyle name="Note 3 2 3 4 3 4" xfId="14602" xr:uid="{86DA4576-5605-4A05-82DF-8FCF7D97B260}"/>
    <cellStyle name="Note 3 2 3 4 4" xfId="27273" xr:uid="{5E975ABD-AA52-4DE3-A45D-56B52E15FC94}"/>
    <cellStyle name="Note 3 2 3 4 5" xfId="18832" xr:uid="{202A70E4-AA73-496F-AE31-A285247A519B}"/>
    <cellStyle name="Note 3 2 3 4 6" xfId="10384" xr:uid="{776CCBC0-FA72-4839-BA14-0F377D43AA20}"/>
    <cellStyle name="Note 3 2 3 5" xfId="2259" xr:uid="{00000000-0005-0000-0000-000089210000}"/>
    <cellStyle name="Note 3 2 3 5 2" xfId="4488" xr:uid="{00000000-0005-0000-0000-00008A210000}"/>
    <cellStyle name="Note 3 2 3 5 2 2" xfId="8710" xr:uid="{00000000-0005-0000-0000-00008B210000}"/>
    <cellStyle name="Note 3 2 3 5 2 2 2" xfId="34049" xr:uid="{970D5BD8-DF5D-47BE-B904-05D503889991}"/>
    <cellStyle name="Note 3 2 3 5 2 2 3" xfId="25608" xr:uid="{7CC22679-8228-41B2-9585-5930DF5635A5}"/>
    <cellStyle name="Note 3 2 3 5 2 2 4" xfId="17160" xr:uid="{51954BFC-D5A6-4BEE-83AF-ADD5543982CE}"/>
    <cellStyle name="Note 3 2 3 5 2 3" xfId="29831" xr:uid="{ED00BE59-6CD1-440B-A50A-AA7803ECDF1C}"/>
    <cellStyle name="Note 3 2 3 5 2 4" xfId="21390" xr:uid="{94496069-F411-4711-AFE8-74E2AEEF34AF}"/>
    <cellStyle name="Note 3 2 3 5 2 5" xfId="12942" xr:uid="{2854650F-4353-42F4-9FD8-C08BD4568914}"/>
    <cellStyle name="Note 3 2 3 5 3" xfId="6565" xr:uid="{00000000-0005-0000-0000-00008C210000}"/>
    <cellStyle name="Note 3 2 3 5 3 2" xfId="31904" xr:uid="{25704ECE-592E-43F8-8CDE-07736065210D}"/>
    <cellStyle name="Note 3 2 3 5 3 3" xfId="23463" xr:uid="{E8177865-0FA5-47C5-B24E-B8BBAC0CC03C}"/>
    <cellStyle name="Note 3 2 3 5 3 4" xfId="15015" xr:uid="{472A035E-2303-421B-A0A2-8B6792CD60AE}"/>
    <cellStyle name="Note 3 2 3 5 4" xfId="27686" xr:uid="{CE4FDB88-2CA7-4D1A-B9EE-7753CA348024}"/>
    <cellStyle name="Note 3 2 3 5 5" xfId="19245" xr:uid="{03E1FF50-24F8-4B4B-880F-36C4B94DF9DE}"/>
    <cellStyle name="Note 3 2 3 5 6" xfId="10797" xr:uid="{2F49D6D0-1EDE-4AC4-8469-68F464D5E980}"/>
    <cellStyle name="Note 3 2 3 6" xfId="2695" xr:uid="{00000000-0005-0000-0000-00008D210000}"/>
    <cellStyle name="Note 3 2 3 6 2" xfId="6978" xr:uid="{00000000-0005-0000-0000-00008E210000}"/>
    <cellStyle name="Note 3 2 3 6 2 2" xfId="32317" xr:uid="{09C20280-7EF9-49F0-A68B-4E86CE273902}"/>
    <cellStyle name="Note 3 2 3 6 2 3" xfId="23876" xr:uid="{BA3392C5-4A21-47F0-B3C0-4D059AAB4CA3}"/>
    <cellStyle name="Note 3 2 3 6 2 4" xfId="15428" xr:uid="{26A7981B-A111-4120-B703-0F190843CFBE}"/>
    <cellStyle name="Note 3 2 3 6 3" xfId="28099" xr:uid="{30532EEE-6287-466E-B9BA-9411C0C1C841}"/>
    <cellStyle name="Note 3 2 3 6 4" xfId="19658" xr:uid="{0EC5C1B3-F073-4854-95FE-281A23FCCF1F}"/>
    <cellStyle name="Note 3 2 3 6 5" xfId="11210" xr:uid="{E85CC3AD-0D3E-4851-A898-3434ABA1F028}"/>
    <cellStyle name="Note 3 2 3 7" xfId="2754" xr:uid="{00000000-0005-0000-0000-00008F210000}"/>
    <cellStyle name="Note 3 2 3 8" xfId="2835" xr:uid="{00000000-0005-0000-0000-000090210000}"/>
    <cellStyle name="Note 3 2 3 8 2" xfId="7058" xr:uid="{00000000-0005-0000-0000-000091210000}"/>
    <cellStyle name="Note 3 2 3 8 2 2" xfId="32397" xr:uid="{9117202D-B7EC-43E3-9A8D-B699840000B8}"/>
    <cellStyle name="Note 3 2 3 8 2 3" xfId="23956" xr:uid="{5EA2C02F-357D-415E-8449-5011917A911B}"/>
    <cellStyle name="Note 3 2 3 8 2 4" xfId="15508" xr:uid="{9FD7B143-AE9A-498B-83BE-790806D795FB}"/>
    <cellStyle name="Note 3 2 3 8 3" xfId="28179" xr:uid="{D8A11982-B29F-467D-95DC-4417B3699C37}"/>
    <cellStyle name="Note 3 2 3 8 4" xfId="19738" xr:uid="{91411984-AC46-475D-AE91-643CCBF5618D}"/>
    <cellStyle name="Note 3 2 3 8 5" xfId="11290" xr:uid="{80058294-9B1C-4922-88E4-9F8E628A298D}"/>
    <cellStyle name="Note 3 2 3 9" xfId="4913" xr:uid="{00000000-0005-0000-0000-000092210000}"/>
    <cellStyle name="Note 3 2 3 9 2" xfId="30252" xr:uid="{8CC585C5-DA01-4033-B554-19EA2C2965A9}"/>
    <cellStyle name="Note 3 2 3 9 3" xfId="21811" xr:uid="{3549DAFA-00B0-435B-B6AA-4C4F9A0DB2DE}"/>
    <cellStyle name="Note 3 2 3 9 4" xfId="13363" xr:uid="{43F1EB83-B431-4FE1-81EA-9622CD746700}"/>
    <cellStyle name="Note 3 2 4" xfId="1014" xr:uid="{00000000-0005-0000-0000-000093210000}"/>
    <cellStyle name="Note 3 2 4 2" xfId="3246" xr:uid="{00000000-0005-0000-0000-000094210000}"/>
    <cellStyle name="Note 3 2 4 2 2" xfId="7468" xr:uid="{00000000-0005-0000-0000-000095210000}"/>
    <cellStyle name="Note 3 2 4 2 2 2" xfId="32807" xr:uid="{695D7F11-7512-43B3-9DA9-1308DE28BD09}"/>
    <cellStyle name="Note 3 2 4 2 2 3" xfId="24366" xr:uid="{95FF03F2-05AD-46B1-9E85-5AF6F8A40F30}"/>
    <cellStyle name="Note 3 2 4 2 2 4" xfId="15918" xr:uid="{B4BC9AA5-FF23-42E4-AF62-553CD6B7AE3C}"/>
    <cellStyle name="Note 3 2 4 2 3" xfId="28589" xr:uid="{3AA42473-8426-443D-BA23-7EA4DF50408E}"/>
    <cellStyle name="Note 3 2 4 2 4" xfId="20148" xr:uid="{49CD46A6-F965-40FB-966B-EFEFD3B4C9EA}"/>
    <cellStyle name="Note 3 2 4 2 5" xfId="11700" xr:uid="{4BE76691-7075-4FA0-AAA0-32CFE8CA3DD4}"/>
    <cellStyle name="Note 3 2 4 3" xfId="5323" xr:uid="{00000000-0005-0000-0000-000096210000}"/>
    <cellStyle name="Note 3 2 4 3 2" xfId="30662" xr:uid="{DFB63B05-281E-4A6A-A0FA-4476B02397F7}"/>
    <cellStyle name="Note 3 2 4 3 3" xfId="22221" xr:uid="{EF92E624-22AB-49C5-9516-68A1F3327BC8}"/>
    <cellStyle name="Note 3 2 4 3 4" xfId="13773" xr:uid="{251C5222-82FA-4C00-B2A6-2A30C46A164C}"/>
    <cellStyle name="Note 3 2 4 4" xfId="26444" xr:uid="{2511AFED-EBFF-4008-BC5F-43D89A1E491D}"/>
    <cellStyle name="Note 3 2 4 5" xfId="18003" xr:uid="{E38F7545-114B-4FA0-BBA1-45630637BC4B}"/>
    <cellStyle name="Note 3 2 4 6" xfId="9555" xr:uid="{CCC36ABF-3DE9-4D04-9E32-7609C92DAEF2}"/>
    <cellStyle name="Note 3 2 5" xfId="1429" xr:uid="{00000000-0005-0000-0000-000097210000}"/>
    <cellStyle name="Note 3 2 5 2" xfId="3659" xr:uid="{00000000-0005-0000-0000-000098210000}"/>
    <cellStyle name="Note 3 2 5 2 2" xfId="7881" xr:uid="{00000000-0005-0000-0000-000099210000}"/>
    <cellStyle name="Note 3 2 5 2 2 2" xfId="33220" xr:uid="{EED90843-9C1B-45EF-A722-15AE71DDF350}"/>
    <cellStyle name="Note 3 2 5 2 2 3" xfId="24779" xr:uid="{EAFB5C50-31FE-4626-A058-4790F16B4356}"/>
    <cellStyle name="Note 3 2 5 2 2 4" xfId="16331" xr:uid="{E128AE4D-0CD3-415A-9758-5E11E820D8BA}"/>
    <cellStyle name="Note 3 2 5 2 3" xfId="29002" xr:uid="{4F5F6605-344D-4113-89C6-E1B03E5E0BE5}"/>
    <cellStyle name="Note 3 2 5 2 4" xfId="20561" xr:uid="{3226C387-BDB6-4B75-AEC6-16B218E67B30}"/>
    <cellStyle name="Note 3 2 5 2 5" xfId="12113" xr:uid="{7D12C552-8D60-4698-BA02-C3C73FDBA823}"/>
    <cellStyle name="Note 3 2 5 3" xfId="5736" xr:uid="{00000000-0005-0000-0000-00009A210000}"/>
    <cellStyle name="Note 3 2 5 3 2" xfId="31075" xr:uid="{BB0192A2-3BB9-4AB9-B3F5-CA6E3638131B}"/>
    <cellStyle name="Note 3 2 5 3 3" xfId="22634" xr:uid="{5B4C2568-F81F-43B0-8980-3415685BAA08}"/>
    <cellStyle name="Note 3 2 5 3 4" xfId="14186" xr:uid="{354CD1D2-7D71-47C5-AD1F-0624D75FBD27}"/>
    <cellStyle name="Note 3 2 5 4" xfId="26857" xr:uid="{8B58F8F1-06C3-418B-B85C-4A764A03D51A}"/>
    <cellStyle name="Note 3 2 5 5" xfId="18416" xr:uid="{91B7043E-4094-4704-954F-B93468C89CCA}"/>
    <cellStyle name="Note 3 2 5 6" xfId="9968" xr:uid="{2205EED7-5D1B-4D3C-B364-E9720EC2704D}"/>
    <cellStyle name="Note 3 2 6" xfId="1843" xr:uid="{00000000-0005-0000-0000-00009B210000}"/>
    <cellStyle name="Note 3 2 6 2" xfId="4072" xr:uid="{00000000-0005-0000-0000-00009C210000}"/>
    <cellStyle name="Note 3 2 6 2 2" xfId="8294" xr:uid="{00000000-0005-0000-0000-00009D210000}"/>
    <cellStyle name="Note 3 2 6 2 2 2" xfId="33633" xr:uid="{42E098AE-2621-4BB8-8C2D-4AEB07FD2AE1}"/>
    <cellStyle name="Note 3 2 6 2 2 3" xfId="25192" xr:uid="{93BE0868-FE57-4C9B-97B6-8D0D743DB249}"/>
    <cellStyle name="Note 3 2 6 2 2 4" xfId="16744" xr:uid="{3B72725C-9B08-410F-B8B0-A846CAD9F5A0}"/>
    <cellStyle name="Note 3 2 6 2 3" xfId="29415" xr:uid="{5421815F-C31F-45D6-AEFB-4BEE83F7229F}"/>
    <cellStyle name="Note 3 2 6 2 4" xfId="20974" xr:uid="{0DB3F278-0B4D-4621-9989-1BD75B85D3D0}"/>
    <cellStyle name="Note 3 2 6 2 5" xfId="12526" xr:uid="{DB8E68DE-5BA9-4FE5-8D74-763CCBC37486}"/>
    <cellStyle name="Note 3 2 6 3" xfId="6149" xr:uid="{00000000-0005-0000-0000-00009E210000}"/>
    <cellStyle name="Note 3 2 6 3 2" xfId="31488" xr:uid="{CD704111-6DDE-48D4-B051-C16FA3107EA0}"/>
    <cellStyle name="Note 3 2 6 3 3" xfId="23047" xr:uid="{4E1D8CEB-E66F-4CE5-849E-C40E435322AF}"/>
    <cellStyle name="Note 3 2 6 3 4" xfId="14599" xr:uid="{04C1C3DF-9435-4008-8788-97A495E80AD4}"/>
    <cellStyle name="Note 3 2 6 4" xfId="27270" xr:uid="{EBBD03B4-A6B4-42BF-B383-A1E5FE517525}"/>
    <cellStyle name="Note 3 2 6 5" xfId="18829" xr:uid="{98903407-AED8-41DC-B353-739F6A521E40}"/>
    <cellStyle name="Note 3 2 6 6" xfId="10381" xr:uid="{42788A9C-EFF3-48E8-91E6-047681452EB7}"/>
    <cellStyle name="Note 3 2 7" xfId="2256" xr:uid="{00000000-0005-0000-0000-00009F210000}"/>
    <cellStyle name="Note 3 2 7 2" xfId="4485" xr:uid="{00000000-0005-0000-0000-0000A0210000}"/>
    <cellStyle name="Note 3 2 7 2 2" xfId="8707" xr:uid="{00000000-0005-0000-0000-0000A1210000}"/>
    <cellStyle name="Note 3 2 7 2 2 2" xfId="34046" xr:uid="{D11ACC51-1262-40CD-BAD3-094BEFE6A2D9}"/>
    <cellStyle name="Note 3 2 7 2 2 3" xfId="25605" xr:uid="{126664C5-24D4-4C90-ABB3-973B6576CE67}"/>
    <cellStyle name="Note 3 2 7 2 2 4" xfId="17157" xr:uid="{4CFE5425-5F4B-48FC-B149-9FAB54A29579}"/>
    <cellStyle name="Note 3 2 7 2 3" xfId="29828" xr:uid="{F61850C0-293E-482D-A8B8-B68D4F889063}"/>
    <cellStyle name="Note 3 2 7 2 4" xfId="21387" xr:uid="{241E04C5-B3D6-470B-9B06-679CC933C875}"/>
    <cellStyle name="Note 3 2 7 2 5" xfId="12939" xr:uid="{8B19B939-969C-451D-A778-AC00F5D7CF61}"/>
    <cellStyle name="Note 3 2 7 3" xfId="6562" xr:uid="{00000000-0005-0000-0000-0000A2210000}"/>
    <cellStyle name="Note 3 2 7 3 2" xfId="31901" xr:uid="{8E6FF7A7-8B7C-41BC-B1A5-BC01F8D0FC12}"/>
    <cellStyle name="Note 3 2 7 3 3" xfId="23460" xr:uid="{40172B7D-9828-4A9B-8E44-A5EA7016D49D}"/>
    <cellStyle name="Note 3 2 7 3 4" xfId="15012" xr:uid="{6FED8CC3-ECAC-4AA2-9C1C-3109428B841D}"/>
    <cellStyle name="Note 3 2 7 4" xfId="27683" xr:uid="{656CEEBB-6540-41FE-AF2D-99A93C96DCFB}"/>
    <cellStyle name="Note 3 2 7 5" xfId="19242" xr:uid="{C3B491CD-1984-4B0F-A456-5A095AF4BB63}"/>
    <cellStyle name="Note 3 2 7 6" xfId="10794" xr:uid="{01BA6D52-2B77-4DBE-9754-02AE1E577843}"/>
    <cellStyle name="Note 3 2 8" xfId="2692" xr:uid="{00000000-0005-0000-0000-0000A3210000}"/>
    <cellStyle name="Note 3 2 8 2" xfId="6975" xr:uid="{00000000-0005-0000-0000-0000A4210000}"/>
    <cellStyle name="Note 3 2 8 2 2" xfId="32314" xr:uid="{E6295DB7-B53D-4DC7-92CA-827890B3E831}"/>
    <cellStyle name="Note 3 2 8 2 3" xfId="23873" xr:uid="{F943605A-F09A-4798-AFE5-C4BEE9B5B431}"/>
    <cellStyle name="Note 3 2 8 2 4" xfId="15425" xr:uid="{1FB6E728-E612-4057-8994-424922413136}"/>
    <cellStyle name="Note 3 2 8 3" xfId="28096" xr:uid="{EE0CE973-58FE-4B99-8B71-9CF9029901F4}"/>
    <cellStyle name="Note 3 2 8 4" xfId="19655" xr:uid="{05C04267-B2A2-43F8-894E-2D082C80A50B}"/>
    <cellStyle name="Note 3 2 8 5" xfId="11207" xr:uid="{DD48E322-B55B-4BC3-89C5-1A6B6885F420}"/>
    <cellStyle name="Note 3 2 9" xfId="2751" xr:uid="{00000000-0005-0000-0000-0000A5210000}"/>
    <cellStyle name="Note 3 3" xfId="558" xr:uid="{00000000-0005-0000-0000-0000A6210000}"/>
    <cellStyle name="Note 3 3 10" xfId="4914" xr:uid="{00000000-0005-0000-0000-0000A7210000}"/>
    <cellStyle name="Note 3 3 10 2" xfId="30253" xr:uid="{D2099E71-4CE6-41FC-960B-B54013A11419}"/>
    <cellStyle name="Note 3 3 10 3" xfId="21812" xr:uid="{1D1C8C4A-3AF0-4A0A-92CD-644D21745B17}"/>
    <cellStyle name="Note 3 3 10 4" xfId="13364" xr:uid="{C38A5F67-B897-4A82-9250-96E4A35ACE08}"/>
    <cellStyle name="Note 3 3 11" xfId="26035" xr:uid="{CB195792-A477-4CE3-9AEC-943063594D9D}"/>
    <cellStyle name="Note 3 3 12" xfId="17594" xr:uid="{E172BBD1-ED4D-4849-A85E-696CFE87D391}"/>
    <cellStyle name="Note 3 3 13" xfId="9146" xr:uid="{692B98C6-0F63-4FBA-B45B-21054192EE73}"/>
    <cellStyle name="Note 3 3 2" xfId="559" xr:uid="{00000000-0005-0000-0000-0000A8210000}"/>
    <cellStyle name="Note 3 3 2 10" xfId="26036" xr:uid="{45AF617B-E46A-46DA-B5B1-FC6CD1D90FA8}"/>
    <cellStyle name="Note 3 3 2 11" xfId="17595" xr:uid="{5989808B-0C6C-446D-B22C-8D5D4F0FC9AE}"/>
    <cellStyle name="Note 3 3 2 12" xfId="9147" xr:uid="{5F168E82-6155-4128-8352-69F357E97825}"/>
    <cellStyle name="Note 3 3 2 2" xfId="1019" xr:uid="{00000000-0005-0000-0000-0000A9210000}"/>
    <cellStyle name="Note 3 3 2 2 2" xfId="3251" xr:uid="{00000000-0005-0000-0000-0000AA210000}"/>
    <cellStyle name="Note 3 3 2 2 2 2" xfId="7473" xr:uid="{00000000-0005-0000-0000-0000AB210000}"/>
    <cellStyle name="Note 3 3 2 2 2 2 2" xfId="32812" xr:uid="{F120D0D8-D5C9-4DA3-A442-1B872031DD1F}"/>
    <cellStyle name="Note 3 3 2 2 2 2 3" xfId="24371" xr:uid="{196EEEE2-0710-491F-82D5-98347011F186}"/>
    <cellStyle name="Note 3 3 2 2 2 2 4" xfId="15923" xr:uid="{078E56E5-16FC-41FA-9725-C09BBF489D2B}"/>
    <cellStyle name="Note 3 3 2 2 2 3" xfId="28594" xr:uid="{DCB21B15-AB1F-42DE-992E-85082BDD232D}"/>
    <cellStyle name="Note 3 3 2 2 2 4" xfId="20153" xr:uid="{5D4A2451-7A4B-4BD3-8D38-2B53AC1D0B1A}"/>
    <cellStyle name="Note 3 3 2 2 2 5" xfId="11705" xr:uid="{CE490C68-F130-4A01-85B5-8DFBE45D7B8A}"/>
    <cellStyle name="Note 3 3 2 2 3" xfId="5328" xr:uid="{00000000-0005-0000-0000-0000AC210000}"/>
    <cellStyle name="Note 3 3 2 2 3 2" xfId="30667" xr:uid="{C678B550-BD67-4D3A-B71E-F5AF9BBBF773}"/>
    <cellStyle name="Note 3 3 2 2 3 3" xfId="22226" xr:uid="{42FBD5D6-8061-4346-BC90-7E03C14DFF74}"/>
    <cellStyle name="Note 3 3 2 2 3 4" xfId="13778" xr:uid="{3A14E4A1-880D-43D4-814C-7E80F2F23CD8}"/>
    <cellStyle name="Note 3 3 2 2 4" xfId="26449" xr:uid="{6050DD98-F25C-4D22-BF7C-23385A5423A2}"/>
    <cellStyle name="Note 3 3 2 2 5" xfId="18008" xr:uid="{A3E1D3E0-3FD0-43F6-A1FA-D3F1CBB075D8}"/>
    <cellStyle name="Note 3 3 2 2 6" xfId="9560" xr:uid="{A6CF57D8-FF4C-43DF-8D09-1D78E2EB288D}"/>
    <cellStyle name="Note 3 3 2 3" xfId="1434" xr:uid="{00000000-0005-0000-0000-0000AD210000}"/>
    <cellStyle name="Note 3 3 2 3 2" xfId="3664" xr:uid="{00000000-0005-0000-0000-0000AE210000}"/>
    <cellStyle name="Note 3 3 2 3 2 2" xfId="7886" xr:uid="{00000000-0005-0000-0000-0000AF210000}"/>
    <cellStyle name="Note 3 3 2 3 2 2 2" xfId="33225" xr:uid="{3DF65C4A-5953-4E84-8791-75EDF3629398}"/>
    <cellStyle name="Note 3 3 2 3 2 2 3" xfId="24784" xr:uid="{0D471EA8-969E-4F12-8489-788F7D1333F6}"/>
    <cellStyle name="Note 3 3 2 3 2 2 4" xfId="16336" xr:uid="{6B191F72-5451-4B7E-926A-548BD6F56F7C}"/>
    <cellStyle name="Note 3 3 2 3 2 3" xfId="29007" xr:uid="{A21772FC-4A1C-44BC-A8CA-5FC369FE4FE3}"/>
    <cellStyle name="Note 3 3 2 3 2 4" xfId="20566" xr:uid="{A764AD5F-CE16-4960-B55F-D6FD9C2AAFE5}"/>
    <cellStyle name="Note 3 3 2 3 2 5" xfId="12118" xr:uid="{6A042634-A3C4-4B79-8201-4C11186D2E11}"/>
    <cellStyle name="Note 3 3 2 3 3" xfId="5741" xr:uid="{00000000-0005-0000-0000-0000B0210000}"/>
    <cellStyle name="Note 3 3 2 3 3 2" xfId="31080" xr:uid="{2BD26303-FF66-4026-87F5-C4B80466C5AE}"/>
    <cellStyle name="Note 3 3 2 3 3 3" xfId="22639" xr:uid="{4FD6B3BD-887F-4D2F-A10C-D8E9D456D5F6}"/>
    <cellStyle name="Note 3 3 2 3 3 4" xfId="14191" xr:uid="{B7802B48-325B-4C8F-8D1B-883A91D1CEBF}"/>
    <cellStyle name="Note 3 3 2 3 4" xfId="26862" xr:uid="{E2687106-DAEB-4B0F-86D1-6CC0A4C5228E}"/>
    <cellStyle name="Note 3 3 2 3 5" xfId="18421" xr:uid="{3E4095C4-99FE-40B8-BC6F-FDAB905DAA60}"/>
    <cellStyle name="Note 3 3 2 3 6" xfId="9973" xr:uid="{E2B8723F-134C-4E5E-9644-53CBA6F4AC37}"/>
    <cellStyle name="Note 3 3 2 4" xfId="1848" xr:uid="{00000000-0005-0000-0000-0000B1210000}"/>
    <cellStyle name="Note 3 3 2 4 2" xfId="4077" xr:uid="{00000000-0005-0000-0000-0000B2210000}"/>
    <cellStyle name="Note 3 3 2 4 2 2" xfId="8299" xr:uid="{00000000-0005-0000-0000-0000B3210000}"/>
    <cellStyle name="Note 3 3 2 4 2 2 2" xfId="33638" xr:uid="{B3DC698D-D0AD-4178-A48A-77C5A943A2B4}"/>
    <cellStyle name="Note 3 3 2 4 2 2 3" xfId="25197" xr:uid="{752313F2-D089-4B9D-9B00-4D5F416A4409}"/>
    <cellStyle name="Note 3 3 2 4 2 2 4" xfId="16749" xr:uid="{077B3983-8E0B-46F4-BDD2-4CB3CFA53DE1}"/>
    <cellStyle name="Note 3 3 2 4 2 3" xfId="29420" xr:uid="{90CBF9FC-9D91-4948-8CF2-6116AAC57971}"/>
    <cellStyle name="Note 3 3 2 4 2 4" xfId="20979" xr:uid="{D2FD9458-CB1F-4BCA-A001-19671BD57648}"/>
    <cellStyle name="Note 3 3 2 4 2 5" xfId="12531" xr:uid="{E1537F4D-E9CE-4976-BE32-4A38D02DB1BC}"/>
    <cellStyle name="Note 3 3 2 4 3" xfId="6154" xr:uid="{00000000-0005-0000-0000-0000B4210000}"/>
    <cellStyle name="Note 3 3 2 4 3 2" xfId="31493" xr:uid="{FA5D872A-7A0E-4419-ABE1-496E9B040B41}"/>
    <cellStyle name="Note 3 3 2 4 3 3" xfId="23052" xr:uid="{FDAB0C11-18A8-430F-9D2C-0B0CC47973F1}"/>
    <cellStyle name="Note 3 3 2 4 3 4" xfId="14604" xr:uid="{54B88DEC-252A-483A-B46A-1E5DA17FC360}"/>
    <cellStyle name="Note 3 3 2 4 4" xfId="27275" xr:uid="{13107E8E-ECA9-4A5C-A4DB-1BEF9E43B260}"/>
    <cellStyle name="Note 3 3 2 4 5" xfId="18834" xr:uid="{CECF2737-7CED-4617-A7F4-6465709828EB}"/>
    <cellStyle name="Note 3 3 2 4 6" xfId="10386" xr:uid="{70FCA908-9936-43A3-BC52-B6C4B496A495}"/>
    <cellStyle name="Note 3 3 2 5" xfId="2261" xr:uid="{00000000-0005-0000-0000-0000B5210000}"/>
    <cellStyle name="Note 3 3 2 5 2" xfId="4490" xr:uid="{00000000-0005-0000-0000-0000B6210000}"/>
    <cellStyle name="Note 3 3 2 5 2 2" xfId="8712" xr:uid="{00000000-0005-0000-0000-0000B7210000}"/>
    <cellStyle name="Note 3 3 2 5 2 2 2" xfId="34051" xr:uid="{990F652B-3076-4B25-90D4-397FB8FE8CBC}"/>
    <cellStyle name="Note 3 3 2 5 2 2 3" xfId="25610" xr:uid="{093F62A7-AA9C-4BAB-A75A-B5E80942399E}"/>
    <cellStyle name="Note 3 3 2 5 2 2 4" xfId="17162" xr:uid="{CBB678A0-E96C-4277-9CC2-A245DC50AB53}"/>
    <cellStyle name="Note 3 3 2 5 2 3" xfId="29833" xr:uid="{F3C7F4DC-E57B-47FC-ADD4-0DE75345B843}"/>
    <cellStyle name="Note 3 3 2 5 2 4" xfId="21392" xr:uid="{E12D9CA1-F1D7-43EA-998A-AD35CB53787F}"/>
    <cellStyle name="Note 3 3 2 5 2 5" xfId="12944" xr:uid="{F81034E7-76F7-470E-A0E0-79CC668F76A7}"/>
    <cellStyle name="Note 3 3 2 5 3" xfId="6567" xr:uid="{00000000-0005-0000-0000-0000B8210000}"/>
    <cellStyle name="Note 3 3 2 5 3 2" xfId="31906" xr:uid="{9FDDC694-6F74-417B-8233-B1D9394B7D0C}"/>
    <cellStyle name="Note 3 3 2 5 3 3" xfId="23465" xr:uid="{F6A1383F-1D3A-41CA-99FE-0F1E2E39C3CA}"/>
    <cellStyle name="Note 3 3 2 5 3 4" xfId="15017" xr:uid="{8BD37064-1B83-43F1-9605-E4B6F95B4461}"/>
    <cellStyle name="Note 3 3 2 5 4" xfId="27688" xr:uid="{8D6460DF-CEC9-4E52-8B6A-32889AEA9D75}"/>
    <cellStyle name="Note 3 3 2 5 5" xfId="19247" xr:uid="{969AA324-ABB7-4915-A939-0B2DB465E082}"/>
    <cellStyle name="Note 3 3 2 5 6" xfId="10799" xr:uid="{002B7495-761A-43B9-8F11-949C52A989B1}"/>
    <cellStyle name="Note 3 3 2 6" xfId="2697" xr:uid="{00000000-0005-0000-0000-0000B9210000}"/>
    <cellStyle name="Note 3 3 2 6 2" xfId="6980" xr:uid="{00000000-0005-0000-0000-0000BA210000}"/>
    <cellStyle name="Note 3 3 2 6 2 2" xfId="32319" xr:uid="{5E7A3C4D-A2B7-4EA2-8B91-407CF4F6322E}"/>
    <cellStyle name="Note 3 3 2 6 2 3" xfId="23878" xr:uid="{AE01E53E-79AD-48E2-952B-B575F36189D2}"/>
    <cellStyle name="Note 3 3 2 6 2 4" xfId="15430" xr:uid="{13BB2FD1-7ED3-473D-9DE4-92989101EC7E}"/>
    <cellStyle name="Note 3 3 2 6 3" xfId="28101" xr:uid="{563A6A49-8C66-4956-ADFC-5746403285C9}"/>
    <cellStyle name="Note 3 3 2 6 4" xfId="19660" xr:uid="{AE8BE515-E466-4BB0-84A7-69E94C6F9D12}"/>
    <cellStyle name="Note 3 3 2 6 5" xfId="11212" xr:uid="{56A0FBFC-54CB-4544-881E-D9609EFD2C9A}"/>
    <cellStyle name="Note 3 3 2 7" xfId="2756" xr:uid="{00000000-0005-0000-0000-0000BB210000}"/>
    <cellStyle name="Note 3 3 2 8" xfId="2837" xr:uid="{00000000-0005-0000-0000-0000BC210000}"/>
    <cellStyle name="Note 3 3 2 8 2" xfId="7060" xr:uid="{00000000-0005-0000-0000-0000BD210000}"/>
    <cellStyle name="Note 3 3 2 8 2 2" xfId="32399" xr:uid="{FD05F517-06D7-4BEE-ADDD-A321A11B4D75}"/>
    <cellStyle name="Note 3 3 2 8 2 3" xfId="23958" xr:uid="{0FF16E52-EA6E-4F86-8804-16CFCD065192}"/>
    <cellStyle name="Note 3 3 2 8 2 4" xfId="15510" xr:uid="{34A4BC11-ADD7-43E4-AF77-DBFBD2DD72AA}"/>
    <cellStyle name="Note 3 3 2 8 3" xfId="28181" xr:uid="{FBC5D3F6-1CA5-4D85-BDA9-F106CA58E9D5}"/>
    <cellStyle name="Note 3 3 2 8 4" xfId="19740" xr:uid="{52C6EF59-3DD0-433B-B808-65B14D064FF0}"/>
    <cellStyle name="Note 3 3 2 8 5" xfId="11292" xr:uid="{2AE076BA-665C-46EA-A66E-29E7A9F02863}"/>
    <cellStyle name="Note 3 3 2 9" xfId="4915" xr:uid="{00000000-0005-0000-0000-0000BE210000}"/>
    <cellStyle name="Note 3 3 2 9 2" xfId="30254" xr:uid="{9C5A49E8-36E6-422A-A429-8F29745FBD3B}"/>
    <cellStyle name="Note 3 3 2 9 3" xfId="21813" xr:uid="{C91434FD-5192-4073-8E2D-F40B5C29826C}"/>
    <cellStyle name="Note 3 3 2 9 4" xfId="13365" xr:uid="{C7670DBF-D455-45AA-9E8E-38BF03D81770}"/>
    <cellStyle name="Note 3 3 3" xfId="1018" xr:uid="{00000000-0005-0000-0000-0000BF210000}"/>
    <cellStyle name="Note 3 3 3 2" xfId="3250" xr:uid="{00000000-0005-0000-0000-0000C0210000}"/>
    <cellStyle name="Note 3 3 3 2 2" xfId="7472" xr:uid="{00000000-0005-0000-0000-0000C1210000}"/>
    <cellStyle name="Note 3 3 3 2 2 2" xfId="32811" xr:uid="{8C869ABA-531B-4FE3-BC74-2EF85AB5A930}"/>
    <cellStyle name="Note 3 3 3 2 2 3" xfId="24370" xr:uid="{9680D27C-4933-41A5-AE9A-8112707C9C04}"/>
    <cellStyle name="Note 3 3 3 2 2 4" xfId="15922" xr:uid="{DC9AC195-D8FF-41F4-B199-9F02AE98110A}"/>
    <cellStyle name="Note 3 3 3 2 3" xfId="28593" xr:uid="{FFDF27D7-E7EE-43C8-8F87-1617883C03EE}"/>
    <cellStyle name="Note 3 3 3 2 4" xfId="20152" xr:uid="{D0141B96-21C2-499B-B154-16FF2FA2BA19}"/>
    <cellStyle name="Note 3 3 3 2 5" xfId="11704" xr:uid="{8FAC92C7-8658-4F7D-8AEC-4FB15F474907}"/>
    <cellStyle name="Note 3 3 3 3" xfId="5327" xr:uid="{00000000-0005-0000-0000-0000C2210000}"/>
    <cellStyle name="Note 3 3 3 3 2" xfId="30666" xr:uid="{C4BB6FB7-0B83-4F55-9F2C-3BD6A21422D2}"/>
    <cellStyle name="Note 3 3 3 3 3" xfId="22225" xr:uid="{A7C8A131-0E00-47CF-958C-22B505387144}"/>
    <cellStyle name="Note 3 3 3 3 4" xfId="13777" xr:uid="{4C4FD62F-5C83-4222-A2B9-0B9D2946722D}"/>
    <cellStyle name="Note 3 3 3 4" xfId="26448" xr:uid="{29525128-4C7C-43C1-A83A-2EA6A9432363}"/>
    <cellStyle name="Note 3 3 3 5" xfId="18007" xr:uid="{5F9851DE-AD05-4AA7-B954-6175A046734F}"/>
    <cellStyle name="Note 3 3 3 6" xfId="9559" xr:uid="{70D1EFFD-06FD-4614-8EE1-06D8373643F6}"/>
    <cellStyle name="Note 3 3 4" xfId="1433" xr:uid="{00000000-0005-0000-0000-0000C3210000}"/>
    <cellStyle name="Note 3 3 4 2" xfId="3663" xr:uid="{00000000-0005-0000-0000-0000C4210000}"/>
    <cellStyle name="Note 3 3 4 2 2" xfId="7885" xr:uid="{00000000-0005-0000-0000-0000C5210000}"/>
    <cellStyle name="Note 3 3 4 2 2 2" xfId="33224" xr:uid="{B115FDED-6351-4AA6-A507-225B3383D34F}"/>
    <cellStyle name="Note 3 3 4 2 2 3" xfId="24783" xr:uid="{B10C7844-5D8C-49DB-82E2-1F722066AEE5}"/>
    <cellStyle name="Note 3 3 4 2 2 4" xfId="16335" xr:uid="{1B5221F8-F2FB-4F39-B835-C016AE75DF85}"/>
    <cellStyle name="Note 3 3 4 2 3" xfId="29006" xr:uid="{7756C472-199D-4996-83E2-8170ED9D6920}"/>
    <cellStyle name="Note 3 3 4 2 4" xfId="20565" xr:uid="{C68448A5-F3AC-4405-A549-E701E1651445}"/>
    <cellStyle name="Note 3 3 4 2 5" xfId="12117" xr:uid="{96643CD8-005F-4E65-B5D7-F9957E6303C6}"/>
    <cellStyle name="Note 3 3 4 3" xfId="5740" xr:uid="{00000000-0005-0000-0000-0000C6210000}"/>
    <cellStyle name="Note 3 3 4 3 2" xfId="31079" xr:uid="{ABDBF6BA-B77C-4C44-867B-A076762AF247}"/>
    <cellStyle name="Note 3 3 4 3 3" xfId="22638" xr:uid="{82D12006-54E5-4910-9B68-13918ADC3DF6}"/>
    <cellStyle name="Note 3 3 4 3 4" xfId="14190" xr:uid="{AEA34B99-5937-43EA-BB9E-B39FFCD5A0C7}"/>
    <cellStyle name="Note 3 3 4 4" xfId="26861" xr:uid="{10377E34-3E5D-4556-BCA4-60639AFB8E4B}"/>
    <cellStyle name="Note 3 3 4 5" xfId="18420" xr:uid="{E1C46146-DEB7-4BEA-B3AC-678F8D7E530F}"/>
    <cellStyle name="Note 3 3 4 6" xfId="9972" xr:uid="{8ECE6143-9A84-48DA-8A97-278A50FE5E4B}"/>
    <cellStyle name="Note 3 3 5" xfId="1847" xr:uid="{00000000-0005-0000-0000-0000C7210000}"/>
    <cellStyle name="Note 3 3 5 2" xfId="4076" xr:uid="{00000000-0005-0000-0000-0000C8210000}"/>
    <cellStyle name="Note 3 3 5 2 2" xfId="8298" xr:uid="{00000000-0005-0000-0000-0000C9210000}"/>
    <cellStyle name="Note 3 3 5 2 2 2" xfId="33637" xr:uid="{D18B9961-CA46-43EC-BC91-C4D35CFF6AC4}"/>
    <cellStyle name="Note 3 3 5 2 2 3" xfId="25196" xr:uid="{8C84B768-0D83-43D5-A7A8-49063F82A29A}"/>
    <cellStyle name="Note 3 3 5 2 2 4" xfId="16748" xr:uid="{C8236E1F-93C8-493E-A37B-90CCCD21D696}"/>
    <cellStyle name="Note 3 3 5 2 3" xfId="29419" xr:uid="{F48BDD45-AB06-40B1-B80E-5E123C6464E2}"/>
    <cellStyle name="Note 3 3 5 2 4" xfId="20978" xr:uid="{BDFA4188-07B2-4298-8C69-885EBD371CEC}"/>
    <cellStyle name="Note 3 3 5 2 5" xfId="12530" xr:uid="{2FD25AA4-026A-4999-BC4A-7F99A2F270D9}"/>
    <cellStyle name="Note 3 3 5 3" xfId="6153" xr:uid="{00000000-0005-0000-0000-0000CA210000}"/>
    <cellStyle name="Note 3 3 5 3 2" xfId="31492" xr:uid="{1D0A5B68-2A6A-43C9-8A7E-7ACB323C251C}"/>
    <cellStyle name="Note 3 3 5 3 3" xfId="23051" xr:uid="{7BCEBA37-4EDC-4BE6-AC6B-A9242E12BE58}"/>
    <cellStyle name="Note 3 3 5 3 4" xfId="14603" xr:uid="{BD9DA47F-C980-46E9-BB78-646B17E4DC81}"/>
    <cellStyle name="Note 3 3 5 4" xfId="27274" xr:uid="{D24B0F6B-0339-45DE-BEAB-FA4462300618}"/>
    <cellStyle name="Note 3 3 5 5" xfId="18833" xr:uid="{EF78329E-19F9-4352-9B96-DDDA06C0D3AD}"/>
    <cellStyle name="Note 3 3 5 6" xfId="10385" xr:uid="{23A89CDD-C7D9-4E97-91FA-57F868A538A9}"/>
    <cellStyle name="Note 3 3 6" xfId="2260" xr:uid="{00000000-0005-0000-0000-0000CB210000}"/>
    <cellStyle name="Note 3 3 6 2" xfId="4489" xr:uid="{00000000-0005-0000-0000-0000CC210000}"/>
    <cellStyle name="Note 3 3 6 2 2" xfId="8711" xr:uid="{00000000-0005-0000-0000-0000CD210000}"/>
    <cellStyle name="Note 3 3 6 2 2 2" xfId="34050" xr:uid="{A2A1F857-F9BC-42B9-A00D-8D995BD2FA83}"/>
    <cellStyle name="Note 3 3 6 2 2 3" xfId="25609" xr:uid="{E1450DE0-30EB-4FB4-819B-78C0E2C71D79}"/>
    <cellStyle name="Note 3 3 6 2 2 4" xfId="17161" xr:uid="{2688C797-AB91-471B-87A1-2FD6F9727A3F}"/>
    <cellStyle name="Note 3 3 6 2 3" xfId="29832" xr:uid="{D585CB76-D0E4-4F51-BF2F-7D3AC0CF6585}"/>
    <cellStyle name="Note 3 3 6 2 4" xfId="21391" xr:uid="{5D1F1FA9-1FC6-453D-B752-A512EFF8733E}"/>
    <cellStyle name="Note 3 3 6 2 5" xfId="12943" xr:uid="{3D7DA933-5E14-4405-A3FB-031488BC1537}"/>
    <cellStyle name="Note 3 3 6 3" xfId="6566" xr:uid="{00000000-0005-0000-0000-0000CE210000}"/>
    <cellStyle name="Note 3 3 6 3 2" xfId="31905" xr:uid="{3EDADE21-EFDA-4EBC-8629-D9B76281DB89}"/>
    <cellStyle name="Note 3 3 6 3 3" xfId="23464" xr:uid="{0378DD74-5B30-47AF-870D-63FD9401CDC8}"/>
    <cellStyle name="Note 3 3 6 3 4" xfId="15016" xr:uid="{C5D80FDC-F948-40B7-A576-7FDC561273ED}"/>
    <cellStyle name="Note 3 3 6 4" xfId="27687" xr:uid="{42273A5E-434B-41BE-A453-DDAFC6B7A6E2}"/>
    <cellStyle name="Note 3 3 6 5" xfId="19246" xr:uid="{62EC48C7-0C13-4F22-9139-973B2C0F661D}"/>
    <cellStyle name="Note 3 3 6 6" xfId="10798" xr:uid="{E3DDA162-0AE7-4D42-BC13-7200B2E82B7E}"/>
    <cellStyle name="Note 3 3 7" xfId="2696" xr:uid="{00000000-0005-0000-0000-0000CF210000}"/>
    <cellStyle name="Note 3 3 7 2" xfId="6979" xr:uid="{00000000-0005-0000-0000-0000D0210000}"/>
    <cellStyle name="Note 3 3 7 2 2" xfId="32318" xr:uid="{56497198-183C-43AA-A538-C45B5EA0D3E0}"/>
    <cellStyle name="Note 3 3 7 2 3" xfId="23877" xr:uid="{56440BF3-7C33-4B7A-AC63-96FCCD220A2D}"/>
    <cellStyle name="Note 3 3 7 2 4" xfId="15429" xr:uid="{AEE5D0FE-57A1-47BC-95C9-A73CDA3FBB58}"/>
    <cellStyle name="Note 3 3 7 3" xfId="28100" xr:uid="{05FFE2B3-C1C4-4CF3-9F08-1E5A5354E98E}"/>
    <cellStyle name="Note 3 3 7 4" xfId="19659" xr:uid="{6242611B-F189-4A4D-8087-FA06A815AC86}"/>
    <cellStyle name="Note 3 3 7 5" xfId="11211" xr:uid="{2CBE0AFA-4199-41EA-B3D7-6D945C79BBC9}"/>
    <cellStyle name="Note 3 3 8" xfId="2755" xr:uid="{00000000-0005-0000-0000-0000D1210000}"/>
    <cellStyle name="Note 3 3 9" xfId="2836" xr:uid="{00000000-0005-0000-0000-0000D2210000}"/>
    <cellStyle name="Note 3 3 9 2" xfId="7059" xr:uid="{00000000-0005-0000-0000-0000D3210000}"/>
    <cellStyle name="Note 3 3 9 2 2" xfId="32398" xr:uid="{14DEF508-1246-44BD-909C-07F38A84B9C6}"/>
    <cellStyle name="Note 3 3 9 2 3" xfId="23957" xr:uid="{3456D093-EA96-490F-A15F-CB8BA4C341C7}"/>
    <cellStyle name="Note 3 3 9 2 4" xfId="15509" xr:uid="{CC7CAE5D-70D9-4918-AD1B-F730E878FFB1}"/>
    <cellStyle name="Note 3 3 9 3" xfId="28180" xr:uid="{6C244D3F-15DE-4EE4-8A1D-8BB04A1A83B2}"/>
    <cellStyle name="Note 3 3 9 4" xfId="19739" xr:uid="{0D01AA9F-028B-4233-B06C-E1FF60A14A15}"/>
    <cellStyle name="Note 3 3 9 5" xfId="11291" xr:uid="{45EBDD48-D62D-4304-8367-11620B3390A0}"/>
    <cellStyle name="Note 3 4" xfId="560" xr:uid="{00000000-0005-0000-0000-0000D4210000}"/>
    <cellStyle name="Note 3 4 10" xfId="26037" xr:uid="{B39C77F5-600D-4E58-BC3E-BAD70E51EDA4}"/>
    <cellStyle name="Note 3 4 11" xfId="17596" xr:uid="{B7250B95-9820-465D-8775-77A0D82559A2}"/>
    <cellStyle name="Note 3 4 12" xfId="9148" xr:uid="{9A19463E-4AF3-486E-A302-F9CD46C6DE74}"/>
    <cellStyle name="Note 3 4 2" xfId="1020" xr:uid="{00000000-0005-0000-0000-0000D5210000}"/>
    <cellStyle name="Note 3 4 2 2" xfId="3252" xr:uid="{00000000-0005-0000-0000-0000D6210000}"/>
    <cellStyle name="Note 3 4 2 2 2" xfId="7474" xr:uid="{00000000-0005-0000-0000-0000D7210000}"/>
    <cellStyle name="Note 3 4 2 2 2 2" xfId="32813" xr:uid="{FB212111-6BC3-4D06-A1FD-565175D3EC0C}"/>
    <cellStyle name="Note 3 4 2 2 2 3" xfId="24372" xr:uid="{C473CD78-F4F3-427A-AC65-906DE1D1B4FD}"/>
    <cellStyle name="Note 3 4 2 2 2 4" xfId="15924" xr:uid="{838580E1-78FE-46EB-A2D3-BFAA16E4E25A}"/>
    <cellStyle name="Note 3 4 2 2 3" xfId="28595" xr:uid="{5BA437D2-F997-4A56-8AE0-EC42AF3E036E}"/>
    <cellStyle name="Note 3 4 2 2 4" xfId="20154" xr:uid="{0A139C3C-F33E-4FAF-8750-7701300F5B75}"/>
    <cellStyle name="Note 3 4 2 2 5" xfId="11706" xr:uid="{EFAC12CD-C60A-49F1-B67B-C15CB4EF1D70}"/>
    <cellStyle name="Note 3 4 2 3" xfId="5329" xr:uid="{00000000-0005-0000-0000-0000D8210000}"/>
    <cellStyle name="Note 3 4 2 3 2" xfId="30668" xr:uid="{17ECF1C3-09B3-4C5F-9D16-0DAE8576A11C}"/>
    <cellStyle name="Note 3 4 2 3 3" xfId="22227" xr:uid="{1BE4BE3B-876F-435B-8EF5-62FE01EA752D}"/>
    <cellStyle name="Note 3 4 2 3 4" xfId="13779" xr:uid="{11656D57-5CD9-4F24-8583-EEB9C76AC088}"/>
    <cellStyle name="Note 3 4 2 4" xfId="26450" xr:uid="{48868C7E-CA36-43E8-80F4-0BF46F435D6A}"/>
    <cellStyle name="Note 3 4 2 5" xfId="18009" xr:uid="{C13C5C7C-1DDA-479B-937B-69CE434F766A}"/>
    <cellStyle name="Note 3 4 2 6" xfId="9561" xr:uid="{FC19E42B-3A0E-42ED-86DC-6435960095E0}"/>
    <cellStyle name="Note 3 4 3" xfId="1435" xr:uid="{00000000-0005-0000-0000-0000D9210000}"/>
    <cellStyle name="Note 3 4 3 2" xfId="3665" xr:uid="{00000000-0005-0000-0000-0000DA210000}"/>
    <cellStyle name="Note 3 4 3 2 2" xfId="7887" xr:uid="{00000000-0005-0000-0000-0000DB210000}"/>
    <cellStyle name="Note 3 4 3 2 2 2" xfId="33226" xr:uid="{3ABDD7D7-06E5-46D9-A614-045C6D46BE0E}"/>
    <cellStyle name="Note 3 4 3 2 2 3" xfId="24785" xr:uid="{0761E2A2-BE90-4368-967D-D1DA16ED3FA9}"/>
    <cellStyle name="Note 3 4 3 2 2 4" xfId="16337" xr:uid="{78E9005E-9A87-4958-A0EF-7E9363556F34}"/>
    <cellStyle name="Note 3 4 3 2 3" xfId="29008" xr:uid="{D985F63D-3778-490A-A5C8-40ABD482DC1B}"/>
    <cellStyle name="Note 3 4 3 2 4" xfId="20567" xr:uid="{6C689FE7-236B-41F4-8C90-FFF75607A917}"/>
    <cellStyle name="Note 3 4 3 2 5" xfId="12119" xr:uid="{A4C8456B-3AA1-4F1F-9F04-130BA5BDA98C}"/>
    <cellStyle name="Note 3 4 3 3" xfId="5742" xr:uid="{00000000-0005-0000-0000-0000DC210000}"/>
    <cellStyle name="Note 3 4 3 3 2" xfId="31081" xr:uid="{8DB84FDC-E6E0-4C9C-A5B9-5C4ABC15375B}"/>
    <cellStyle name="Note 3 4 3 3 3" xfId="22640" xr:uid="{4331599E-E4E2-4E59-98FF-4424CEEC2CAB}"/>
    <cellStyle name="Note 3 4 3 3 4" xfId="14192" xr:uid="{8BABBACC-17EA-4ABF-85D3-477C27E1DE3B}"/>
    <cellStyle name="Note 3 4 3 4" xfId="26863" xr:uid="{898F5062-D986-466B-8EEE-1FDF9EFBF5B4}"/>
    <cellStyle name="Note 3 4 3 5" xfId="18422" xr:uid="{6EDA6BA5-02C7-44F2-A287-0C22620DABFD}"/>
    <cellStyle name="Note 3 4 3 6" xfId="9974" xr:uid="{6CE87965-D0DF-480A-9544-D65759D22803}"/>
    <cellStyle name="Note 3 4 4" xfId="1849" xr:uid="{00000000-0005-0000-0000-0000DD210000}"/>
    <cellStyle name="Note 3 4 4 2" xfId="4078" xr:uid="{00000000-0005-0000-0000-0000DE210000}"/>
    <cellStyle name="Note 3 4 4 2 2" xfId="8300" xr:uid="{00000000-0005-0000-0000-0000DF210000}"/>
    <cellStyle name="Note 3 4 4 2 2 2" xfId="33639" xr:uid="{C6DD6785-CD15-416E-9C15-932891DC8C04}"/>
    <cellStyle name="Note 3 4 4 2 2 3" xfId="25198" xr:uid="{ECDFB124-FA4E-42EC-8F17-29F40338BF13}"/>
    <cellStyle name="Note 3 4 4 2 2 4" xfId="16750" xr:uid="{57B9DDCB-2F27-4604-9531-7CCA6D2DD614}"/>
    <cellStyle name="Note 3 4 4 2 3" xfId="29421" xr:uid="{14283C7B-3E67-4E37-BBE7-D16AF6DFECB9}"/>
    <cellStyle name="Note 3 4 4 2 4" xfId="20980" xr:uid="{DB628AC2-115D-4E6D-90B6-8021087A7413}"/>
    <cellStyle name="Note 3 4 4 2 5" xfId="12532" xr:uid="{9F0D0045-36BD-40F5-AABE-F4C0911A229B}"/>
    <cellStyle name="Note 3 4 4 3" xfId="6155" xr:uid="{00000000-0005-0000-0000-0000E0210000}"/>
    <cellStyle name="Note 3 4 4 3 2" xfId="31494" xr:uid="{C8CAE664-BB52-4461-8C65-CD77CF3460D2}"/>
    <cellStyle name="Note 3 4 4 3 3" xfId="23053" xr:uid="{0E1FAEB9-E641-42CC-BF58-3B504A55BFBF}"/>
    <cellStyle name="Note 3 4 4 3 4" xfId="14605" xr:uid="{87C0B88C-4685-4A1B-9661-6EF64E0E462B}"/>
    <cellStyle name="Note 3 4 4 4" xfId="27276" xr:uid="{20065C91-BD7A-4017-AAFC-EABB82EDFDE7}"/>
    <cellStyle name="Note 3 4 4 5" xfId="18835" xr:uid="{DE812239-2A70-4BEE-8773-4AA717163539}"/>
    <cellStyle name="Note 3 4 4 6" xfId="10387" xr:uid="{F680C021-E9AD-4415-B1EE-E9BEF891C5EE}"/>
    <cellStyle name="Note 3 4 5" xfId="2262" xr:uid="{00000000-0005-0000-0000-0000E1210000}"/>
    <cellStyle name="Note 3 4 5 2" xfId="4491" xr:uid="{00000000-0005-0000-0000-0000E2210000}"/>
    <cellStyle name="Note 3 4 5 2 2" xfId="8713" xr:uid="{00000000-0005-0000-0000-0000E3210000}"/>
    <cellStyle name="Note 3 4 5 2 2 2" xfId="34052" xr:uid="{CA584386-D592-4B21-B5FF-3AAA3DEBD352}"/>
    <cellStyle name="Note 3 4 5 2 2 3" xfId="25611" xr:uid="{CC2241C4-64A6-47B9-9CCF-812528E4DEF1}"/>
    <cellStyle name="Note 3 4 5 2 2 4" xfId="17163" xr:uid="{1C4EF8B5-1A80-46B7-ACEF-34106FB7B539}"/>
    <cellStyle name="Note 3 4 5 2 3" xfId="29834" xr:uid="{7A2251E3-AFCA-4455-84C5-DB86D8528412}"/>
    <cellStyle name="Note 3 4 5 2 4" xfId="21393" xr:uid="{3C7DABF1-EF78-40E3-A763-9EE204253793}"/>
    <cellStyle name="Note 3 4 5 2 5" xfId="12945" xr:uid="{8F1A8DCC-58A1-44E7-B93B-881940AC8AFA}"/>
    <cellStyle name="Note 3 4 5 3" xfId="6568" xr:uid="{00000000-0005-0000-0000-0000E4210000}"/>
    <cellStyle name="Note 3 4 5 3 2" xfId="31907" xr:uid="{B985E183-43CA-48F4-A56E-C02F8A916679}"/>
    <cellStyle name="Note 3 4 5 3 3" xfId="23466" xr:uid="{EA152C2D-15D2-4F83-8F68-37B26E1B8210}"/>
    <cellStyle name="Note 3 4 5 3 4" xfId="15018" xr:uid="{2F610768-5491-4F08-BA75-E64A5CA081DE}"/>
    <cellStyle name="Note 3 4 5 4" xfId="27689" xr:uid="{0B811288-E019-4BA8-A5C7-5E5F9193A8CC}"/>
    <cellStyle name="Note 3 4 5 5" xfId="19248" xr:uid="{E720B735-75FE-415D-B3A8-8FB6381CDB56}"/>
    <cellStyle name="Note 3 4 5 6" xfId="10800" xr:uid="{8CCE29FD-46AC-4EC3-85A6-19B5B85915B3}"/>
    <cellStyle name="Note 3 4 6" xfId="2698" xr:uid="{00000000-0005-0000-0000-0000E5210000}"/>
    <cellStyle name="Note 3 4 6 2" xfId="6981" xr:uid="{00000000-0005-0000-0000-0000E6210000}"/>
    <cellStyle name="Note 3 4 6 2 2" xfId="32320" xr:uid="{70034974-E60F-4408-8559-6903258A43EB}"/>
    <cellStyle name="Note 3 4 6 2 3" xfId="23879" xr:uid="{AD9B1FF7-E2D1-4098-9E85-14465EB868BA}"/>
    <cellStyle name="Note 3 4 6 2 4" xfId="15431" xr:uid="{D6E766E9-6610-4EF6-AADD-CF054E675999}"/>
    <cellStyle name="Note 3 4 6 3" xfId="28102" xr:uid="{CF14668E-F828-4562-A0CB-AD7339658876}"/>
    <cellStyle name="Note 3 4 6 4" xfId="19661" xr:uid="{EBBF8DCE-E284-4CED-8851-49231B1792C9}"/>
    <cellStyle name="Note 3 4 6 5" xfId="11213" xr:uid="{27DCE549-7762-4FA7-BDD2-CF453BD292A2}"/>
    <cellStyle name="Note 3 4 7" xfId="2757" xr:uid="{00000000-0005-0000-0000-0000E7210000}"/>
    <cellStyle name="Note 3 4 8" xfId="2838" xr:uid="{00000000-0005-0000-0000-0000E8210000}"/>
    <cellStyle name="Note 3 4 8 2" xfId="7061" xr:uid="{00000000-0005-0000-0000-0000E9210000}"/>
    <cellStyle name="Note 3 4 8 2 2" xfId="32400" xr:uid="{55FF06E2-B901-46EA-9533-BE6D7832AA55}"/>
    <cellStyle name="Note 3 4 8 2 3" xfId="23959" xr:uid="{08795FDE-70C1-41BA-A37B-697655FBD0B0}"/>
    <cellStyle name="Note 3 4 8 2 4" xfId="15511" xr:uid="{84822FB8-43FD-490E-8580-A72EA06F1384}"/>
    <cellStyle name="Note 3 4 8 3" xfId="28182" xr:uid="{B83EA0EB-6C57-4F63-B026-CFB4B074B19B}"/>
    <cellStyle name="Note 3 4 8 4" xfId="19741" xr:uid="{D87602A7-9622-43F8-B371-ABA977282788}"/>
    <cellStyle name="Note 3 4 8 5" xfId="11293" xr:uid="{E231BFD5-7A1A-4666-BDCC-ABF55E73472D}"/>
    <cellStyle name="Note 3 4 9" xfId="4916" xr:uid="{00000000-0005-0000-0000-0000EA210000}"/>
    <cellStyle name="Note 3 4 9 2" xfId="30255" xr:uid="{3EEA8E5D-6BC9-4FF5-807D-636430344FB0}"/>
    <cellStyle name="Note 3 4 9 3" xfId="21814" xr:uid="{DEC37288-7588-4E8F-80EC-9529DC4CB8DA}"/>
    <cellStyle name="Note 3 4 9 4" xfId="13366" xr:uid="{01840469-36EA-4C21-9B93-2EBEE2AA6CD9}"/>
    <cellStyle name="Note 3 5" xfId="561" xr:uid="{00000000-0005-0000-0000-0000EB210000}"/>
    <cellStyle name="Note 3 5 10" xfId="26038" xr:uid="{EFB81A1B-A453-4210-A051-63AFF2E3F6A6}"/>
    <cellStyle name="Note 3 5 11" xfId="17597" xr:uid="{006666E9-5663-462C-B6F1-EDDA7733A8F2}"/>
    <cellStyle name="Note 3 5 12" xfId="9149" xr:uid="{49B27809-0F31-4F1D-AB72-40D0B60C3D55}"/>
    <cellStyle name="Note 3 5 2" xfId="1021" xr:uid="{00000000-0005-0000-0000-0000EC210000}"/>
    <cellStyle name="Note 3 5 2 2" xfId="3253" xr:uid="{00000000-0005-0000-0000-0000ED210000}"/>
    <cellStyle name="Note 3 5 2 2 2" xfId="7475" xr:uid="{00000000-0005-0000-0000-0000EE210000}"/>
    <cellStyle name="Note 3 5 2 2 2 2" xfId="32814" xr:uid="{C11F922D-7DD3-4B24-90F2-BCAD174922A6}"/>
    <cellStyle name="Note 3 5 2 2 2 3" xfId="24373" xr:uid="{FDC87ECC-3EF4-4355-A51C-8A7D98864399}"/>
    <cellStyle name="Note 3 5 2 2 2 4" xfId="15925" xr:uid="{0DE16526-82F8-4806-89F9-2D3EF3A030F6}"/>
    <cellStyle name="Note 3 5 2 2 3" xfId="28596" xr:uid="{3ED271C1-A61A-4C2E-91C1-A07F43CF9A40}"/>
    <cellStyle name="Note 3 5 2 2 4" xfId="20155" xr:uid="{1C86D5C2-F346-4A14-A619-A1677E2E3A1E}"/>
    <cellStyle name="Note 3 5 2 2 5" xfId="11707" xr:uid="{35B73B90-6791-402C-9A0C-4AB0409E1CF9}"/>
    <cellStyle name="Note 3 5 2 3" xfId="5330" xr:uid="{00000000-0005-0000-0000-0000EF210000}"/>
    <cellStyle name="Note 3 5 2 3 2" xfId="30669" xr:uid="{C4DF1693-98FD-45A3-9D8C-78F5C6C2C102}"/>
    <cellStyle name="Note 3 5 2 3 3" xfId="22228" xr:uid="{DF9874E0-5779-4C52-893B-6ABF730C22B5}"/>
    <cellStyle name="Note 3 5 2 3 4" xfId="13780" xr:uid="{C3FA0EFF-84EC-4182-A9D6-19EE2568F3D8}"/>
    <cellStyle name="Note 3 5 2 4" xfId="26451" xr:uid="{96370F8D-A8DA-4AB9-ADBA-77A737371734}"/>
    <cellStyle name="Note 3 5 2 5" xfId="18010" xr:uid="{79DA72A5-8255-416A-AA67-ABB2BFF4D171}"/>
    <cellStyle name="Note 3 5 2 6" xfId="9562" xr:uid="{7041CBF3-2595-4070-85E6-73500E8287FD}"/>
    <cellStyle name="Note 3 5 3" xfId="1436" xr:uid="{00000000-0005-0000-0000-0000F0210000}"/>
    <cellStyle name="Note 3 5 3 2" xfId="3666" xr:uid="{00000000-0005-0000-0000-0000F1210000}"/>
    <cellStyle name="Note 3 5 3 2 2" xfId="7888" xr:uid="{00000000-0005-0000-0000-0000F2210000}"/>
    <cellStyle name="Note 3 5 3 2 2 2" xfId="33227" xr:uid="{F867CF4A-2457-4D17-8DF9-ED4F7DED465D}"/>
    <cellStyle name="Note 3 5 3 2 2 3" xfId="24786" xr:uid="{1FF5B272-C3F0-4ECE-B528-738E6DB61774}"/>
    <cellStyle name="Note 3 5 3 2 2 4" xfId="16338" xr:uid="{50D2F5DC-DB74-465F-A266-F86BC7293641}"/>
    <cellStyle name="Note 3 5 3 2 3" xfId="29009" xr:uid="{CD9A7094-86C1-4963-8348-A6F27EF614DD}"/>
    <cellStyle name="Note 3 5 3 2 4" xfId="20568" xr:uid="{07B2CCD4-C747-4F89-AFB9-A678F5A9FA76}"/>
    <cellStyle name="Note 3 5 3 2 5" xfId="12120" xr:uid="{E2A23242-3500-4ACC-8980-CAB5D4635456}"/>
    <cellStyle name="Note 3 5 3 3" xfId="5743" xr:uid="{00000000-0005-0000-0000-0000F3210000}"/>
    <cellStyle name="Note 3 5 3 3 2" xfId="31082" xr:uid="{B149E986-4130-4745-A3D7-BF868147F32B}"/>
    <cellStyle name="Note 3 5 3 3 3" xfId="22641" xr:uid="{EAC6FEF6-623F-42BB-B550-762813A1A055}"/>
    <cellStyle name="Note 3 5 3 3 4" xfId="14193" xr:uid="{4AC3BB01-13FD-4144-B8FC-357C453C82FF}"/>
    <cellStyle name="Note 3 5 3 4" xfId="26864" xr:uid="{C6EA043B-9A61-4E94-93ED-6AA4F0E8B887}"/>
    <cellStyle name="Note 3 5 3 5" xfId="18423" xr:uid="{E7BA865F-5632-48DE-9637-BFD6B4A4F52B}"/>
    <cellStyle name="Note 3 5 3 6" xfId="9975" xr:uid="{E7B79B87-7053-4348-A954-1E43471BE1F7}"/>
    <cellStyle name="Note 3 5 4" xfId="1850" xr:uid="{00000000-0005-0000-0000-0000F4210000}"/>
    <cellStyle name="Note 3 5 4 2" xfId="4079" xr:uid="{00000000-0005-0000-0000-0000F5210000}"/>
    <cellStyle name="Note 3 5 4 2 2" xfId="8301" xr:uid="{00000000-0005-0000-0000-0000F6210000}"/>
    <cellStyle name="Note 3 5 4 2 2 2" xfId="33640" xr:uid="{20CB4FA8-FAA6-4827-AD4E-AFD3A0F9FCF0}"/>
    <cellStyle name="Note 3 5 4 2 2 3" xfId="25199" xr:uid="{1BDC8378-C452-4E73-BB79-7494AD412E48}"/>
    <cellStyle name="Note 3 5 4 2 2 4" xfId="16751" xr:uid="{6427E389-A1D1-402E-A21B-6BB77538818E}"/>
    <cellStyle name="Note 3 5 4 2 3" xfId="29422" xr:uid="{52F03B19-EF6B-4190-B59C-E9097BC50CA7}"/>
    <cellStyle name="Note 3 5 4 2 4" xfId="20981" xr:uid="{5F3CCC26-254E-47A0-9443-C35E28ABA4E8}"/>
    <cellStyle name="Note 3 5 4 2 5" xfId="12533" xr:uid="{9DC475B8-9F2C-4B79-8B99-5AD95CD529A4}"/>
    <cellStyle name="Note 3 5 4 3" xfId="6156" xr:uid="{00000000-0005-0000-0000-0000F7210000}"/>
    <cellStyle name="Note 3 5 4 3 2" xfId="31495" xr:uid="{D1DFD4EE-2842-4838-8152-4BE27EBAF2FB}"/>
    <cellStyle name="Note 3 5 4 3 3" xfId="23054" xr:uid="{1DC3F29B-9434-4E8A-BF7B-62572AE7AEA5}"/>
    <cellStyle name="Note 3 5 4 3 4" xfId="14606" xr:uid="{08A59BB3-248A-487C-8243-DD7C3AFD92FB}"/>
    <cellStyle name="Note 3 5 4 4" xfId="27277" xr:uid="{EB40F2AE-164F-4D0D-9ED0-8FE18693ED9D}"/>
    <cellStyle name="Note 3 5 4 5" xfId="18836" xr:uid="{385C9756-DD6A-4423-8BCB-C873584BD436}"/>
    <cellStyle name="Note 3 5 4 6" xfId="10388" xr:uid="{23D96AAB-8002-4572-A658-3D5BC7AC8F94}"/>
    <cellStyle name="Note 3 5 5" xfId="2263" xr:uid="{00000000-0005-0000-0000-0000F8210000}"/>
    <cellStyle name="Note 3 5 5 2" xfId="4492" xr:uid="{00000000-0005-0000-0000-0000F9210000}"/>
    <cellStyle name="Note 3 5 5 2 2" xfId="8714" xr:uid="{00000000-0005-0000-0000-0000FA210000}"/>
    <cellStyle name="Note 3 5 5 2 2 2" xfId="34053" xr:uid="{282F0770-9449-4AEF-99C7-9E51BC002712}"/>
    <cellStyle name="Note 3 5 5 2 2 3" xfId="25612" xr:uid="{16260655-94F1-4FE7-A010-39A005B3DFFB}"/>
    <cellStyle name="Note 3 5 5 2 2 4" xfId="17164" xr:uid="{34CC9ABE-164B-4E81-8475-E2E0FC1F2629}"/>
    <cellStyle name="Note 3 5 5 2 3" xfId="29835" xr:uid="{0F45056B-C41A-4104-A2E1-A43D17A391A1}"/>
    <cellStyle name="Note 3 5 5 2 4" xfId="21394" xr:uid="{5AA4A6CE-37FC-46BE-BFB3-448BF8EC85CE}"/>
    <cellStyle name="Note 3 5 5 2 5" xfId="12946" xr:uid="{99FE33D3-8677-4F75-A38D-DD29D9E29339}"/>
    <cellStyle name="Note 3 5 5 3" xfId="6569" xr:uid="{00000000-0005-0000-0000-0000FB210000}"/>
    <cellStyle name="Note 3 5 5 3 2" xfId="31908" xr:uid="{63FBE3A4-F920-4A92-B655-22AE07AD57BB}"/>
    <cellStyle name="Note 3 5 5 3 3" xfId="23467" xr:uid="{7A532D57-7874-4EB0-85CD-96DFFF1C24B3}"/>
    <cellStyle name="Note 3 5 5 3 4" xfId="15019" xr:uid="{A83195A4-167A-4A35-A289-A88809597AA8}"/>
    <cellStyle name="Note 3 5 5 4" xfId="27690" xr:uid="{A0AABFE1-9E53-41F0-9831-6FA1558D2BDE}"/>
    <cellStyle name="Note 3 5 5 5" xfId="19249" xr:uid="{1B59F401-1B0F-4074-B637-081D4B6B7A88}"/>
    <cellStyle name="Note 3 5 5 6" xfId="10801" xr:uid="{B5C384CE-2D55-45CE-A941-2481C96F4051}"/>
    <cellStyle name="Note 3 5 6" xfId="2699" xr:uid="{00000000-0005-0000-0000-0000FC210000}"/>
    <cellStyle name="Note 3 5 6 2" xfId="6982" xr:uid="{00000000-0005-0000-0000-0000FD210000}"/>
    <cellStyle name="Note 3 5 6 2 2" xfId="32321" xr:uid="{FF2B1C5C-9F69-4AA0-81C9-7F00C0DD419D}"/>
    <cellStyle name="Note 3 5 6 2 3" xfId="23880" xr:uid="{D9DD6DB4-FA55-4691-9E8B-6D83DC56CD42}"/>
    <cellStyle name="Note 3 5 6 2 4" xfId="15432" xr:uid="{74C63AC5-ABBE-480F-A64F-6F66B28FD4F2}"/>
    <cellStyle name="Note 3 5 6 3" xfId="28103" xr:uid="{734D5820-C7E8-4D9E-A5BC-6E0D1C3FA945}"/>
    <cellStyle name="Note 3 5 6 4" xfId="19662" xr:uid="{F09B64F3-88F3-408B-85C2-5D607CB99A7A}"/>
    <cellStyle name="Note 3 5 6 5" xfId="11214" xr:uid="{64699A6F-C1A3-43C7-BB4B-360362D95461}"/>
    <cellStyle name="Note 3 5 7" xfId="2758" xr:uid="{00000000-0005-0000-0000-0000FE210000}"/>
    <cellStyle name="Note 3 5 8" xfId="2839" xr:uid="{00000000-0005-0000-0000-0000FF210000}"/>
    <cellStyle name="Note 3 5 8 2" xfId="7062" xr:uid="{00000000-0005-0000-0000-000000220000}"/>
    <cellStyle name="Note 3 5 8 2 2" xfId="32401" xr:uid="{AF57B0C5-4C88-4BD9-981A-6D142C8987CE}"/>
    <cellStyle name="Note 3 5 8 2 3" xfId="23960" xr:uid="{91F1982F-CEA9-4706-8F64-AA5786167FBD}"/>
    <cellStyle name="Note 3 5 8 2 4" xfId="15512" xr:uid="{6B0A6EE3-B4D4-4759-B05B-E48A03DD6F5C}"/>
    <cellStyle name="Note 3 5 8 3" xfId="28183" xr:uid="{DC4BE564-3DA3-40C8-BC4B-A39BF9BEFEC9}"/>
    <cellStyle name="Note 3 5 8 4" xfId="19742" xr:uid="{52BA91C1-D485-4DD0-B648-48AC487CEC6A}"/>
    <cellStyle name="Note 3 5 8 5" xfId="11294" xr:uid="{CB889A1E-B535-4679-A46D-F0419563E87C}"/>
    <cellStyle name="Note 3 5 9" xfId="4917" xr:uid="{00000000-0005-0000-0000-000001220000}"/>
    <cellStyle name="Note 3 5 9 2" xfId="30256" xr:uid="{3F85F84B-5A74-48C4-A392-F3A47560DE8A}"/>
    <cellStyle name="Note 3 5 9 3" xfId="21815" xr:uid="{F6EE7B7C-9378-4A75-A115-D8BD4EC4A6E8}"/>
    <cellStyle name="Note 3 5 9 4" xfId="13367" xr:uid="{EB8AB298-EEB5-4D9D-B226-E8C77B8DA066}"/>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29839" xr:uid="{68FF4EA1-545D-4D0A-931F-532257AB5BD5}"/>
    <cellStyle name="Percent 3 3" xfId="21398" xr:uid="{65E04B8C-0A0E-4E23-903D-74F999621C7D}"/>
    <cellStyle name="Percent 3 4" xfId="12950" xr:uid="{D83AB6BA-9A4E-4955-A75A-FC3E8F4FCBA2}"/>
    <cellStyle name="Percent 4" xfId="4502" xr:uid="{00000000-0005-0000-0000-000007220000}"/>
    <cellStyle name="Percent 4 2" xfId="8717" xr:uid="{00000000-0005-0000-0000-000008220000}"/>
    <cellStyle name="Percent 4 2 2" xfId="34056" xr:uid="{D22748B0-39F3-4EDF-8C27-8CC2A959CF0B}"/>
    <cellStyle name="Percent 4 2 3" xfId="25615" xr:uid="{FC7B81A6-86F2-472D-9A37-D76D0CEEB801}"/>
    <cellStyle name="Percent 4 2 4" xfId="17167" xr:uid="{64C29D34-49E1-4ADA-BC2F-69CCF4CF86C1}"/>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17183" xr:uid="{A113B535-BE8E-44A7-98FE-C85D1197AAE1}"/>
    <cellStyle name="Percent 4 3 2 2 2 3" xfId="34065" xr:uid="{0C782F74-F576-4D47-91CA-1F8240DC70A5}"/>
    <cellStyle name="Percent 4 3 2 2 2 4" xfId="17180" xr:uid="{282ABEB1-56E2-458B-BE8D-2BC8A2789C28}"/>
    <cellStyle name="Percent 4 3 2 2 3" xfId="25624" xr:uid="{632A7922-7154-4BB0-A317-3DE351588BC4}"/>
    <cellStyle name="Percent 4 3 2 2 4" xfId="17176" xr:uid="{8B317E69-F427-42D4-A4C0-A5C3E10CEC53}"/>
    <cellStyle name="Percent 4 3 2 3" xfId="34062" xr:uid="{5868C686-C3E3-4C87-9B73-F7BF6790DB10}"/>
    <cellStyle name="Percent 4 3 2 4" xfId="25621" xr:uid="{328EBC38-2A0F-4D1C-9DB3-D65C7D3B7BF6}"/>
    <cellStyle name="Percent 4 3 2 5" xfId="17173" xr:uid="{0A09B897-C75A-49F6-B069-005199CB7245}"/>
    <cellStyle name="Percent 4 3 3" xfId="34059" xr:uid="{BA10893B-0B59-4CAC-A038-D4D0845077C2}"/>
    <cellStyle name="Percent 4 3 4" xfId="25618" xr:uid="{4EF9A5AA-682D-4254-B457-61A01D34FAA9}"/>
    <cellStyle name="Percent 4 3 5" xfId="17170" xr:uid="{51413CB3-3754-4011-ABF2-811FD33ABBA2}"/>
    <cellStyle name="Percent 4 4" xfId="29842" xr:uid="{36787832-9787-462D-9F9D-DE2BD0FB169B}"/>
    <cellStyle name="Percent 4 5" xfId="21401" xr:uid="{532CDEAB-554E-43C5-9C1E-A22432DA20D7}"/>
    <cellStyle name="Percent 4 6" xfId="12953" xr:uid="{DBA3B9AF-C4CF-4BA1-AB18-5BB4D78C71C1}"/>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6640625" customWidth="1"/>
    <col min="6" max="6" width="3" customWidth="1"/>
    <col min="7" max="38" width="2.6640625" customWidth="1"/>
    <col min="39" max="16384" width="2.6640625" hidden="1"/>
  </cols>
  <sheetData>
    <row r="1" spans="1:38">
      <c r="A1" s="1234" t="s">
        <v>0</v>
      </c>
      <c r="B1" s="1234"/>
      <c r="C1" s="1234"/>
      <c r="D1" s="1234"/>
      <c r="E1" s="1234"/>
      <c r="F1" s="1234"/>
      <c r="G1" s="1234"/>
      <c r="H1" s="1234"/>
      <c r="I1" s="1234"/>
      <c r="J1" s="1234"/>
      <c r="K1" s="1234"/>
      <c r="L1" s="1234"/>
      <c r="M1" s="1234"/>
      <c r="N1" s="1234"/>
      <c r="O1" s="1234"/>
      <c r="P1" s="1234"/>
      <c r="Q1" s="1234"/>
      <c r="R1" s="1234"/>
      <c r="S1" s="1234"/>
      <c r="T1" s="1234"/>
      <c r="U1" s="1234"/>
      <c r="V1" s="1234"/>
      <c r="W1" s="1234"/>
      <c r="X1" s="1234"/>
      <c r="Y1" s="1234"/>
      <c r="Z1" s="1234"/>
      <c r="AA1" s="1234"/>
      <c r="AB1" s="1234"/>
      <c r="AC1" s="1234"/>
      <c r="AD1" s="1234"/>
      <c r="AE1" s="1234"/>
      <c r="AF1" s="1234"/>
      <c r="AG1" s="1234"/>
      <c r="AH1" s="1234"/>
      <c r="AI1" s="1234"/>
      <c r="AJ1" s="1234"/>
      <c r="AK1" s="1234"/>
      <c r="AL1" s="1234"/>
    </row>
    <row r="2" spans="1:38" ht="13.8" thickBot="1">
      <c r="A2" s="1235"/>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5"/>
      <c r="AK2" s="1235"/>
      <c r="AL2" s="1235"/>
    </row>
    <row r="3" spans="1:38" ht="13.8" thickTop="1"/>
    <row r="4" spans="1:38" s="4" customFormat="1">
      <c r="B4" s="9" t="s">
        <v>1</v>
      </c>
      <c r="C4" s="9" t="s">
        <v>2</v>
      </c>
      <c r="D4" s="1108"/>
      <c r="E4" s="1108"/>
      <c r="F4" s="1108"/>
      <c r="G4" s="1108"/>
      <c r="H4" s="1108"/>
      <c r="I4" s="1108"/>
      <c r="J4" s="1108"/>
      <c r="K4" s="1108"/>
      <c r="L4" s="1108"/>
      <c r="M4" s="1108"/>
      <c r="N4" s="1108"/>
      <c r="O4" s="1108"/>
      <c r="P4" s="1108"/>
      <c r="Q4" s="1108"/>
      <c r="R4" s="1108"/>
      <c r="S4" s="1108"/>
      <c r="T4" s="1108"/>
      <c r="U4" s="1108"/>
      <c r="V4" s="1108"/>
      <c r="W4" s="1108"/>
      <c r="X4" s="1108"/>
      <c r="Y4" s="1108"/>
      <c r="Z4" s="1108"/>
      <c r="AA4" s="1108"/>
      <c r="AB4" s="110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2" customHeight="1">
      <c r="A7" s="113"/>
      <c r="B7" s="113"/>
      <c r="C7" s="114"/>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1144"/>
    </row>
    <row r="8" spans="1:38">
      <c r="A8" s="113"/>
      <c r="B8" s="113"/>
      <c r="C8" s="114"/>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1144"/>
    </row>
    <row r="9" spans="1:38">
      <c r="A9" s="113"/>
      <c r="B9" s="113"/>
      <c r="C9" s="11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1144"/>
    </row>
    <row r="10" spans="1:38">
      <c r="A10" s="113"/>
      <c r="B10" s="113"/>
      <c r="C10" s="114"/>
      <c r="D10" s="1144"/>
      <c r="E10" s="1144"/>
      <c r="F10" s="1144"/>
      <c r="G10" s="1144"/>
      <c r="H10" s="1144"/>
      <c r="I10" s="1144"/>
      <c r="J10" s="1144"/>
      <c r="K10" s="1144"/>
      <c r="L10" s="1144"/>
      <c r="M10" s="1144"/>
      <c r="N10" s="1144"/>
      <c r="O10" s="1144"/>
      <c r="P10" s="1144"/>
      <c r="Q10" s="1144"/>
      <c r="R10" s="1144"/>
      <c r="S10" s="1144"/>
      <c r="T10" s="1144"/>
      <c r="U10" s="1144"/>
      <c r="V10" s="1144"/>
      <c r="W10" s="1144"/>
      <c r="X10" s="1144"/>
      <c r="Y10" s="1144"/>
      <c r="Z10" s="1144"/>
      <c r="AA10" s="1144"/>
      <c r="AB10" s="1144"/>
      <c r="AC10" s="1144"/>
      <c r="AD10" s="1144"/>
      <c r="AE10" s="1144"/>
      <c r="AF10" s="1144"/>
      <c r="AG10" s="1144"/>
      <c r="AH10" s="1144"/>
      <c r="AI10" s="1144"/>
      <c r="AJ10" s="1144"/>
      <c r="AK10" s="1144"/>
      <c r="AL10" s="1144"/>
    </row>
    <row r="11" spans="1:38" ht="13.2" customHeight="1">
      <c r="A11" s="113"/>
      <c r="B11" s="113"/>
      <c r="C11" s="114"/>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144"/>
    </row>
    <row r="12" spans="1:38">
      <c r="A12" s="113"/>
      <c r="B12" s="113"/>
      <c r="C12" s="11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1144"/>
    </row>
    <row r="13" spans="1:38">
      <c r="A13" s="113"/>
      <c r="B13" s="113"/>
      <c r="C13" s="11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1144"/>
    </row>
    <row r="14" spans="1:38">
      <c r="A14" s="113"/>
      <c r="B14" s="113"/>
      <c r="C14" s="114"/>
      <c r="D14" s="1113"/>
      <c r="E14" s="1113"/>
      <c r="F14" s="1113"/>
      <c r="G14" s="1113"/>
      <c r="H14" s="1113"/>
      <c r="I14" s="1113"/>
      <c r="J14" s="1113"/>
      <c r="K14" s="1113"/>
      <c r="L14" s="1113"/>
      <c r="M14" s="1113"/>
      <c r="N14" s="1113"/>
      <c r="O14" s="1113"/>
      <c r="P14" s="1113"/>
      <c r="Q14" s="1113"/>
      <c r="R14" s="1113"/>
      <c r="S14" s="1113"/>
      <c r="T14" s="1113"/>
      <c r="U14" s="1113"/>
      <c r="V14" s="1113"/>
      <c r="W14" s="1113"/>
      <c r="X14" s="1113"/>
      <c r="Y14" s="1113"/>
      <c r="Z14" s="1113"/>
      <c r="AA14" s="1113"/>
      <c r="AB14" s="1113"/>
      <c r="AC14" s="1113"/>
      <c r="AD14" s="1113"/>
      <c r="AE14" s="1113"/>
      <c r="AF14" s="1113"/>
      <c r="AG14" s="1113"/>
      <c r="AH14" s="1113"/>
      <c r="AI14" s="1113"/>
      <c r="AJ14" s="1113"/>
      <c r="AK14" s="1113"/>
      <c r="AL14" s="1144"/>
    </row>
    <row r="15" spans="1:38" ht="13.2" customHeight="1">
      <c r="A15" s="113"/>
      <c r="B15" s="113"/>
      <c r="C15" s="114"/>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1144"/>
    </row>
    <row r="16" spans="1:38" ht="13.2" customHeight="1">
      <c r="A16" s="113"/>
      <c r="B16" s="113"/>
      <c r="C16" s="11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1144"/>
    </row>
    <row r="17" spans="1:38">
      <c r="A17" s="113"/>
      <c r="B17" s="113"/>
      <c r="C17" s="11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1144"/>
    </row>
    <row r="18" spans="1:38">
      <c r="A18" s="113"/>
      <c r="B18" s="113"/>
      <c r="C18" s="114"/>
      <c r="D18" s="1132" t="s">
        <v>8</v>
      </c>
      <c r="E18" s="1113"/>
      <c r="G18" s="1113"/>
      <c r="H18" s="1113"/>
      <c r="I18" s="1113"/>
      <c r="J18" s="1237" t="s">
        <v>9</v>
      </c>
      <c r="K18" s="1237"/>
      <c r="L18" s="1237"/>
      <c r="M18" s="1237"/>
      <c r="N18" s="1237"/>
      <c r="O18" s="1237"/>
      <c r="P18" s="1237"/>
      <c r="Q18" s="1237"/>
      <c r="R18" s="1237"/>
      <c r="S18" s="1237"/>
      <c r="T18" s="1237"/>
      <c r="U18" s="1237"/>
      <c r="V18" s="1237"/>
      <c r="W18" s="1237"/>
      <c r="X18" s="1237"/>
      <c r="Y18" s="1237"/>
      <c r="Z18" s="1237"/>
      <c r="AA18" s="1237"/>
      <c r="AB18" s="1237"/>
      <c r="AC18" s="1237"/>
      <c r="AD18" s="1237"/>
      <c r="AE18" s="1237"/>
      <c r="AF18" s="1237"/>
      <c r="AG18" s="1237"/>
      <c r="AH18" s="1237"/>
      <c r="AI18" s="1237"/>
      <c r="AJ18" s="1237"/>
      <c r="AK18" s="1237"/>
      <c r="AL18" s="1144"/>
    </row>
    <row r="19" spans="1:38">
      <c r="A19" s="113"/>
      <c r="B19" s="113"/>
      <c r="C19" s="114"/>
      <c r="D19" s="1113"/>
      <c r="E19" s="1113"/>
      <c r="F19" s="1119"/>
      <c r="G19" s="1113"/>
      <c r="H19" s="1113"/>
      <c r="I19" s="1113"/>
      <c r="J19" s="1113"/>
      <c r="K19" s="1113"/>
      <c r="L19" s="1113"/>
      <c r="M19" s="1113"/>
      <c r="N19" s="1113"/>
      <c r="O19" s="1113"/>
      <c r="P19" s="1113"/>
      <c r="Q19" s="1113"/>
      <c r="R19" s="1113"/>
      <c r="S19" s="1113"/>
      <c r="T19" s="1113"/>
      <c r="U19" s="1113"/>
      <c r="V19" s="1113"/>
      <c r="W19" s="1113"/>
      <c r="X19" s="1113"/>
      <c r="Y19" s="1113"/>
      <c r="Z19" s="1113"/>
      <c r="AA19" s="1113"/>
      <c r="AB19" s="1113"/>
      <c r="AC19" s="1113"/>
      <c r="AD19" s="1113"/>
      <c r="AE19" s="1113"/>
      <c r="AF19" s="1113"/>
      <c r="AG19" s="1113"/>
      <c r="AH19" s="1113"/>
      <c r="AI19" s="1113"/>
      <c r="AJ19" s="1113"/>
      <c r="AK19" s="1113"/>
      <c r="AL19" s="1144"/>
    </row>
    <row r="20" spans="1:38" ht="13.2" customHeight="1">
      <c r="A20" s="113"/>
      <c r="B20" s="113"/>
      <c r="C20" s="114"/>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13"/>
    </row>
    <row r="21" spans="1:38">
      <c r="A21" s="113"/>
      <c r="B21" s="113"/>
      <c r="C21" s="114"/>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13"/>
    </row>
    <row r="22" spans="1:38">
      <c r="A22" s="113"/>
      <c r="B22" s="113"/>
      <c r="C22" s="114"/>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13"/>
    </row>
    <row r="23" spans="1:38" ht="13.2" customHeight="1">
      <c r="A23" s="113"/>
      <c r="B23" s="113"/>
      <c r="C23" s="114"/>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13"/>
    </row>
    <row r="24" spans="1:38">
      <c r="A24" s="113"/>
      <c r="B24" s="113"/>
      <c r="C24" s="114"/>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13"/>
    </row>
    <row r="25" spans="1:38">
      <c r="A25" s="113"/>
      <c r="B25" s="113"/>
      <c r="C25" s="114"/>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13"/>
    </row>
    <row r="26" spans="1:38">
      <c r="A26" s="113"/>
      <c r="B26" s="113"/>
      <c r="C26" s="114"/>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13"/>
    </row>
    <row r="27" spans="1:38">
      <c r="A27" s="113"/>
      <c r="B27" s="113"/>
      <c r="C27" s="114"/>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13"/>
    </row>
    <row r="28" spans="1:38">
      <c r="A28" s="113"/>
      <c r="B28" s="113"/>
      <c r="C28" s="114"/>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13"/>
    </row>
    <row r="29" spans="1:38">
      <c r="A29" s="113"/>
      <c r="B29" s="113"/>
      <c r="C29" s="114"/>
      <c r="D29" s="1113"/>
      <c r="E29" s="1113"/>
      <c r="F29" s="1113"/>
      <c r="G29" s="1113"/>
      <c r="H29" s="1113"/>
      <c r="I29" s="1113"/>
      <c r="J29" s="1113"/>
      <c r="K29" s="1113"/>
      <c r="L29" s="1113"/>
      <c r="M29" s="1113"/>
      <c r="N29" s="1113"/>
      <c r="O29" s="1113"/>
      <c r="P29" s="1113"/>
      <c r="Q29" s="1113"/>
      <c r="R29" s="1113"/>
      <c r="S29" s="1113"/>
      <c r="T29" s="1113"/>
      <c r="U29" s="1113"/>
      <c r="V29" s="1113"/>
      <c r="W29" s="1113"/>
      <c r="X29" s="1113"/>
      <c r="Y29" s="1113"/>
      <c r="Z29" s="1113"/>
      <c r="AA29" s="1113"/>
      <c r="AB29" s="1113"/>
      <c r="AC29" s="1113"/>
      <c r="AD29" s="1113"/>
      <c r="AE29" s="1113"/>
      <c r="AF29" s="1113"/>
      <c r="AG29" s="1113"/>
      <c r="AH29" s="1113"/>
      <c r="AI29" s="1113"/>
      <c r="AJ29" s="1113"/>
      <c r="AK29" s="1113"/>
      <c r="AL29" s="113"/>
    </row>
    <row r="30" spans="1:38" ht="13.2" customHeight="1">
      <c r="A30" s="113"/>
      <c r="B30" s="113"/>
      <c r="C30" s="114"/>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13"/>
    </row>
    <row r="31" spans="1:38">
      <c r="A31" s="113"/>
      <c r="B31" s="113"/>
      <c r="C31" s="114"/>
      <c r="D31" s="1144"/>
      <c r="E31" s="1225" t="s">
        <v>12</v>
      </c>
      <c r="F31" s="1226"/>
      <c r="G31" s="1226"/>
      <c r="H31" s="1226"/>
      <c r="I31" s="1226"/>
      <c r="J31" s="1226"/>
      <c r="K31" s="1226"/>
      <c r="L31" s="1226"/>
      <c r="M31" s="1226"/>
      <c r="N31" s="1226"/>
      <c r="O31" s="1226"/>
      <c r="P31" s="1226"/>
      <c r="Q31" s="1226"/>
      <c r="R31" s="1226"/>
      <c r="S31" s="1226"/>
      <c r="T31" s="1226"/>
      <c r="U31" s="1226"/>
      <c r="V31" s="1226"/>
      <c r="W31" s="1226"/>
      <c r="X31" s="1226"/>
      <c r="Y31" s="1226"/>
      <c r="Z31" s="1226"/>
      <c r="AA31" s="1226"/>
      <c r="AB31" s="1226"/>
      <c r="AC31" s="1226"/>
      <c r="AD31" s="1226"/>
      <c r="AE31" s="1226"/>
      <c r="AF31" s="1226"/>
      <c r="AG31" s="1226"/>
      <c r="AH31" s="1226"/>
      <c r="AI31" s="1226"/>
      <c r="AJ31" s="1226"/>
      <c r="AK31" s="1226"/>
      <c r="AL31" s="113"/>
    </row>
    <row r="32" spans="1:38">
      <c r="A32" s="2"/>
      <c r="C32" s="1"/>
    </row>
    <row r="33" spans="1:38">
      <c r="A33" s="2"/>
      <c r="D33" s="1236" t="s">
        <v>13</v>
      </c>
      <c r="E33" s="1236"/>
      <c r="F33" s="1236"/>
      <c r="G33" s="1236"/>
      <c r="H33" s="1236"/>
      <c r="I33" s="1236"/>
      <c r="J33" s="1236"/>
      <c r="K33" s="1236"/>
      <c r="L33" s="1236"/>
      <c r="M33" s="1236"/>
      <c r="N33" s="1236"/>
      <c r="O33" s="1236"/>
      <c r="P33" s="1236"/>
      <c r="Q33" s="1236"/>
      <c r="R33" s="1236"/>
      <c r="S33" s="1236"/>
      <c r="T33" s="1236"/>
      <c r="U33" s="1236"/>
      <c r="V33" s="1236"/>
      <c r="W33" s="1236"/>
      <c r="X33" s="1236"/>
      <c r="Y33" s="1236"/>
      <c r="Z33" s="1236"/>
      <c r="AA33" s="1236"/>
      <c r="AB33" s="1236"/>
      <c r="AC33" s="1236"/>
      <c r="AD33" s="1236"/>
      <c r="AE33" s="1236"/>
      <c r="AF33" s="1236"/>
      <c r="AG33" s="1236"/>
      <c r="AH33" s="1236"/>
      <c r="AI33" s="1236"/>
      <c r="AJ33" s="1236"/>
      <c r="AK33" s="1236"/>
    </row>
    <row r="34" spans="1:38">
      <c r="A34" s="2"/>
      <c r="D34" s="1236"/>
      <c r="E34" s="1236"/>
      <c r="F34" s="1236"/>
      <c r="G34" s="1236"/>
      <c r="H34" s="1236"/>
      <c r="I34" s="1236"/>
      <c r="J34" s="1236"/>
      <c r="K34" s="1236"/>
      <c r="L34" s="1236"/>
      <c r="M34" s="1236"/>
      <c r="N34" s="1236"/>
      <c r="O34" s="1236"/>
      <c r="P34" s="1236"/>
      <c r="Q34" s="1236"/>
      <c r="R34" s="1236"/>
      <c r="S34" s="1236"/>
      <c r="T34" s="1236"/>
      <c r="U34" s="1236"/>
      <c r="V34" s="1236"/>
      <c r="W34" s="1236"/>
      <c r="X34" s="1236"/>
      <c r="Y34" s="1236"/>
      <c r="Z34" s="1236"/>
      <c r="AA34" s="1236"/>
      <c r="AB34" s="1236"/>
      <c r="AC34" s="1236"/>
      <c r="AD34" s="1236"/>
      <c r="AE34" s="1236"/>
      <c r="AF34" s="1236"/>
      <c r="AG34" s="1236"/>
      <c r="AH34" s="1236"/>
      <c r="AI34" s="1236"/>
      <c r="AJ34" s="1236"/>
      <c r="AK34" s="1236"/>
    </row>
    <row r="35" spans="1:38">
      <c r="A35" s="2"/>
      <c r="D35" s="70"/>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2"/>
      <c r="D36" s="70"/>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179"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4" customFormat="1" ht="13.2" customHeight="1">
      <c r="A40" s="2"/>
      <c r="B40"/>
      <c r="C40" s="1"/>
      <c r="D40" s="2"/>
      <c r="E40" s="2" t="s">
        <v>20</v>
      </c>
      <c r="F40" s="1224" t="s">
        <v>21</v>
      </c>
    </row>
    <row r="41" spans="1:38" s="1224" customFormat="1" ht="13.2" customHeight="1">
      <c r="A41" s="2"/>
      <c r="B41"/>
      <c r="C41" s="1"/>
      <c r="D41" s="2"/>
      <c r="E41" s="2"/>
    </row>
    <row r="42" spans="1:38">
      <c r="A42" s="2"/>
      <c r="C42" s="1"/>
      <c r="D42" s="2"/>
      <c r="E42" s="2"/>
      <c r="F42" s="68" t="s">
        <v>22</v>
      </c>
      <c r="G42" s="2" t="s">
        <v>23</v>
      </c>
      <c r="H42" s="1144"/>
      <c r="I42" s="1144"/>
      <c r="J42" s="1144"/>
      <c r="K42" s="1144"/>
      <c r="L42" s="1144"/>
      <c r="M42" s="1144"/>
      <c r="N42" s="1144"/>
      <c r="O42" s="1144"/>
      <c r="P42" s="1144"/>
      <c r="Q42" s="1144"/>
      <c r="R42" s="1144"/>
      <c r="S42" s="1144"/>
      <c r="T42" s="1144"/>
      <c r="U42" s="1144"/>
      <c r="V42" s="1144"/>
      <c r="W42" s="1144"/>
      <c r="X42" s="1144"/>
      <c r="Y42" s="1144"/>
      <c r="Z42" s="1144"/>
      <c r="AA42" s="1144"/>
      <c r="AB42" s="1144"/>
      <c r="AC42" s="1144"/>
      <c r="AD42" s="1144"/>
      <c r="AE42" s="1144"/>
      <c r="AF42" s="1144"/>
      <c r="AG42" s="1144"/>
      <c r="AH42" s="1144"/>
      <c r="AI42" s="1144"/>
      <c r="AJ42" s="1144"/>
      <c r="AK42" s="1144"/>
    </row>
    <row r="43" spans="1:38" s="68" customFormat="1" ht="13.2" customHeight="1">
      <c r="A43" s="2"/>
      <c r="B43"/>
      <c r="C43" s="1"/>
      <c r="D43" s="2"/>
      <c r="E43" s="2" t="s">
        <v>24</v>
      </c>
      <c r="F43" s="1230" t="s">
        <v>25</v>
      </c>
      <c r="G43" s="1230"/>
      <c r="H43" s="1230"/>
      <c r="I43" s="1230"/>
      <c r="J43" s="1230"/>
      <c r="K43" s="1230"/>
      <c r="L43" s="1230"/>
      <c r="M43" s="1230"/>
      <c r="N43" s="1230"/>
      <c r="O43" s="1230"/>
      <c r="P43" s="1230"/>
      <c r="Q43" s="1230"/>
      <c r="R43" s="1230"/>
      <c r="S43" s="1230"/>
      <c r="T43" s="1230"/>
      <c r="U43" s="1230"/>
      <c r="V43" s="1230"/>
      <c r="W43" s="1230"/>
      <c r="X43" s="1230"/>
      <c r="Y43" s="1230"/>
      <c r="Z43" s="1230"/>
      <c r="AA43" s="1230"/>
      <c r="AB43" s="1230"/>
      <c r="AC43" s="1230"/>
      <c r="AD43" s="1230"/>
      <c r="AE43" s="1230"/>
      <c r="AF43" s="1230"/>
      <c r="AG43" s="1230"/>
      <c r="AH43" s="1230"/>
      <c r="AI43" s="1230"/>
      <c r="AJ43" s="1230"/>
      <c r="AK43" s="1230"/>
      <c r="AL43" s="1230"/>
    </row>
    <row r="44" spans="1:38" s="68" customFormat="1">
      <c r="A44" s="2"/>
      <c r="B44"/>
      <c r="C44" s="1"/>
      <c r="D44" s="2"/>
      <c r="E44" s="2"/>
      <c r="F44" s="1230"/>
      <c r="G44" s="1230"/>
      <c r="H44" s="1230"/>
      <c r="I44" s="1230"/>
      <c r="J44" s="1230"/>
      <c r="K44" s="1230"/>
      <c r="L44" s="1230"/>
      <c r="M44" s="1230"/>
      <c r="N44" s="1230"/>
      <c r="O44" s="1230"/>
      <c r="P44" s="1230"/>
      <c r="Q44" s="1230"/>
      <c r="R44" s="1230"/>
      <c r="S44" s="1230"/>
      <c r="T44" s="1230"/>
      <c r="U44" s="1230"/>
      <c r="V44" s="1230"/>
      <c r="W44" s="1230"/>
      <c r="X44" s="1230"/>
      <c r="Y44" s="1230"/>
      <c r="Z44" s="1230"/>
      <c r="AA44" s="1230"/>
      <c r="AB44" s="1230"/>
      <c r="AC44" s="1230"/>
      <c r="AD44" s="1230"/>
      <c r="AE44" s="1230"/>
      <c r="AF44" s="1230"/>
      <c r="AG44" s="1230"/>
      <c r="AH44" s="1230"/>
      <c r="AI44" s="1230"/>
      <c r="AJ44" s="1230"/>
      <c r="AK44" s="1230"/>
      <c r="AL44" s="1230"/>
    </row>
    <row r="45" spans="1:38" s="68" customFormat="1" ht="13.2" customHeight="1">
      <c r="A45" s="2"/>
      <c r="B45"/>
      <c r="C45" s="1"/>
      <c r="D45" s="2"/>
      <c r="E45" s="2"/>
      <c r="F45" s="1230"/>
      <c r="G45" s="1230"/>
      <c r="H45" s="1230"/>
      <c r="I45" s="1230"/>
      <c r="J45" s="1230"/>
      <c r="K45" s="1230"/>
      <c r="L45" s="1230"/>
      <c r="M45" s="1230"/>
      <c r="N45" s="1230"/>
      <c r="O45" s="1230"/>
      <c r="P45" s="1230"/>
      <c r="Q45" s="1230"/>
      <c r="R45" s="1230"/>
      <c r="S45" s="1230"/>
      <c r="T45" s="1230"/>
      <c r="U45" s="1230"/>
      <c r="V45" s="1230"/>
      <c r="W45" s="1230"/>
      <c r="X45" s="1230"/>
      <c r="Y45" s="1230"/>
      <c r="Z45" s="1230"/>
      <c r="AA45" s="1230"/>
      <c r="AB45" s="1230"/>
      <c r="AC45" s="1230"/>
      <c r="AD45" s="1230"/>
      <c r="AE45" s="1230"/>
      <c r="AF45" s="1230"/>
      <c r="AG45" s="1230"/>
      <c r="AH45" s="1230"/>
      <c r="AI45" s="1230"/>
      <c r="AJ45" s="1230"/>
      <c r="AK45" s="1230"/>
      <c r="AL45" s="1230"/>
    </row>
    <row r="46" spans="1:38">
      <c r="A46" s="2"/>
      <c r="C46" s="1"/>
      <c r="D46" s="2"/>
      <c r="E46" s="2"/>
      <c r="F46" s="68" t="s">
        <v>22</v>
      </c>
      <c r="G46" s="2" t="s">
        <v>26</v>
      </c>
      <c r="H46" s="1168"/>
      <c r="I46" s="1168"/>
      <c r="J46" s="1168"/>
      <c r="K46" s="1168"/>
      <c r="L46" s="1168"/>
      <c r="M46" s="1168"/>
      <c r="N46" s="1168"/>
      <c r="O46" s="1168"/>
      <c r="P46" s="1168"/>
      <c r="Q46" s="1168"/>
      <c r="R46" s="1168"/>
      <c r="S46" s="1168"/>
      <c r="T46" s="1168"/>
      <c r="U46" s="1168"/>
      <c r="V46" s="1168"/>
      <c r="W46" s="1168"/>
      <c r="X46" s="1168"/>
      <c r="Y46" s="1168"/>
      <c r="Z46" s="1168"/>
      <c r="AA46" s="1168"/>
      <c r="AB46" s="1168"/>
      <c r="AC46" s="1168"/>
      <c r="AD46" s="1168"/>
      <c r="AE46" s="1168"/>
      <c r="AF46" s="1168"/>
      <c r="AG46" s="1168"/>
      <c r="AH46" s="1168"/>
      <c r="AI46" s="1168"/>
      <c r="AJ46" s="1168"/>
      <c r="AK46" s="1168"/>
      <c r="AL46" s="1168"/>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2"/>
      <c r="C49" s="1"/>
      <c r="D49" s="2"/>
      <c r="E49" s="2"/>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2"/>
      <c r="C50" s="1"/>
      <c r="D50" s="2"/>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036"/>
      <c r="K52" s="1036"/>
      <c r="L52" s="1036"/>
      <c r="M52" s="1036"/>
      <c r="N52" s="1036"/>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2" customHeight="1">
      <c r="A54" s="113"/>
      <c r="B54" s="113"/>
      <c r="C54" s="114"/>
      <c r="D54" s="114"/>
      <c r="E54" s="113"/>
      <c r="F54" s="115" t="s">
        <v>22</v>
      </c>
      <c r="G54" s="1229" t="s">
        <v>34</v>
      </c>
      <c r="H54" s="1229"/>
      <c r="I54" s="1229"/>
      <c r="J54" s="1229"/>
      <c r="K54" s="1229"/>
      <c r="L54" s="1229"/>
      <c r="M54" s="1229"/>
      <c r="N54" s="1229"/>
      <c r="O54" s="1229"/>
      <c r="P54" s="1229"/>
      <c r="Q54" s="1229"/>
      <c r="R54" s="1229"/>
      <c r="S54" s="1229"/>
      <c r="T54" s="1229"/>
      <c r="U54" s="1229"/>
      <c r="V54" s="1229"/>
      <c r="W54" s="1229"/>
      <c r="X54" s="1229"/>
      <c r="Y54" s="1229"/>
      <c r="Z54" s="1229"/>
      <c r="AA54" s="1229"/>
      <c r="AB54" s="1229"/>
      <c r="AC54" s="1229"/>
      <c r="AD54" s="1229"/>
      <c r="AE54" s="1229"/>
      <c r="AF54" s="1229"/>
      <c r="AG54" s="1229"/>
      <c r="AH54" s="1229"/>
      <c r="AI54" s="1229"/>
      <c r="AJ54" s="1229"/>
      <c r="AK54" s="1229"/>
      <c r="AL54" s="113"/>
    </row>
    <row r="55" spans="1:38" ht="13.2" customHeight="1">
      <c r="A55" s="113"/>
      <c r="B55" s="113"/>
      <c r="C55" s="114"/>
      <c r="D55" s="114"/>
      <c r="E55" s="113"/>
      <c r="F55" s="115"/>
      <c r="G55" s="333" t="s">
        <v>35</v>
      </c>
      <c r="H55" s="1117"/>
      <c r="I55" s="1117"/>
      <c r="J55" s="1117"/>
      <c r="K55" s="1117"/>
      <c r="L55" s="1117"/>
      <c r="M55" s="1117"/>
      <c r="N55" s="1117"/>
      <c r="O55" s="1117"/>
      <c r="P55" s="1117"/>
      <c r="Q55" s="1117"/>
      <c r="R55" s="1117"/>
      <c r="S55" s="1117"/>
      <c r="T55" s="1117"/>
      <c r="U55" s="1117"/>
      <c r="V55" s="1117"/>
      <c r="W55" s="1117"/>
      <c r="X55" s="1117"/>
      <c r="Y55" s="1117"/>
      <c r="Z55" s="1117"/>
      <c r="AA55" s="1117"/>
      <c r="AB55" s="1117"/>
      <c r="AC55" s="1117"/>
      <c r="AD55" s="1117"/>
      <c r="AE55" s="1117"/>
      <c r="AF55" s="1117"/>
      <c r="AG55" s="1117"/>
      <c r="AH55" s="1117"/>
      <c r="AI55" s="1117"/>
      <c r="AJ55" s="1117"/>
      <c r="AK55" s="1117"/>
      <c r="AL55" s="113"/>
    </row>
    <row r="56" spans="1:38">
      <c r="A56" s="113"/>
      <c r="B56" s="113"/>
      <c r="C56" s="114"/>
      <c r="D56" s="114"/>
      <c r="E56" s="113"/>
      <c r="F56" s="115"/>
      <c r="G56" s="1229" t="s">
        <v>36</v>
      </c>
      <c r="H56" s="1229"/>
      <c r="I56" s="1229"/>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113"/>
    </row>
    <row r="57" spans="1:38" ht="13.2" customHeight="1">
      <c r="A57" s="113"/>
      <c r="B57" s="114"/>
      <c r="C57" s="114"/>
      <c r="D57" s="114"/>
      <c r="E57" s="113"/>
      <c r="F57" s="115" t="s">
        <v>27</v>
      </c>
      <c r="G57" s="1229" t="s">
        <v>37</v>
      </c>
      <c r="H57" s="1229"/>
      <c r="I57" s="1229"/>
      <c r="J57" s="1229"/>
      <c r="K57" s="1229"/>
      <c r="L57" s="1229"/>
      <c r="M57" s="1229"/>
      <c r="N57" s="1229"/>
      <c r="O57" s="1229"/>
      <c r="P57" s="1229"/>
      <c r="Q57" s="1229"/>
      <c r="R57" s="1229"/>
      <c r="S57" s="1229"/>
      <c r="T57" s="1229"/>
      <c r="U57" s="1229"/>
      <c r="V57" s="1229"/>
      <c r="W57" s="1229"/>
      <c r="X57" s="1229"/>
      <c r="Y57" s="1229"/>
      <c r="Z57" s="1229"/>
      <c r="AA57" s="1229"/>
      <c r="AB57" s="1229"/>
      <c r="AC57" s="1229"/>
      <c r="AD57" s="1229"/>
      <c r="AE57" s="1229"/>
      <c r="AF57" s="1229"/>
      <c r="AG57" s="1229"/>
      <c r="AH57" s="1229"/>
      <c r="AI57" s="1229"/>
      <c r="AJ57" s="1229"/>
      <c r="AK57" s="1229"/>
      <c r="AL57" s="1229"/>
    </row>
    <row r="58" spans="1:38">
      <c r="A58" s="113"/>
      <c r="B58" s="113"/>
      <c r="C58" s="114"/>
      <c r="D58" s="114"/>
      <c r="E58" s="113"/>
      <c r="F58" s="115"/>
      <c r="G58" s="1229"/>
      <c r="H58" s="1229"/>
      <c r="I58" s="1229"/>
      <c r="J58" s="1229"/>
      <c r="K58" s="1229"/>
      <c r="L58" s="1229"/>
      <c r="M58" s="1229"/>
      <c r="N58" s="1229"/>
      <c r="O58" s="1229"/>
      <c r="P58" s="1229"/>
      <c r="Q58" s="1229"/>
      <c r="R58" s="1229"/>
      <c r="S58" s="1229"/>
      <c r="T58" s="1229"/>
      <c r="U58" s="1229"/>
      <c r="V58" s="1229"/>
      <c r="W58" s="1229"/>
      <c r="X58" s="1229"/>
      <c r="Y58" s="1229"/>
      <c r="Z58" s="1229"/>
      <c r="AA58" s="1229"/>
      <c r="AB58" s="1229"/>
      <c r="AC58" s="1229"/>
      <c r="AD58" s="1229"/>
      <c r="AE58" s="1229"/>
      <c r="AF58" s="1229"/>
      <c r="AG58" s="1229"/>
      <c r="AH58" s="1229"/>
      <c r="AI58" s="1229"/>
      <c r="AJ58" s="1229"/>
      <c r="AK58" s="1229"/>
      <c r="AL58" s="1229"/>
    </row>
    <row r="59" spans="1:38">
      <c r="A59" s="113"/>
      <c r="B59" s="113"/>
      <c r="C59" s="114"/>
      <c r="D59" s="114"/>
      <c r="E59" s="113"/>
      <c r="F59" s="115"/>
      <c r="G59" s="334" t="s">
        <v>38</v>
      </c>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113"/>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2"/>
      <c r="C65" s="1"/>
      <c r="D65" s="2"/>
      <c r="E65" s="2"/>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2"/>
      <c r="C66" s="1"/>
      <c r="D66" s="2"/>
      <c r="E66" s="2"/>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2" customHeight="1">
      <c r="A67" s="2"/>
      <c r="C67" s="1"/>
      <c r="D67" s="2"/>
      <c r="E67" s="2"/>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2"/>
      <c r="C68" s="1"/>
      <c r="D68" s="2"/>
      <c r="E68" s="2"/>
      <c r="F68" s="21"/>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2"/>
      <c r="C69" s="1"/>
      <c r="D69" s="2"/>
      <c r="E69" s="2" t="s">
        <v>24</v>
      </c>
      <c r="F69" s="2" t="s">
        <v>44</v>
      </c>
      <c r="G69" s="1144"/>
      <c r="H69" s="1144"/>
      <c r="I69" s="1144"/>
      <c r="J69" s="1144"/>
      <c r="K69" s="1144"/>
      <c r="L69" s="1144"/>
      <c r="M69" s="1144"/>
      <c r="N69" s="1144"/>
      <c r="O69" s="1144"/>
      <c r="P69" s="1144"/>
      <c r="Q69" s="1144"/>
      <c r="R69" s="1144"/>
      <c r="S69" s="1144"/>
      <c r="T69" s="1144"/>
      <c r="U69" s="1144"/>
      <c r="V69" s="1144"/>
      <c r="W69" s="1144"/>
      <c r="X69" s="1144"/>
      <c r="Y69" s="1144"/>
      <c r="Z69" s="1144"/>
      <c r="AA69" s="1144"/>
      <c r="AB69" s="1144"/>
      <c r="AC69" s="1144"/>
      <c r="AD69" s="1144"/>
      <c r="AE69" s="1144"/>
      <c r="AF69" s="1144"/>
      <c r="AG69" s="1144"/>
      <c r="AH69" s="1144"/>
      <c r="AI69" s="1144"/>
      <c r="AJ69" s="1144"/>
      <c r="AK69" s="1144"/>
    </row>
    <row r="70" spans="1:37">
      <c r="A70" s="2"/>
      <c r="C70" s="1"/>
      <c r="D70" s="2"/>
      <c r="E70" s="2"/>
      <c r="F70" s="6"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2"/>
      <c r="C71" s="1"/>
      <c r="D71" s="2"/>
      <c r="E71" s="2"/>
      <c r="F71" s="6"/>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2"/>
      <c r="C72" s="1"/>
      <c r="D72" s="2"/>
      <c r="E72" s="2"/>
      <c r="F72" s="6"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2"/>
      <c r="C73" s="1"/>
      <c r="D73" s="2"/>
      <c r="E73" s="2"/>
      <c r="F73" s="6"/>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2"/>
      <c r="C81" s="1"/>
      <c r="D81" s="2"/>
      <c r="E81" s="2"/>
      <c r="F81" s="2"/>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2"/>
      <c r="C82" s="1"/>
      <c r="D82" s="2"/>
      <c r="E82" s="2"/>
      <c r="F82" s="2"/>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2"/>
      <c r="C85" s="1"/>
      <c r="D85" s="2"/>
      <c r="E85" s="2"/>
      <c r="F85" s="2"/>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2"/>
      <c r="C86" s="1"/>
      <c r="D86" s="2"/>
      <c r="E86" s="2"/>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27" t="s">
        <v>62</v>
      </c>
      <c r="H88" s="1227"/>
      <c r="I88" s="1227"/>
      <c r="J88" s="1227"/>
      <c r="K88" s="1227"/>
      <c r="L88" s="1227"/>
      <c r="M88" s="1227"/>
      <c r="N88" s="1227"/>
      <c r="O88" s="1227"/>
      <c r="P88" s="1227"/>
      <c r="Q88" s="1227"/>
      <c r="R88" s="1227"/>
      <c r="S88" s="1227"/>
      <c r="T88" s="1227"/>
      <c r="U88" s="1227"/>
      <c r="V88" s="1227"/>
      <c r="W88" s="1227"/>
      <c r="X88" s="1227"/>
      <c r="Y88" s="1227"/>
      <c r="Z88" s="1227"/>
      <c r="AA88" s="1227"/>
      <c r="AB88" s="1227"/>
      <c r="AC88" s="1227"/>
      <c r="AD88" s="1227"/>
      <c r="AE88" s="1227"/>
      <c r="AF88" s="1227"/>
      <c r="AG88" s="1227"/>
      <c r="AH88" s="1227"/>
      <c r="AI88" s="1227"/>
      <c r="AJ88" s="1227"/>
      <c r="AK88" s="1227"/>
    </row>
    <row r="89" spans="1:37">
      <c r="A89" s="2"/>
      <c r="C89" s="1"/>
      <c r="D89" s="2"/>
      <c r="E89" s="2"/>
      <c r="G89" s="1227"/>
      <c r="H89" s="1227"/>
      <c r="I89" s="1227"/>
      <c r="J89" s="1227"/>
      <c r="K89" s="1227"/>
      <c r="L89" s="1227"/>
      <c r="M89" s="1227"/>
      <c r="N89" s="1227"/>
      <c r="O89" s="1227"/>
      <c r="P89" s="1227"/>
      <c r="Q89" s="1227"/>
      <c r="R89" s="1227"/>
      <c r="S89" s="1227"/>
      <c r="T89" s="1227"/>
      <c r="U89" s="1227"/>
      <c r="V89" s="1227"/>
      <c r="W89" s="1227"/>
      <c r="X89" s="1227"/>
      <c r="Y89" s="1227"/>
      <c r="Z89" s="1227"/>
      <c r="AA89" s="1227"/>
      <c r="AB89" s="1227"/>
      <c r="AC89" s="1227"/>
      <c r="AD89" s="1227"/>
      <c r="AE89" s="1227"/>
      <c r="AF89" s="1227"/>
      <c r="AG89" s="1227"/>
      <c r="AH89" s="1227"/>
      <c r="AI89" s="1227"/>
      <c r="AJ89" s="1227"/>
      <c r="AK89" s="1227"/>
    </row>
    <row r="90" spans="1:37">
      <c r="A90" s="2"/>
      <c r="C90" s="1"/>
      <c r="D90" s="2"/>
      <c r="E90" s="2"/>
      <c r="G90" s="1227"/>
      <c r="H90" s="1227"/>
      <c r="I90" s="1227"/>
      <c r="J90" s="1227"/>
      <c r="K90" s="1227"/>
      <c r="L90" s="1227"/>
      <c r="M90" s="1227"/>
      <c r="N90" s="1227"/>
      <c r="O90" s="1227"/>
      <c r="P90" s="1227"/>
      <c r="Q90" s="1227"/>
      <c r="R90" s="1227"/>
      <c r="S90" s="1227"/>
      <c r="T90" s="1227"/>
      <c r="U90" s="1227"/>
      <c r="V90" s="1227"/>
      <c r="W90" s="1227"/>
      <c r="X90" s="1227"/>
      <c r="Y90" s="1227"/>
      <c r="Z90" s="1227"/>
      <c r="AA90" s="1227"/>
      <c r="AB90" s="1227"/>
      <c r="AC90" s="1227"/>
      <c r="AD90" s="1227"/>
      <c r="AE90" s="1227"/>
      <c r="AF90" s="1227"/>
      <c r="AG90" s="1227"/>
      <c r="AH90" s="1227"/>
      <c r="AI90" s="1227"/>
      <c r="AJ90" s="1227"/>
      <c r="AK90" s="1227"/>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2"/>
      <c r="C94" s="1"/>
      <c r="D94" s="2"/>
      <c r="E94" s="2" t="s">
        <v>66</v>
      </c>
      <c r="F94" s="113" t="s">
        <v>67</v>
      </c>
      <c r="G94" s="113"/>
      <c r="L94" s="2"/>
      <c r="M94" s="2"/>
      <c r="P94" s="2"/>
      <c r="Q94" s="2"/>
      <c r="R94" s="2"/>
      <c r="S94" s="2"/>
      <c r="T94" s="2"/>
      <c r="U94" s="2"/>
      <c r="V94" s="2"/>
      <c r="W94" s="2"/>
      <c r="X94" s="2"/>
      <c r="Y94" s="2"/>
      <c r="Z94" s="2"/>
      <c r="AA94" s="2"/>
      <c r="AB94" s="2"/>
    </row>
    <row r="95" spans="1:37">
      <c r="A95" s="2"/>
      <c r="C95" s="1"/>
      <c r="D95" s="2"/>
      <c r="E95" s="2"/>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2"/>
      <c r="C96" s="1"/>
      <c r="D96" s="2"/>
      <c r="E96" s="2"/>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2"/>
      <c r="C97" s="1"/>
      <c r="D97" s="2"/>
      <c r="E97" s="2"/>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2"/>
      <c r="D98" s="58"/>
      <c r="E98" s="1228" t="s">
        <v>69</v>
      </c>
      <c r="F98" s="1228"/>
      <c r="G98" s="1228"/>
      <c r="H98" s="1228"/>
      <c r="I98" s="1228"/>
      <c r="J98" s="1228"/>
      <c r="K98" s="1228"/>
      <c r="L98" s="1228"/>
      <c r="M98" s="1228"/>
      <c r="N98" s="1228"/>
      <c r="O98" s="1228"/>
      <c r="P98" s="1228"/>
      <c r="Q98" s="1228"/>
      <c r="R98" s="1228"/>
      <c r="S98" s="1228"/>
      <c r="T98" s="1228"/>
      <c r="U98" s="1228"/>
      <c r="V98" s="1228"/>
      <c r="W98" s="1228"/>
      <c r="X98" s="1228"/>
      <c r="Y98" s="1228"/>
      <c r="Z98" s="1228"/>
      <c r="AA98" s="1228"/>
      <c r="AB98" s="1228"/>
      <c r="AC98" s="1228"/>
      <c r="AD98" s="1228"/>
      <c r="AE98" s="1228"/>
      <c r="AF98" s="1228"/>
      <c r="AG98" s="1228"/>
      <c r="AH98" s="1228"/>
      <c r="AI98" s="1228"/>
      <c r="AJ98" s="1228"/>
      <c r="AK98" s="1228"/>
    </row>
    <row r="99" spans="1:38">
      <c r="A99" s="2"/>
      <c r="D99" s="58"/>
      <c r="E99" s="1228"/>
      <c r="F99" s="1228"/>
      <c r="G99" s="1228"/>
      <c r="H99" s="1228"/>
      <c r="I99" s="1228"/>
      <c r="J99" s="1228"/>
      <c r="K99" s="1228"/>
      <c r="L99" s="1228"/>
      <c r="M99" s="1228"/>
      <c r="N99" s="1228"/>
      <c r="O99" s="1228"/>
      <c r="P99" s="1228"/>
      <c r="Q99" s="1228"/>
      <c r="R99" s="1228"/>
      <c r="S99" s="1228"/>
      <c r="T99" s="1228"/>
      <c r="U99" s="1228"/>
      <c r="V99" s="1228"/>
      <c r="W99" s="1228"/>
      <c r="X99" s="1228"/>
      <c r="Y99" s="1228"/>
      <c r="Z99" s="1228"/>
      <c r="AA99" s="1228"/>
      <c r="AB99" s="1228"/>
      <c r="AC99" s="1228"/>
      <c r="AD99" s="1228"/>
      <c r="AE99" s="1228"/>
      <c r="AF99" s="1228"/>
      <c r="AG99" s="1228"/>
      <c r="AH99" s="1228"/>
      <c r="AI99" s="1228"/>
      <c r="AJ99" s="1228"/>
      <c r="AK99" s="1228"/>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144"/>
      <c r="G132" s="1144"/>
      <c r="H132" s="1144"/>
      <c r="I132" s="1144"/>
      <c r="J132" s="1144"/>
      <c r="K132" s="1144"/>
      <c r="L132" s="1144"/>
      <c r="M132" s="1144"/>
      <c r="N132" s="1144"/>
      <c r="O132" s="1144"/>
      <c r="P132" s="1144"/>
      <c r="Q132" s="1144"/>
      <c r="R132" s="1144"/>
      <c r="S132" s="1144"/>
      <c r="T132" s="1144"/>
      <c r="U132" s="1144"/>
      <c r="V132" s="1144"/>
      <c r="W132" s="1144"/>
      <c r="X132" s="1144"/>
      <c r="Y132" s="1144"/>
      <c r="Z132" s="1144"/>
      <c r="AA132" s="1144"/>
      <c r="AB132" s="1144"/>
      <c r="AC132" s="1144"/>
      <c r="AD132" s="1144"/>
      <c r="AE132" s="1144"/>
      <c r="AF132" s="1144"/>
      <c r="AG132" s="1144"/>
      <c r="AH132" s="1144"/>
      <c r="AI132" s="1144"/>
      <c r="AJ132" s="1144"/>
      <c r="AK132" s="1144"/>
    </row>
    <row r="133" spans="4:37">
      <c r="E133" s="69" t="s">
        <v>98</v>
      </c>
      <c r="F133" s="1144"/>
      <c r="G133" s="1144"/>
      <c r="H133" s="1144"/>
      <c r="I133" s="1144"/>
      <c r="J133" s="1144"/>
      <c r="K133" s="1144"/>
      <c r="L133" s="1144"/>
      <c r="M133" s="1144"/>
      <c r="N133" s="1144"/>
      <c r="O133" s="1144"/>
      <c r="P133" s="1144"/>
      <c r="Q133" s="1144"/>
      <c r="R133" s="1144"/>
      <c r="S133" s="1144"/>
      <c r="T133" s="1144"/>
      <c r="U133" s="1144"/>
      <c r="V133" s="1144"/>
      <c r="W133" s="1144"/>
      <c r="X133" s="1144"/>
      <c r="Y133" s="1144"/>
      <c r="Z133" s="1144"/>
      <c r="AA133" s="1144"/>
      <c r="AB133" s="1144"/>
      <c r="AC133" s="1144"/>
      <c r="AD133" s="1144"/>
      <c r="AE133" s="1144"/>
      <c r="AF133" s="1144"/>
      <c r="AG133" s="1144"/>
      <c r="AH133" s="1144"/>
      <c r="AI133" s="1144"/>
      <c r="AJ133" s="1144"/>
      <c r="AK133" s="1144"/>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3" t="s">
        <v>108</v>
      </c>
      <c r="F143" s="113"/>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2"/>
      <c r="C206" s="2"/>
      <c r="D206" s="1"/>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108"/>
      <c r="F221" s="1108"/>
      <c r="G221" s="1108"/>
      <c r="H221" s="1108"/>
      <c r="I221" s="1108"/>
      <c r="J221" s="1108"/>
      <c r="K221" s="4"/>
      <c r="L221" s="1108"/>
      <c r="M221" s="1108"/>
      <c r="N221" s="1108"/>
      <c r="O221" s="1108"/>
      <c r="P221" s="1108"/>
      <c r="Q221" s="1108"/>
      <c r="R221" s="1108"/>
      <c r="S221" s="1108"/>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2"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2" t="s">
        <v>185</v>
      </c>
      <c r="I240" s="2"/>
      <c r="M240" s="2"/>
      <c r="N240" s="2"/>
      <c r="O240" s="2"/>
      <c r="P240" s="2"/>
      <c r="Q240" s="2"/>
      <c r="R240" s="2"/>
      <c r="S240" s="2"/>
    </row>
    <row r="241" spans="2:21">
      <c r="B241" s="2"/>
      <c r="C241" s="2"/>
      <c r="E241" t="s">
        <v>39</v>
      </c>
      <c r="F241" s="2" t="s">
        <v>20</v>
      </c>
      <c r="G241" s="822" t="s">
        <v>186</v>
      </c>
      <c r="I241" s="2"/>
      <c r="M241" s="2"/>
      <c r="N241" s="2"/>
      <c r="O241" s="2"/>
      <c r="P241" s="2"/>
      <c r="Q241" s="2"/>
      <c r="R241" s="2"/>
      <c r="S241" s="2"/>
    </row>
    <row r="242" spans="2:21">
      <c r="B242" s="2"/>
      <c r="C242" s="2"/>
      <c r="F242" s="2" t="s">
        <v>24</v>
      </c>
      <c r="G242" s="822" t="s">
        <v>187</v>
      </c>
      <c r="I242" s="2"/>
      <c r="M242" s="2"/>
      <c r="N242" s="2"/>
      <c r="O242" s="2"/>
      <c r="P242" s="2"/>
      <c r="Q242" s="2"/>
      <c r="R242" s="2"/>
      <c r="S242" s="2"/>
    </row>
    <row r="243" spans="2:21">
      <c r="B243" s="2"/>
      <c r="C243" s="2"/>
      <c r="F243" s="2" t="s">
        <v>29</v>
      </c>
      <c r="G243" s="822" t="s">
        <v>188</v>
      </c>
      <c r="I243" s="2"/>
      <c r="M243" s="2"/>
      <c r="N243" s="2"/>
      <c r="O243" s="2"/>
      <c r="P243" s="2"/>
      <c r="Q243" s="2"/>
      <c r="R243" s="2"/>
      <c r="S243" s="2"/>
    </row>
    <row r="244" spans="2:21">
      <c r="B244" s="2"/>
      <c r="C244" s="2"/>
      <c r="F244" s="2"/>
      <c r="G244" s="822"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3" t="s">
        <v>20</v>
      </c>
      <c r="G253" s="113" t="s">
        <v>197</v>
      </c>
      <c r="I253" s="2"/>
      <c r="K253" s="2"/>
      <c r="L253" s="2"/>
      <c r="M253" s="2"/>
      <c r="N253" s="2"/>
      <c r="O253" s="2"/>
      <c r="Q253" s="2"/>
      <c r="R253" s="2"/>
      <c r="S253" s="2"/>
      <c r="T253" s="2"/>
      <c r="U253" s="2"/>
    </row>
    <row r="254" spans="2:21">
      <c r="B254" s="1"/>
      <c r="C254" s="1"/>
      <c r="E254" s="2"/>
      <c r="F254" s="113"/>
      <c r="G254" s="113" t="s">
        <v>198</v>
      </c>
      <c r="I254" s="2"/>
      <c r="K254" s="2"/>
      <c r="L254" s="2"/>
      <c r="M254" s="2"/>
      <c r="N254" s="2"/>
      <c r="O254" s="2"/>
      <c r="P254" s="2"/>
    </row>
    <row r="255" spans="2:21">
      <c r="B255" s="1"/>
      <c r="C255" s="1"/>
      <c r="E255" s="2"/>
      <c r="F255" s="113" t="s">
        <v>24</v>
      </c>
      <c r="G255" s="113" t="s">
        <v>199</v>
      </c>
      <c r="I255" s="2"/>
      <c r="K255" s="2"/>
      <c r="L255" s="2"/>
      <c r="M255" s="2"/>
      <c r="N255" s="2"/>
      <c r="O255" s="2"/>
      <c r="P255" s="2"/>
    </row>
    <row r="256" spans="2:21">
      <c r="B256" s="1"/>
      <c r="C256" s="1"/>
      <c r="E256" s="2"/>
      <c r="F256" s="113"/>
      <c r="G256" s="113"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3"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09"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108"/>
      <c r="K329" s="1108"/>
      <c r="L329" s="1108"/>
      <c r="M329" s="1108"/>
      <c r="N329" s="1108"/>
      <c r="O329" s="1108"/>
      <c r="P329" s="1108"/>
      <c r="Q329" s="1108"/>
      <c r="R329" s="1108"/>
      <c r="S329" s="1108"/>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1"/>
      <c r="E337" s="2"/>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1"/>
      <c r="E338" s="2"/>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2" customHeight="1">
      <c r="B341" s="1"/>
      <c r="E341" s="1229" t="s">
        <v>265</v>
      </c>
      <c r="F341" s="1229"/>
      <c r="G341" s="1229"/>
      <c r="H341" s="1229"/>
      <c r="I341" s="1229"/>
      <c r="J341" s="1229"/>
      <c r="K341" s="1229"/>
      <c r="L341" s="1229"/>
      <c r="M341" s="1229"/>
      <c r="N341" s="1229"/>
      <c r="O341" s="1229"/>
      <c r="P341" s="1229"/>
      <c r="Q341" s="1229"/>
      <c r="R341" s="1229"/>
      <c r="S341" s="1229"/>
      <c r="T341" s="1229"/>
      <c r="U341" s="1229"/>
      <c r="V341" s="1229"/>
      <c r="W341" s="1229"/>
      <c r="X341" s="1229"/>
      <c r="Y341" s="1229"/>
      <c r="Z341" s="1229"/>
      <c r="AA341" s="1229"/>
      <c r="AB341" s="1229"/>
      <c r="AC341" s="1229"/>
      <c r="AD341" s="1229"/>
      <c r="AE341" s="1229"/>
      <c r="AF341" s="1229"/>
      <c r="AG341" s="1229"/>
      <c r="AH341" s="1229"/>
      <c r="AI341" s="1229"/>
      <c r="AJ341" s="1229"/>
      <c r="AK341" s="1229"/>
    </row>
    <row r="342" spans="2:37">
      <c r="B342" s="1"/>
      <c r="E342" s="1229"/>
      <c r="F342" s="1229"/>
      <c r="G342" s="1229"/>
      <c r="H342" s="1229"/>
      <c r="I342" s="1229"/>
      <c r="J342" s="1229"/>
      <c r="K342" s="1229"/>
      <c r="L342" s="1229"/>
      <c r="M342" s="1229"/>
      <c r="N342" s="1229"/>
      <c r="O342" s="1229"/>
      <c r="P342" s="1229"/>
      <c r="Q342" s="1229"/>
      <c r="R342" s="1229"/>
      <c r="S342" s="1229"/>
      <c r="T342" s="1229"/>
      <c r="U342" s="1229"/>
      <c r="V342" s="1229"/>
      <c r="W342" s="1229"/>
      <c r="X342" s="1229"/>
      <c r="Y342" s="1229"/>
      <c r="Z342" s="1229"/>
      <c r="AA342" s="1229"/>
      <c r="AB342" s="1229"/>
      <c r="AC342" s="1229"/>
      <c r="AD342" s="1229"/>
      <c r="AE342" s="1229"/>
      <c r="AF342" s="1229"/>
      <c r="AG342" s="1229"/>
      <c r="AH342" s="1229"/>
      <c r="AI342" s="1229"/>
      <c r="AJ342" s="1229"/>
      <c r="AK342" s="1229"/>
    </row>
    <row r="343" spans="2:37">
      <c r="B343" s="1"/>
      <c r="E343" s="1229"/>
      <c r="F343" s="1229"/>
      <c r="G343" s="1229"/>
      <c r="H343" s="1229"/>
      <c r="I343" s="1229"/>
      <c r="J343" s="1229"/>
      <c r="K343" s="1229"/>
      <c r="L343" s="1229"/>
      <c r="M343" s="1229"/>
      <c r="N343" s="1229"/>
      <c r="O343" s="1229"/>
      <c r="P343" s="1229"/>
      <c r="Q343" s="1229"/>
      <c r="R343" s="1229"/>
      <c r="S343" s="1229"/>
      <c r="T343" s="1229"/>
      <c r="U343" s="1229"/>
      <c r="V343" s="1229"/>
      <c r="W343" s="1229"/>
      <c r="X343" s="1229"/>
      <c r="Y343" s="1229"/>
      <c r="Z343" s="1229"/>
      <c r="AA343" s="1229"/>
      <c r="AB343" s="1229"/>
      <c r="AC343" s="1229"/>
      <c r="AD343" s="1229"/>
      <c r="AE343" s="1229"/>
      <c r="AF343" s="1229"/>
      <c r="AG343" s="1229"/>
      <c r="AH343" s="1229"/>
      <c r="AI343" s="1229"/>
      <c r="AJ343" s="1229"/>
      <c r="AK343" s="1229"/>
    </row>
    <row r="344" spans="2:37">
      <c r="B344" s="1"/>
      <c r="E344" s="1229"/>
      <c r="F344" s="1229"/>
      <c r="G344" s="1229"/>
      <c r="H344" s="1229"/>
      <c r="I344" s="1229"/>
      <c r="J344" s="1229"/>
      <c r="K344" s="1229"/>
      <c r="L344" s="1229"/>
      <c r="M344" s="1229"/>
      <c r="N344" s="1229"/>
      <c r="O344" s="1229"/>
      <c r="P344" s="1229"/>
      <c r="Q344" s="1229"/>
      <c r="R344" s="1229"/>
      <c r="S344" s="1229"/>
      <c r="T344" s="1229"/>
      <c r="U344" s="1229"/>
      <c r="V344" s="1229"/>
      <c r="W344" s="1229"/>
      <c r="X344" s="1229"/>
      <c r="Y344" s="1229"/>
      <c r="Z344" s="1229"/>
      <c r="AA344" s="1229"/>
      <c r="AB344" s="1229"/>
      <c r="AC344" s="1229"/>
      <c r="AD344" s="1229"/>
      <c r="AE344" s="1229"/>
      <c r="AF344" s="1229"/>
      <c r="AG344" s="1229"/>
      <c r="AH344" s="1229"/>
      <c r="AI344" s="1229"/>
      <c r="AJ344" s="1229"/>
      <c r="AK344" s="1229"/>
    </row>
    <row r="345" spans="2:37">
      <c r="B345" s="1"/>
      <c r="E345" s="1229"/>
      <c r="F345" s="1229"/>
      <c r="G345" s="1229"/>
      <c r="H345" s="1229"/>
      <c r="I345" s="1229"/>
      <c r="J345" s="1229"/>
      <c r="K345" s="1229"/>
      <c r="L345" s="1229"/>
      <c r="M345" s="1229"/>
      <c r="N345" s="1229"/>
      <c r="O345" s="1229"/>
      <c r="P345" s="1229"/>
      <c r="Q345" s="1229"/>
      <c r="R345" s="1229"/>
      <c r="S345" s="1229"/>
      <c r="T345" s="1229"/>
      <c r="U345" s="1229"/>
      <c r="V345" s="1229"/>
      <c r="W345" s="1229"/>
      <c r="X345" s="1229"/>
      <c r="Y345" s="1229"/>
      <c r="Z345" s="1229"/>
      <c r="AA345" s="1229"/>
      <c r="AB345" s="1229"/>
      <c r="AC345" s="1229"/>
      <c r="AD345" s="1229"/>
      <c r="AE345" s="1229"/>
      <c r="AF345" s="1229"/>
      <c r="AG345" s="1229"/>
      <c r="AH345" s="1229"/>
      <c r="AI345" s="1229"/>
      <c r="AJ345" s="1229"/>
      <c r="AK345" s="1229"/>
    </row>
    <row r="346" spans="2:37">
      <c r="B346" s="1"/>
      <c r="E346" s="2"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1"/>
      <c r="E347" s="2"/>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1"/>
      <c r="E348" s="2"/>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1"/>
      <c r="E349" s="2"/>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1"/>
      <c r="E350" s="2"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1"/>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1"/>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108"/>
      <c r="N354" s="1108"/>
      <c r="O354" s="1108"/>
      <c r="P354" s="1108"/>
      <c r="Q354" s="1108"/>
      <c r="R354" s="1108"/>
      <c r="S354" s="1108"/>
      <c r="T354" s="1108"/>
      <c r="U354" s="4"/>
      <c r="V354" s="4"/>
      <c r="W354" s="4"/>
      <c r="X354" s="4"/>
      <c r="Y354" s="4"/>
      <c r="Z354" s="4"/>
      <c r="AA354" s="4"/>
      <c r="AB354" s="4"/>
      <c r="AC354" s="4"/>
      <c r="AD354" s="4"/>
      <c r="AE354" s="4"/>
      <c r="AF354" s="4"/>
      <c r="AG354" s="4"/>
      <c r="AH354" s="4"/>
      <c r="AI354" s="4"/>
      <c r="AJ354" s="4"/>
      <c r="AK354" s="4"/>
      <c r="AL354" s="4"/>
    </row>
    <row r="355" spans="1:38">
      <c r="B355" s="1"/>
      <c r="D355" s="363"/>
      <c r="E355" s="1"/>
      <c r="M355" s="2"/>
      <c r="N355" s="2"/>
      <c r="O355" s="2"/>
      <c r="P355" s="2"/>
      <c r="Q355" s="2"/>
      <c r="R355" s="2"/>
      <c r="S355" s="2"/>
      <c r="T355" s="2"/>
    </row>
    <row r="356" spans="1:38" ht="13.2" customHeight="1">
      <c r="B356" s="1"/>
      <c r="C356" s="9" t="s">
        <v>269</v>
      </c>
      <c r="D356" s="4"/>
      <c r="E356" s="4"/>
      <c r="F356" s="4"/>
      <c r="G356" s="4"/>
      <c r="H356" s="4"/>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311"/>
      <c r="AF356" s="311"/>
      <c r="AG356" s="311"/>
      <c r="AH356" s="311"/>
      <c r="AI356" s="311"/>
      <c r="AJ356" s="311"/>
      <c r="AK356" s="311"/>
    </row>
    <row r="357" spans="1:38" ht="13.2" customHeight="1">
      <c r="B357" s="1"/>
      <c r="C357" s="1"/>
      <c r="E357" s="1117"/>
      <c r="F357" s="1117"/>
      <c r="G357" s="1117"/>
      <c r="H357" s="1117"/>
      <c r="I357" s="1117"/>
      <c r="J357" s="1117"/>
      <c r="K357" s="1117"/>
      <c r="L357" s="1117"/>
      <c r="M357" s="1117"/>
      <c r="N357" s="1117"/>
      <c r="O357" s="1117"/>
      <c r="P357" s="1117"/>
      <c r="Q357" s="1117"/>
      <c r="R357" s="1117"/>
      <c r="S357" s="1117"/>
      <c r="T357" s="1117"/>
      <c r="U357" s="1117"/>
      <c r="V357" s="1117"/>
      <c r="W357" s="1117"/>
      <c r="X357" s="1117"/>
      <c r="Y357" s="1117"/>
      <c r="Z357" s="1117"/>
      <c r="AA357" s="1117"/>
      <c r="AB357" s="1117"/>
      <c r="AC357" s="1117"/>
      <c r="AD357" s="1117"/>
      <c r="AE357" s="1117"/>
      <c r="AF357" s="1117"/>
      <c r="AG357" s="1117"/>
      <c r="AH357" s="1117"/>
      <c r="AI357" s="1117"/>
      <c r="AJ357" s="1117"/>
      <c r="AK357" s="1117"/>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32" t="s">
        <v>277</v>
      </c>
      <c r="F365" s="1232"/>
      <c r="G365" s="1232"/>
      <c r="H365" s="1232"/>
      <c r="I365" s="1232"/>
      <c r="J365" s="1232"/>
      <c r="K365" s="1232"/>
      <c r="L365" s="1232"/>
      <c r="M365" s="1232"/>
      <c r="N365" s="1232"/>
      <c r="O365" s="1232"/>
      <c r="P365" s="1232"/>
      <c r="Q365" s="1232"/>
      <c r="R365" s="1232"/>
      <c r="S365" s="1232"/>
      <c r="T365" s="1232"/>
      <c r="U365" s="1232"/>
      <c r="V365" s="1232"/>
      <c r="W365" s="1232"/>
      <c r="X365" s="1232"/>
      <c r="Y365" s="1232"/>
      <c r="Z365" s="1232"/>
      <c r="AA365" s="1232"/>
      <c r="AB365" s="1232"/>
      <c r="AC365" s="1232"/>
      <c r="AD365" s="1232"/>
      <c r="AE365" s="1232"/>
      <c r="AF365" s="1232"/>
      <c r="AG365" s="1232"/>
      <c r="AH365" s="1232"/>
      <c r="AI365" s="1232"/>
      <c r="AJ365" s="1232"/>
      <c r="AK365" s="1232"/>
      <c r="AL365" s="1232"/>
    </row>
    <row r="366" spans="1:38">
      <c r="B366" s="1"/>
      <c r="E366" s="1232"/>
      <c r="F366" s="1232"/>
      <c r="G366" s="1232"/>
      <c r="H366" s="1232"/>
      <c r="I366" s="1232"/>
      <c r="J366" s="1232"/>
      <c r="K366" s="1232"/>
      <c r="L366" s="1232"/>
      <c r="M366" s="1232"/>
      <c r="N366" s="1232"/>
      <c r="O366" s="1232"/>
      <c r="P366" s="1232"/>
      <c r="Q366" s="1232"/>
      <c r="R366" s="1232"/>
      <c r="S366" s="1232"/>
      <c r="T366" s="1232"/>
      <c r="U366" s="1232"/>
      <c r="V366" s="1232"/>
      <c r="W366" s="1232"/>
      <c r="X366" s="1232"/>
      <c r="Y366" s="1232"/>
      <c r="Z366" s="1232"/>
      <c r="AA366" s="1232"/>
      <c r="AB366" s="1232"/>
      <c r="AC366" s="1232"/>
      <c r="AD366" s="1232"/>
      <c r="AE366" s="1232"/>
      <c r="AF366" s="1232"/>
      <c r="AG366" s="1232"/>
      <c r="AH366" s="1232"/>
      <c r="AI366" s="1232"/>
      <c r="AJ366" s="1232"/>
      <c r="AK366" s="1232"/>
      <c r="AL366" s="1232"/>
    </row>
    <row r="367" spans="1:38" s="1233" customFormat="1">
      <c r="A367"/>
      <c r="B367" s="1"/>
      <c r="C367"/>
      <c r="D367"/>
      <c r="E367" s="1230" t="s">
        <v>278</v>
      </c>
      <c r="F367" s="1230"/>
      <c r="G367" s="1230"/>
      <c r="H367" s="1230"/>
      <c r="I367" s="1230"/>
      <c r="J367" s="1230"/>
      <c r="K367" s="1230"/>
      <c r="L367" s="1230"/>
      <c r="M367" s="1230"/>
      <c r="N367" s="1230"/>
      <c r="O367" s="1230"/>
      <c r="P367" s="1230"/>
      <c r="Q367" s="1230"/>
      <c r="R367" s="1230"/>
      <c r="S367" s="1230"/>
      <c r="T367" s="1230"/>
      <c r="U367" s="1230"/>
      <c r="V367" s="1230"/>
      <c r="W367" s="1230"/>
      <c r="X367" s="1230"/>
      <c r="Y367" s="1230"/>
      <c r="Z367" s="1230"/>
      <c r="AA367" s="1230"/>
      <c r="AB367" s="1230"/>
      <c r="AC367" s="1230"/>
      <c r="AD367" s="1230"/>
      <c r="AE367" s="1230"/>
      <c r="AF367" s="1230"/>
      <c r="AG367" s="1230"/>
      <c r="AH367" s="1230"/>
      <c r="AI367" s="1230"/>
      <c r="AJ367" s="1230"/>
      <c r="AK367" s="1230"/>
      <c r="AL367" s="1230"/>
    </row>
    <row r="368" spans="1:38" s="1233" customFormat="1">
      <c r="A368"/>
      <c r="B368" s="1"/>
      <c r="C368" s="1"/>
      <c r="D368"/>
      <c r="E368" s="1230"/>
      <c r="F368" s="1230"/>
      <c r="G368" s="1230"/>
      <c r="H368" s="1230"/>
      <c r="I368" s="1230"/>
      <c r="J368" s="1230"/>
      <c r="K368" s="1230"/>
      <c r="L368" s="1230"/>
      <c r="M368" s="1230"/>
      <c r="N368" s="1230"/>
      <c r="O368" s="1230"/>
      <c r="P368" s="1230"/>
      <c r="Q368" s="1230"/>
      <c r="R368" s="1230"/>
      <c r="S368" s="1230"/>
      <c r="T368" s="1230"/>
      <c r="U368" s="1230"/>
      <c r="V368" s="1230"/>
      <c r="W368" s="1230"/>
      <c r="X368" s="1230"/>
      <c r="Y368" s="1230"/>
      <c r="Z368" s="1230"/>
      <c r="AA368" s="1230"/>
      <c r="AB368" s="1230"/>
      <c r="AC368" s="1230"/>
      <c r="AD368" s="1230"/>
      <c r="AE368" s="1230"/>
      <c r="AF368" s="1230"/>
      <c r="AG368" s="1230"/>
      <c r="AH368" s="1230"/>
      <c r="AI368" s="1230"/>
      <c r="AJ368" s="1230"/>
      <c r="AK368" s="1230"/>
      <c r="AL368" s="1230"/>
    </row>
    <row r="369" spans="1:38">
      <c r="B369" s="1"/>
      <c r="E369" s="2"/>
      <c r="F369" s="1144"/>
      <c r="G369" s="1144"/>
      <c r="H369" s="1144"/>
      <c r="I369" s="1144"/>
      <c r="J369" s="1144"/>
      <c r="K369" s="1144"/>
      <c r="L369" s="1144"/>
      <c r="M369" s="1144"/>
      <c r="N369" s="1144"/>
      <c r="O369" s="1144"/>
      <c r="P369" s="1144"/>
      <c r="Q369" s="1144"/>
      <c r="R369" s="1144"/>
      <c r="S369" s="1144"/>
      <c r="T369" s="1144"/>
      <c r="U369" s="1144"/>
      <c r="V369" s="1144"/>
      <c r="W369" s="1144"/>
      <c r="X369" s="1144"/>
      <c r="Y369" s="1144"/>
      <c r="Z369" s="1144"/>
      <c r="AA369" s="1144"/>
      <c r="AB369" s="1144"/>
      <c r="AC369" s="1144"/>
      <c r="AD369" s="1144"/>
      <c r="AE369" s="1144"/>
      <c r="AF369" s="1144"/>
      <c r="AG369" s="1144"/>
      <c r="AH369" s="1144"/>
      <c r="AI369" s="1144"/>
      <c r="AJ369" s="1144"/>
      <c r="AK369" s="1144"/>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6"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6"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6"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1"/>
      <c r="E387" s="2"/>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1"/>
      <c r="E388" s="2"/>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1"/>
      <c r="E389" s="2"/>
      <c r="F389" s="1113"/>
      <c r="G389" s="1113"/>
      <c r="H389" s="1113"/>
      <c r="I389" s="1113"/>
      <c r="J389" s="1113"/>
      <c r="K389" s="1113"/>
      <c r="L389" s="1113"/>
      <c r="M389" s="1113"/>
      <c r="N389" s="1113"/>
      <c r="O389" s="1113"/>
      <c r="P389" s="1113"/>
      <c r="Q389" s="1113"/>
      <c r="R389" s="1113"/>
      <c r="S389" s="1113"/>
      <c r="T389" s="1113"/>
      <c r="U389" s="1113"/>
      <c r="V389" s="1113"/>
      <c r="W389" s="1113"/>
      <c r="X389" s="1113"/>
      <c r="Y389" s="1113"/>
      <c r="Z389" s="1113"/>
      <c r="AA389" s="1113"/>
      <c r="AB389" s="1113"/>
      <c r="AC389" s="1113"/>
      <c r="AD389" s="1113"/>
      <c r="AE389" s="1113"/>
      <c r="AF389" s="1113"/>
      <c r="AG389" s="1113"/>
      <c r="AH389" s="1113"/>
      <c r="AI389" s="1113"/>
      <c r="AJ389" s="1113"/>
      <c r="AK389" s="1113"/>
      <c r="AL389" s="1117"/>
    </row>
    <row r="390" spans="1:38">
      <c r="B390" s="1"/>
      <c r="C390" s="1"/>
      <c r="D390" s="1" t="s">
        <v>106</v>
      </c>
      <c r="E390" s="1" t="s">
        <v>291</v>
      </c>
      <c r="F390" s="2"/>
      <c r="G390" s="1"/>
      <c r="I390" s="70"/>
      <c r="J390" s="2"/>
      <c r="K390" s="2"/>
      <c r="L390" s="2"/>
      <c r="M390" s="2"/>
      <c r="N390" s="2"/>
      <c r="O390" s="2"/>
      <c r="P390" s="2"/>
      <c r="Q390" s="2"/>
      <c r="R390" s="2"/>
      <c r="S390" s="2"/>
    </row>
    <row r="391" spans="1:38" ht="13.2" customHeight="1">
      <c r="B391" s="1"/>
      <c r="D391" s="1"/>
      <c r="E391" s="2" t="s">
        <v>292</v>
      </c>
      <c r="F391" s="1144"/>
      <c r="G391" s="1144"/>
      <c r="H391" s="1144"/>
      <c r="I391" s="1144"/>
      <c r="J391" s="1144"/>
      <c r="K391" s="1144"/>
      <c r="L391" s="1144"/>
      <c r="M391" s="1144"/>
      <c r="N391" s="1144"/>
      <c r="O391" s="1144"/>
      <c r="P391" s="1144"/>
      <c r="Q391" s="1144"/>
      <c r="R391" s="1144"/>
      <c r="S391" s="1144"/>
      <c r="T391" s="1144"/>
      <c r="U391" s="1144"/>
      <c r="V391" s="1144"/>
      <c r="W391" s="1144"/>
      <c r="X391" s="1144"/>
      <c r="Y391" s="1144"/>
      <c r="Z391" s="1144"/>
      <c r="AA391" s="1144"/>
      <c r="AB391" s="1144"/>
      <c r="AC391" s="1144"/>
      <c r="AD391" s="1144"/>
      <c r="AE391" s="1144"/>
      <c r="AF391" s="1144"/>
      <c r="AG391" s="1144"/>
      <c r="AH391" s="1144"/>
      <c r="AI391" s="1144"/>
      <c r="AJ391" s="1144"/>
      <c r="AK391" s="1144"/>
    </row>
    <row r="392" spans="1:38">
      <c r="B392" s="1"/>
      <c r="E392" t="s">
        <v>287</v>
      </c>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311"/>
      <c r="AF392" s="311"/>
      <c r="AG392" s="311"/>
      <c r="AH392" s="311"/>
      <c r="AI392" s="311"/>
      <c r="AJ392" s="311"/>
      <c r="AK392" s="311"/>
      <c r="AL392" s="311"/>
    </row>
    <row r="393" spans="1:38" s="96"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6"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12" sqref="I112"/>
    </sheetView>
  </sheetViews>
  <sheetFormatPr defaultColWidth="9.33203125" defaultRowHeight="13.8"/>
  <cols>
    <col min="1" max="1" width="2.33203125" style="828" customWidth="1"/>
    <col min="2" max="9" width="14.6640625" style="828" customWidth="1"/>
    <col min="10" max="10" width="2.33203125" style="828" customWidth="1"/>
    <col min="11" max="11" width="11.6640625" style="829" customWidth="1"/>
    <col min="12" max="12" width="10.6640625" style="828" customWidth="1"/>
    <col min="13" max="13" width="10.33203125" style="828" customWidth="1"/>
    <col min="14" max="14" width="10.6640625" style="828" customWidth="1"/>
    <col min="15" max="18" width="9.33203125" style="828"/>
    <col min="19" max="19" width="9.33203125" style="828" bestFit="1" customWidth="1"/>
    <col min="20" max="16384" width="9.33203125" style="828"/>
  </cols>
  <sheetData>
    <row r="1" spans="1:13" ht="30" customHeight="1">
      <c r="A1" s="2599" t="s">
        <v>2575</v>
      </c>
      <c r="B1" s="2599"/>
      <c r="C1" s="2599"/>
      <c r="D1" s="2599"/>
      <c r="E1" s="2599"/>
      <c r="F1" s="2599"/>
      <c r="G1" s="2599"/>
      <c r="H1" s="2599"/>
      <c r="I1" s="2599"/>
      <c r="J1" s="2599"/>
    </row>
    <row r="2" spans="1:13" ht="15" customHeight="1" thickBot="1">
      <c r="A2" s="830"/>
      <c r="B2" s="830"/>
      <c r="I2" s="831"/>
      <c r="K2" s="832"/>
    </row>
    <row r="3" spans="1:13" s="835" customFormat="1" ht="20.100000000000001" customHeight="1">
      <c r="A3" s="883"/>
      <c r="B3" s="884"/>
      <c r="C3" s="885"/>
      <c r="D3" s="890"/>
      <c r="E3" s="885"/>
      <c r="F3" s="886" t="s">
        <v>2576</v>
      </c>
      <c r="G3" s="885"/>
      <c r="H3" s="887">
        <f>E18</f>
        <v>35185268</v>
      </c>
      <c r="I3" s="888"/>
    </row>
    <row r="4" spans="1:13" s="835" customFormat="1" ht="20.100000000000001" customHeight="1">
      <c r="B4" s="877"/>
      <c r="D4" s="891"/>
      <c r="F4" s="875" t="s">
        <v>2577</v>
      </c>
      <c r="G4" s="874" t="s">
        <v>2578</v>
      </c>
      <c r="H4" s="876">
        <f>I18</f>
        <v>46270718.118464053</v>
      </c>
      <c r="I4" s="878"/>
      <c r="K4" s="839"/>
    </row>
    <row r="5" spans="1:13" s="835" customFormat="1" ht="20.100000000000001" customHeight="1" thickBot="1">
      <c r="B5" s="879"/>
      <c r="C5" s="880"/>
      <c r="D5" s="892"/>
      <c r="E5" s="881"/>
      <c r="F5" s="892" t="s">
        <v>2579</v>
      </c>
      <c r="G5" s="893"/>
      <c r="H5" s="889">
        <f>IFERROR(H3/H4,0)</f>
        <v>0.76042191326958308</v>
      </c>
      <c r="I5" s="882"/>
      <c r="K5" s="839"/>
    </row>
    <row r="6" spans="1:13" s="835" customFormat="1" ht="15" customHeight="1">
      <c r="B6" s="836"/>
      <c r="C6" s="837"/>
      <c r="F6" s="838"/>
      <c r="K6" s="839"/>
    </row>
    <row r="7" spans="1:13" s="835" customFormat="1" ht="15" customHeight="1">
      <c r="E7" s="840"/>
      <c r="F7" s="838"/>
      <c r="K7" s="841"/>
    </row>
    <row r="8" spans="1:13" s="835" customFormat="1" ht="15" customHeight="1">
      <c r="A8" s="842"/>
      <c r="B8" s="2602" t="s">
        <v>2580</v>
      </c>
      <c r="C8" s="2603"/>
      <c r="D8" s="2603"/>
      <c r="E8" s="2604"/>
      <c r="G8" s="2579" t="s">
        <v>2581</v>
      </c>
      <c r="H8" s="2580"/>
      <c r="I8" s="2581"/>
      <c r="K8" s="841"/>
    </row>
    <row r="9" spans="1:13" ht="15" customHeight="1">
      <c r="A9" s="830"/>
      <c r="B9" s="2600" t="s">
        <v>2582</v>
      </c>
      <c r="C9" s="2600"/>
      <c r="D9" s="2600"/>
      <c r="E9" s="843">
        <f>G33</f>
        <v>6100000</v>
      </c>
      <c r="G9" s="2592" t="s">
        <v>2583</v>
      </c>
      <c r="H9" s="2592"/>
      <c r="I9" s="844">
        <f>SUMIF(Application!M554:M565,"Loan, Tax-Exempt",Application!AM554:AM565)</f>
        <v>37786055</v>
      </c>
      <c r="K9" s="845"/>
      <c r="M9" s="846"/>
    </row>
    <row r="10" spans="1:13" ht="15" customHeight="1" thickBot="1">
      <c r="A10" s="830"/>
      <c r="B10" s="2600" t="s">
        <v>2584</v>
      </c>
      <c r="C10" s="2600"/>
      <c r="D10" s="2600"/>
      <c r="E10" s="844">
        <f>G47</f>
        <v>16787268.000000004</v>
      </c>
      <c r="G10" s="2606" t="s">
        <v>2585</v>
      </c>
      <c r="H10" s="2606"/>
      <c r="I10" s="922">
        <f>'Basis &amp; Credits'!AB78</f>
        <v>18494735</v>
      </c>
      <c r="M10" s="846"/>
    </row>
    <row r="11" spans="1:13" ht="15" customHeight="1">
      <c r="A11" s="830"/>
      <c r="B11" s="2593" t="s">
        <v>2586</v>
      </c>
      <c r="C11" s="2594"/>
      <c r="D11" s="2595"/>
      <c r="E11" s="844">
        <f>SUM(E12,E13)</f>
        <v>220000</v>
      </c>
      <c r="G11" s="2591" t="s">
        <v>2587</v>
      </c>
      <c r="H11" s="2591"/>
      <c r="I11" s="921">
        <f>I9+I10</f>
        <v>56280790</v>
      </c>
      <c r="M11" s="846"/>
    </row>
    <row r="12" spans="1:13" ht="15" customHeight="1">
      <c r="A12" s="847"/>
      <c r="B12" s="2601" t="s">
        <v>2588</v>
      </c>
      <c r="C12" s="2601"/>
      <c r="D12" s="2601"/>
      <c r="E12" s="946">
        <f>G56</f>
        <v>0</v>
      </c>
      <c r="M12" s="846"/>
    </row>
    <row r="13" spans="1:13" ht="15" customHeight="1">
      <c r="A13" s="833"/>
      <c r="B13" s="2601" t="s">
        <v>2589</v>
      </c>
      <c r="C13" s="2601"/>
      <c r="D13" s="2601"/>
      <c r="E13" s="946">
        <f>G65</f>
        <v>220000</v>
      </c>
      <c r="G13" s="2579" t="s">
        <v>2590</v>
      </c>
      <c r="H13" s="2580"/>
      <c r="I13" s="2581"/>
      <c r="M13" s="846"/>
    </row>
    <row r="14" spans="1:13" ht="15" customHeight="1">
      <c r="A14" s="833"/>
      <c r="B14" s="2593" t="s">
        <v>2591</v>
      </c>
      <c r="C14" s="2594"/>
      <c r="D14" s="2595"/>
      <c r="E14" s="948">
        <f>MAX(E15,E16)+E17</f>
        <v>12078000</v>
      </c>
      <c r="G14" s="2592" t="s">
        <v>1773</v>
      </c>
      <c r="H14" s="2592"/>
      <c r="I14" s="848">
        <f>15%*(AND(G120="Yes",G122&lt;&gt;""))</f>
        <v>0</v>
      </c>
      <c r="M14" s="846"/>
    </row>
    <row r="15" spans="1:13" ht="15" customHeight="1">
      <c r="A15" s="833"/>
      <c r="B15" s="2576" t="s">
        <v>2592</v>
      </c>
      <c r="C15" s="2577"/>
      <c r="D15" s="2578"/>
      <c r="E15" s="946">
        <f>G80</f>
        <v>3660000</v>
      </c>
      <c r="G15" s="1223" t="s">
        <v>1898</v>
      </c>
      <c r="H15" s="1223"/>
      <c r="I15" s="848">
        <f>IF(Application!AJ1032&gt;0,10%,IF(Application!AJ1036&gt;0,5%,0))</f>
        <v>0.05</v>
      </c>
      <c r="M15" s="846"/>
    </row>
    <row r="16" spans="1:13" ht="15" customHeight="1">
      <c r="A16" s="833"/>
      <c r="B16" s="2576" t="s">
        <v>2593</v>
      </c>
      <c r="C16" s="2577"/>
      <c r="D16" s="2578"/>
      <c r="E16" s="946">
        <f>G90</f>
        <v>0</v>
      </c>
      <c r="G16" s="2592" t="s">
        <v>2594</v>
      </c>
      <c r="H16" s="2592"/>
      <c r="I16" s="848">
        <f>G132</f>
        <v>0.127859477124183</v>
      </c>
    </row>
    <row r="17" spans="1:21" ht="15" customHeight="1" thickBot="1">
      <c r="A17" s="833"/>
      <c r="B17" s="2576" t="s">
        <v>2595</v>
      </c>
      <c r="C17" s="2577"/>
      <c r="D17" s="2578"/>
      <c r="E17" s="946">
        <f>G115</f>
        <v>8418000</v>
      </c>
      <c r="G17" s="2592" t="s">
        <v>2596</v>
      </c>
      <c r="H17" s="2592"/>
      <c r="I17" s="848">
        <f>IF(AND(G139="Yes",OR(G136,G137)),IF(G143&gt;15%,15%,G143),0)</f>
        <v>0</v>
      </c>
    </row>
    <row r="18" spans="1:21" ht="15" customHeight="1">
      <c r="A18" s="830"/>
      <c r="B18" s="2605" t="s">
        <v>2597</v>
      </c>
      <c r="C18" s="2605"/>
      <c r="D18" s="2605"/>
      <c r="E18" s="894">
        <f>SUM(E9:E11,E14)</f>
        <v>35185268</v>
      </c>
      <c r="G18" s="920" t="s">
        <v>2598</v>
      </c>
      <c r="H18" s="920"/>
      <c r="I18" s="895">
        <f>I11-((I11*I14)+(I11*I15)+(I11*I16)+(I11*I17))</f>
        <v>46270718.118464053</v>
      </c>
      <c r="M18" s="849">
        <f>SUM(Cdlac[Quantity])</f>
        <v>99</v>
      </c>
      <c r="O18" s="868" t="s">
        <v>933</v>
      </c>
      <c r="P18" s="828">
        <f>MATCH(Application!T189,Application!CB160:CB217,0)</f>
        <v>43</v>
      </c>
      <c r="T18" s="849">
        <f>SUM(Cdlac[Population])</f>
        <v>0</v>
      </c>
    </row>
    <row r="19" spans="1:21" ht="15" customHeight="1">
      <c r="A19" s="830"/>
      <c r="B19" s="830"/>
      <c r="C19" s="830"/>
      <c r="D19" s="830"/>
      <c r="E19" s="830"/>
      <c r="L19" s="828" t="s">
        <v>2599</v>
      </c>
      <c r="M19" s="828" t="s">
        <v>2600</v>
      </c>
      <c r="N19" s="828" t="s">
        <v>2601</v>
      </c>
      <c r="O19" s="828" t="s">
        <v>2602</v>
      </c>
      <c r="P19" s="828" t="s">
        <v>2603</v>
      </c>
      <c r="Q19" s="828" t="s">
        <v>2604</v>
      </c>
      <c r="R19" s="828" t="s">
        <v>2605</v>
      </c>
      <c r="S19" s="828" t="s">
        <v>2606</v>
      </c>
      <c r="T19" s="828" t="s">
        <v>2607</v>
      </c>
      <c r="U19" s="828" t="s">
        <v>995</v>
      </c>
    </row>
    <row r="20" spans="1:21" ht="15" customHeight="1">
      <c r="B20" s="850" t="str">
        <f>B9</f>
        <v>A. Unit Production Benefit</v>
      </c>
      <c r="C20" s="851"/>
      <c r="D20" s="851"/>
      <c r="E20" s="851"/>
      <c r="F20" s="851"/>
      <c r="G20" s="851"/>
      <c r="H20" s="851"/>
      <c r="I20" s="852"/>
      <c r="L20" s="828">
        <f>IFERROR(MIN(4,MATCH(Application!B718,UnitSizes,0)-1),"")</f>
        <v>1</v>
      </c>
      <c r="M20" s="849">
        <f>Application!G718</f>
        <v>16</v>
      </c>
      <c r="N20" s="855">
        <f>Application!AC718</f>
        <v>0.7</v>
      </c>
      <c r="O20" s="855">
        <f>IF(Cdlac[[#This Row],[Quantity]]&gt;0,IF(Cdlac[[#This Row],[Federal]],30%,IF(AND(OR(NOT($G$38),$G$38=""),$G$43),40%,Cdlac[[#This Row],[iAMI]])),"")</f>
        <v>0.7</v>
      </c>
      <c r="P20" s="849" cm="1">
        <f t="array" ref="P20">IF(Cdlac[[#This Row],[Quantity]]&gt;0,INDEX(TcacRents,$P$18,Cdlac[[#This Row],[Bedrooms]]+1)*Cdlac[[#This Row],[AMI]],"")</f>
        <v>2637.6</v>
      </c>
      <c r="Q20" s="945"/>
      <c r="R20" s="849" cm="1">
        <f t="array" ref="R20">IF(Cdlac[[#This Row],[Quantity]]&gt;0,INDEX(HudFmrs,$P$18,Cdlac[[#This Row],[Bedrooms]]+1),"")</f>
        <v>2975</v>
      </c>
      <c r="S20" s="849">
        <f>IF(Cdlac[[#This Row],[Quantity]]&gt;0,MAX(0,Cdlac[[#This Row],[Fair Market Rent]]-IF(AND($G$37,$G$38,$G$38&lt;&gt;"",NOT(Cdlac[[#This Row],[Federal]]),Cdlac[[#This Row],[Preservation Rent]]&lt;&gt;""),Cdlac[[#This Row],[Preservation Rent]],Cdlac[[#This Row],[Restricted Rent]])),"")</f>
        <v>337.40000000000009</v>
      </c>
      <c r="T20" s="828">
        <f>IF(Cdlac[[#This Row],[Quantity]]&gt;0,AND(Application!AK718&lt;&gt;"N/A",Application!AK718&lt;&gt;"")*Cdlac[[#This Row],[Quantity]],"")</f>
        <v>0</v>
      </c>
      <c r="U20" s="828" t="b">
        <f>AND('Subsidy Contract Calculation'!F4&gt;0,OR('Subsidy Contract Calculation'!C4="Federal",'Subsidy Contract Calculation'!C4="Local - Approved by ED"),Cdlac[[#This Row],[Quantity]]&gt;0)</f>
        <v>0</v>
      </c>
    </row>
    <row r="21" spans="1:21" ht="15" customHeight="1">
      <c r="A21" s="830"/>
      <c r="B21" s="830"/>
      <c r="I21" s="853"/>
      <c r="L21" s="828">
        <f>IFERROR(MIN(4,MATCH(Application!B719,UnitSizes,0)-1),"")</f>
        <v>1</v>
      </c>
      <c r="M21" s="849">
        <f>Application!G719</f>
        <v>12</v>
      </c>
      <c r="N21" s="855">
        <f>Application!AC719</f>
        <v>0.6</v>
      </c>
      <c r="O21" s="855">
        <f>IF(Cdlac[[#This Row],[Quantity]]&gt;0,IF(Cdlac[[#This Row],[Federal]],30%,IF(AND(OR(NOT($G$38),$G$38=""),$G$43),40%,Cdlac[[#This Row],[iAMI]])),"")</f>
        <v>0.6</v>
      </c>
      <c r="P21" s="849" cm="1">
        <f t="array" ref="P21">IF(Cdlac[[#This Row],[Quantity]]&gt;0,INDEX(TcacRents,$P$18,Cdlac[[#This Row],[Bedrooms]]+1)*Cdlac[[#This Row],[AMI]],"")</f>
        <v>2260.7999999999997</v>
      </c>
      <c r="Q21" s="945"/>
      <c r="R21" s="849" cm="1">
        <f t="array" ref="R21">IF(Cdlac[[#This Row],[Quantity]]&gt;0,INDEX(HudFmrs,$P$18,Cdlac[[#This Row],[Bedrooms]]+1),"")</f>
        <v>2975</v>
      </c>
      <c r="S21" s="849">
        <f>IF(Cdlac[[#This Row],[Quantity]]&gt;0,MAX(0,Cdlac[[#This Row],[Fair Market Rent]]-IF(AND($G$37,$G$38,$G$38&lt;&gt;"",NOT(Cdlac[[#This Row],[Federal]]),Cdlac[[#This Row],[Preservation Rent]]&lt;&gt;""),Cdlac[[#This Row],[Preservation Rent]],Cdlac[[#This Row],[Restricted Rent]])),"")</f>
        <v>714.20000000000027</v>
      </c>
      <c r="T21" s="828">
        <f>IF(Cdlac[[#This Row],[Quantity]]&gt;0,AND(Application!AK719&lt;&gt;"N/A",Application!AK719&lt;&gt;"")*Cdlac[[#This Row],[Quantity]],"")</f>
        <v>0</v>
      </c>
      <c r="U21" s="828" t="b">
        <f>AND('Subsidy Contract Calculation'!F5&gt;0,OR('Subsidy Contract Calculation'!C5="Federal",'Subsidy Contract Calculation'!C5="Local - Approved by ED"),Cdlac[[#This Row],[Quantity]]&gt;0)</f>
        <v>0</v>
      </c>
    </row>
    <row r="22" spans="1:21" ht="15" customHeight="1">
      <c r="A22" s="833"/>
      <c r="C22" s="2583" t="s">
        <v>2608</v>
      </c>
      <c r="D22" s="2583" t="s">
        <v>2609</v>
      </c>
      <c r="E22" s="2583" t="s">
        <v>2610</v>
      </c>
      <c r="F22" s="2583" t="s">
        <v>2611</v>
      </c>
      <c r="G22" s="2583" t="s">
        <v>2612</v>
      </c>
      <c r="H22" s="854"/>
      <c r="I22" s="853"/>
      <c r="L22" s="828">
        <f>IFERROR(MIN(4,MATCH(Application!B720,UnitSizes,0)-1),"")</f>
        <v>1</v>
      </c>
      <c r="M22" s="849">
        <f>Application!G720</f>
        <v>4</v>
      </c>
      <c r="N22" s="855">
        <f>Application!AC720</f>
        <v>0.5</v>
      </c>
      <c r="O22" s="855">
        <f>IF(Cdlac[[#This Row],[Quantity]]&gt;0,IF(Cdlac[[#This Row],[Federal]],30%,IF(AND(OR(NOT($G$38),$G$38=""),$G$43),40%,Cdlac[[#This Row],[iAMI]])),"")</f>
        <v>0.5</v>
      </c>
      <c r="P22" s="849" cm="1">
        <f t="array" ref="P22">IF(Cdlac[[#This Row],[Quantity]]&gt;0,INDEX(TcacRents,$P$18,Cdlac[[#This Row],[Bedrooms]]+1)*Cdlac[[#This Row],[AMI]],"")</f>
        <v>1884</v>
      </c>
      <c r="Q22" s="945"/>
      <c r="R22" s="849" cm="1">
        <f t="array" ref="R22">IF(Cdlac[[#This Row],[Quantity]]&gt;0,INDEX(HudFmrs,$P$18,Cdlac[[#This Row],[Bedrooms]]+1),"")</f>
        <v>2975</v>
      </c>
      <c r="S22" s="849">
        <f>IF(Cdlac[[#This Row],[Quantity]]&gt;0,MAX(0,Cdlac[[#This Row],[Fair Market Rent]]-IF(AND($G$37,$G$38,$G$38&lt;&gt;"",NOT(Cdlac[[#This Row],[Federal]]),Cdlac[[#This Row],[Preservation Rent]]&lt;&gt;""),Cdlac[[#This Row],[Preservation Rent]],Cdlac[[#This Row],[Restricted Rent]])),"")</f>
        <v>1091</v>
      </c>
      <c r="T22" s="828">
        <f>IF(Cdlac[[#This Row],[Quantity]]&gt;0,AND(Application!AK720&lt;&gt;"N/A",Application!AK720&lt;&gt;"")*Cdlac[[#This Row],[Quantity]],"")</f>
        <v>0</v>
      </c>
      <c r="U22" s="828" t="b">
        <f>AND('Subsidy Contract Calculation'!F6&gt;0,OR('Subsidy Contract Calculation'!C6="Federal",'Subsidy Contract Calculation'!C6="Local - Approved by ED"),Cdlac[[#This Row],[Quantity]]&gt;0)</f>
        <v>0</v>
      </c>
    </row>
    <row r="23" spans="1:21" ht="15" customHeight="1">
      <c r="A23" s="833"/>
      <c r="C23" s="2584"/>
      <c r="D23" s="2584"/>
      <c r="E23" s="2584"/>
      <c r="F23" s="2584"/>
      <c r="G23" s="2584"/>
      <c r="H23" s="854"/>
      <c r="I23" s="853"/>
      <c r="L23" s="828">
        <f>IFERROR(MIN(4,MATCH(Application!B721,UnitSizes,0)-1),"")</f>
        <v>1</v>
      </c>
      <c r="M23" s="849">
        <f>Application!G721</f>
        <v>4</v>
      </c>
      <c r="N23" s="855">
        <f>Application!AC721</f>
        <v>0.3</v>
      </c>
      <c r="O23" s="855">
        <f>IF(Cdlac[[#This Row],[Quantity]]&gt;0,IF(Cdlac[[#This Row],[Federal]],30%,IF(AND(OR(NOT($G$38),$G$38=""),$G$43),40%,Cdlac[[#This Row],[iAMI]])),"")</f>
        <v>0.3</v>
      </c>
      <c r="P23" s="849" cm="1">
        <f t="array" ref="P23">IF(Cdlac[[#This Row],[Quantity]]&gt;0,INDEX(TcacRents,$P$18,Cdlac[[#This Row],[Bedrooms]]+1)*Cdlac[[#This Row],[AMI]],"")</f>
        <v>1130.3999999999999</v>
      </c>
      <c r="Q23" s="945"/>
      <c r="R23" s="849" cm="1">
        <f t="array" ref="R23">IF(Cdlac[[#This Row],[Quantity]]&gt;0,INDEX(HudFmrs,$P$18,Cdlac[[#This Row],[Bedrooms]]+1),"")</f>
        <v>2975</v>
      </c>
      <c r="S23" s="849">
        <f>IF(Cdlac[[#This Row],[Quantity]]&gt;0,MAX(0,Cdlac[[#This Row],[Fair Market Rent]]-IF(AND($G$37,$G$38,$G$38&lt;&gt;"",NOT(Cdlac[[#This Row],[Federal]]),Cdlac[[#This Row],[Preservation Rent]]&lt;&gt;""),Cdlac[[#This Row],[Preservation Rent]],Cdlac[[#This Row],[Restricted Rent]])),"")</f>
        <v>1844.6000000000001</v>
      </c>
      <c r="T23" s="828">
        <f>IF(Cdlac[[#This Row],[Quantity]]&gt;0,AND(Application!AK721&lt;&gt;"N/A",Application!AK721&lt;&gt;"")*Cdlac[[#This Row],[Quantity]],"")</f>
        <v>0</v>
      </c>
      <c r="U23" s="828" t="b">
        <f>AND('Subsidy Contract Calculation'!F7&gt;0,OR('Subsidy Contract Calculation'!C7="Federal",'Subsidy Contract Calculation'!C7="Local - Approved by ED"),Cdlac[[#This Row],[Quantity]]&gt;0)</f>
        <v>0</v>
      </c>
    </row>
    <row r="24" spans="1:21" ht="15" customHeight="1">
      <c r="C24" s="856">
        <v>0</v>
      </c>
      <c r="D24" s="857">
        <v>0.9</v>
      </c>
      <c r="E24" s="856">
        <f>SUMIFS(Cdlac[Quantity],Cdlac[Bedrooms],C24)</f>
        <v>0</v>
      </c>
      <c r="F24" s="856">
        <f>E24</f>
        <v>0</v>
      </c>
      <c r="G24" s="856">
        <f>D24*F24</f>
        <v>0</v>
      </c>
      <c r="L24" s="828">
        <f>IFERROR(MIN(4,MATCH(Application!B722,UnitSizes,0)-1),"")</f>
        <v>2</v>
      </c>
      <c r="M24" s="849">
        <f>Application!G722</f>
        <v>12</v>
      </c>
      <c r="N24" s="855">
        <f>Application!AC722</f>
        <v>0.7</v>
      </c>
      <c r="O24" s="855">
        <f>IF(Cdlac[[#This Row],[Quantity]]&gt;0,IF(Cdlac[[#This Row],[Federal]],30%,IF(AND(OR(NOT($G$38),$G$38=""),$G$43),40%,Cdlac[[#This Row],[iAMI]])),"")</f>
        <v>0.7</v>
      </c>
      <c r="P24" s="849" cm="1">
        <f t="array" ref="P24">IF(Cdlac[[#This Row],[Quantity]]&gt;0,INDEX(TcacRents,$P$18,Cdlac[[#This Row],[Bedrooms]]+1)*Cdlac[[#This Row],[AMI]],"")</f>
        <v>3165.3999999999996</v>
      </c>
      <c r="Q24" s="945"/>
      <c r="R24" s="849" cm="1">
        <f t="array" ref="R24">IF(Cdlac[[#This Row],[Quantity]]&gt;0,INDEX(HudFmrs,$P$18,Cdlac[[#This Row],[Bedrooms]]+1),"")</f>
        <v>3446</v>
      </c>
      <c r="S24" s="849">
        <f>IF(Cdlac[[#This Row],[Quantity]]&gt;0,MAX(0,Cdlac[[#This Row],[Fair Market Rent]]-IF(AND($G$37,$G$38,$G$38&lt;&gt;"",NOT(Cdlac[[#This Row],[Federal]]),Cdlac[[#This Row],[Preservation Rent]]&lt;&gt;""),Cdlac[[#This Row],[Preservation Rent]],Cdlac[[#This Row],[Restricted Rent]])),"")</f>
        <v>280.60000000000036</v>
      </c>
      <c r="T24" s="828">
        <f>IF(Cdlac[[#This Row],[Quantity]]&gt;0,AND(Application!AK722&lt;&gt;"N/A",Application!AK722&lt;&gt;"")*Cdlac[[#This Row],[Quantity]],"")</f>
        <v>0</v>
      </c>
      <c r="U24" s="828" t="b">
        <f>AND('Subsidy Contract Calculation'!F8&gt;0,OR('Subsidy Contract Calculation'!C8="Federal",'Subsidy Contract Calculation'!C8="Local - Approved by ED"),Cdlac[[#This Row],[Quantity]]&gt;0)</f>
        <v>0</v>
      </c>
    </row>
    <row r="25" spans="1:21" ht="15" customHeight="1">
      <c r="C25" s="856">
        <v>1</v>
      </c>
      <c r="D25" s="857">
        <v>1</v>
      </c>
      <c r="E25" s="856">
        <f>SUMIFS(Cdlac[Quantity],Cdlac[Bedrooms],C25)</f>
        <v>36</v>
      </c>
      <c r="F25" s="856">
        <f>E25</f>
        <v>36</v>
      </c>
      <c r="G25" s="856">
        <f>D25*F25</f>
        <v>36</v>
      </c>
      <c r="L25" s="828">
        <f>IFERROR(MIN(4,MATCH(Application!B723,UnitSizes,0)-1),"")</f>
        <v>2</v>
      </c>
      <c r="M25" s="849">
        <f>Application!G723</f>
        <v>10</v>
      </c>
      <c r="N25" s="855">
        <f>Application!AC723</f>
        <v>0.6</v>
      </c>
      <c r="O25" s="855">
        <f>IF(Cdlac[[#This Row],[Quantity]]&gt;0,IF(Cdlac[[#This Row],[Federal]],30%,IF(AND(OR(NOT($G$38),$G$38=""),$G$43),40%,Cdlac[[#This Row],[iAMI]])),"")</f>
        <v>0.6</v>
      </c>
      <c r="P25" s="849" cm="1">
        <f t="array" ref="P25">IF(Cdlac[[#This Row],[Quantity]]&gt;0,INDEX(TcacRents,$P$18,Cdlac[[#This Row],[Bedrooms]]+1)*Cdlac[[#This Row],[AMI]],"")</f>
        <v>2713.2</v>
      </c>
      <c r="Q25" s="945"/>
      <c r="R25" s="849" cm="1">
        <f t="array" ref="R25">IF(Cdlac[[#This Row],[Quantity]]&gt;0,INDEX(HudFmrs,$P$18,Cdlac[[#This Row],[Bedrooms]]+1),"")</f>
        <v>3446</v>
      </c>
      <c r="S25" s="849">
        <f>IF(Cdlac[[#This Row],[Quantity]]&gt;0,MAX(0,Cdlac[[#This Row],[Fair Market Rent]]-IF(AND($G$37,$G$38,$G$38&lt;&gt;"",NOT(Cdlac[[#This Row],[Federal]]),Cdlac[[#This Row],[Preservation Rent]]&lt;&gt;""),Cdlac[[#This Row],[Preservation Rent]],Cdlac[[#This Row],[Restricted Rent]])),"")</f>
        <v>732.80000000000018</v>
      </c>
      <c r="T25" s="828">
        <f>IF(Cdlac[[#This Row],[Quantity]]&gt;0,AND(Application!AK723&lt;&gt;"N/A",Application!AK723&lt;&gt;"")*Cdlac[[#This Row],[Quantity]],"")</f>
        <v>0</v>
      </c>
      <c r="U25" s="828" t="b">
        <f>AND('Subsidy Contract Calculation'!F9&gt;0,OR('Subsidy Contract Calculation'!C9="Federal",'Subsidy Contract Calculation'!C9="Local - Approved by ED"),Cdlac[[#This Row],[Quantity]]&gt;0)</f>
        <v>0</v>
      </c>
    </row>
    <row r="26" spans="1:21" ht="15" customHeight="1">
      <c r="A26" s="858"/>
      <c r="C26" s="859">
        <v>2</v>
      </c>
      <c r="D26" s="857">
        <v>1.25</v>
      </c>
      <c r="E26" s="856">
        <f>SUMIFS(Cdlac[Quantity],Cdlac[Bedrooms],C26)</f>
        <v>28</v>
      </c>
      <c r="F26" s="859">
        <f>SUM(E26:E28)-SUM(F27:F28)</f>
        <v>34</v>
      </c>
      <c r="G26" s="856">
        <f>D26*F26</f>
        <v>42.5</v>
      </c>
      <c r="H26" s="858"/>
      <c r="I26" s="858"/>
      <c r="L26" s="828">
        <f>IFERROR(MIN(4,MATCH(Application!B724,UnitSizes,0)-1),"")</f>
        <v>2</v>
      </c>
      <c r="M26" s="849">
        <f>Application!G724</f>
        <v>3</v>
      </c>
      <c r="N26" s="855">
        <f>Application!AC724</f>
        <v>0.5</v>
      </c>
      <c r="O26" s="855">
        <f>IF(Cdlac[[#This Row],[Quantity]]&gt;0,IF(Cdlac[[#This Row],[Federal]],30%,IF(AND(OR(NOT($G$38),$G$38=""),$G$43),40%,Cdlac[[#This Row],[iAMI]])),"")</f>
        <v>0.5</v>
      </c>
      <c r="P26" s="849" cm="1">
        <f t="array" ref="P26">IF(Cdlac[[#This Row],[Quantity]]&gt;0,INDEX(TcacRents,$P$18,Cdlac[[#This Row],[Bedrooms]]+1)*Cdlac[[#This Row],[AMI]],"")</f>
        <v>2261</v>
      </c>
      <c r="Q26" s="945"/>
      <c r="R26" s="849" cm="1">
        <f t="array" ref="R26">IF(Cdlac[[#This Row],[Quantity]]&gt;0,INDEX(HudFmrs,$P$18,Cdlac[[#This Row],[Bedrooms]]+1),"")</f>
        <v>3446</v>
      </c>
      <c r="S26" s="849">
        <f>IF(Cdlac[[#This Row],[Quantity]]&gt;0,MAX(0,Cdlac[[#This Row],[Fair Market Rent]]-IF(AND($G$37,$G$38,$G$38&lt;&gt;"",NOT(Cdlac[[#This Row],[Federal]]),Cdlac[[#This Row],[Preservation Rent]]&lt;&gt;""),Cdlac[[#This Row],[Preservation Rent]],Cdlac[[#This Row],[Restricted Rent]])),"")</f>
        <v>1185</v>
      </c>
      <c r="T26" s="828">
        <f>IF(Cdlac[[#This Row],[Quantity]]&gt;0,AND(Application!AK724&lt;&gt;"N/A",Application!AK724&lt;&gt;"")*Cdlac[[#This Row],[Quantity]],"")</f>
        <v>0</v>
      </c>
      <c r="U26" s="828" t="b">
        <f>AND('Subsidy Contract Calculation'!F10&gt;0,OR('Subsidy Contract Calculation'!C10="Federal",'Subsidy Contract Calculation'!C10="Local - Approved by ED"),Cdlac[[#This Row],[Quantity]]&gt;0)</f>
        <v>0</v>
      </c>
    </row>
    <row r="27" spans="1:21" ht="15" customHeight="1">
      <c r="A27" s="858"/>
      <c r="C27" s="859">
        <v>3</v>
      </c>
      <c r="D27" s="857">
        <f>1.5+0.25*0</f>
        <v>1.5</v>
      </c>
      <c r="E27" s="856">
        <f>SUMIFS(Cdlac[Quantity],Cdlac[Bedrooms],C27)</f>
        <v>35</v>
      </c>
      <c r="F27" s="859">
        <f>MIN(E27,ROUNDDOWN(E29*30%,0))</f>
        <v>29</v>
      </c>
      <c r="G27" s="856">
        <f>D27*F27</f>
        <v>43.5</v>
      </c>
      <c r="H27" s="858"/>
      <c r="I27" s="858"/>
      <c r="L27" s="828">
        <f>IFERROR(MIN(4,MATCH(Application!B725,UnitSizes,0)-1),"")</f>
        <v>2</v>
      </c>
      <c r="M27" s="849">
        <f>Application!G725</f>
        <v>3</v>
      </c>
      <c r="N27" s="855">
        <f>Application!AC725</f>
        <v>0.3</v>
      </c>
      <c r="O27" s="855">
        <f>IF(Cdlac[[#This Row],[Quantity]]&gt;0,IF(Cdlac[[#This Row],[Federal]],30%,IF(AND(OR(NOT($G$38),$G$38=""),$G$43),40%,Cdlac[[#This Row],[iAMI]])),"")</f>
        <v>0.3</v>
      </c>
      <c r="P27" s="849" cm="1">
        <f t="array" ref="P27">IF(Cdlac[[#This Row],[Quantity]]&gt;0,INDEX(TcacRents,$P$18,Cdlac[[#This Row],[Bedrooms]]+1)*Cdlac[[#This Row],[AMI]],"")</f>
        <v>1356.6</v>
      </c>
      <c r="Q27" s="945"/>
      <c r="R27" s="849" cm="1">
        <f t="array" ref="R27">IF(Cdlac[[#This Row],[Quantity]]&gt;0,INDEX(HudFmrs,$P$18,Cdlac[[#This Row],[Bedrooms]]+1),"")</f>
        <v>3446</v>
      </c>
      <c r="S27" s="849">
        <f>IF(Cdlac[[#This Row],[Quantity]]&gt;0,MAX(0,Cdlac[[#This Row],[Fair Market Rent]]-IF(AND($G$37,$G$38,$G$38&lt;&gt;"",NOT(Cdlac[[#This Row],[Federal]]),Cdlac[[#This Row],[Preservation Rent]]&lt;&gt;""),Cdlac[[#This Row],[Preservation Rent]],Cdlac[[#This Row],[Restricted Rent]])),"")</f>
        <v>2089.4</v>
      </c>
      <c r="T27" s="828">
        <f>IF(Cdlac[[#This Row],[Quantity]]&gt;0,AND(Application!AK725&lt;&gt;"N/A",Application!AK725&lt;&gt;"")*Cdlac[[#This Row],[Quantity]],"")</f>
        <v>0</v>
      </c>
      <c r="U27" s="828" t="b">
        <f>AND('Subsidy Contract Calculation'!F11&gt;0,OR('Subsidy Contract Calculation'!C11="Federal",'Subsidy Contract Calculation'!C11="Local - Approved by ED"),Cdlac[[#This Row],[Quantity]]&gt;0)</f>
        <v>0</v>
      </c>
    </row>
    <row r="28" spans="1:21" ht="15" customHeight="1" thickBot="1">
      <c r="A28" s="858"/>
      <c r="C28" s="869">
        <v>4</v>
      </c>
      <c r="D28" s="870">
        <f>1.75+0.25*0</f>
        <v>1.75</v>
      </c>
      <c r="E28" s="871">
        <f>SUMIFS(Cdlac[Quantity],Cdlac[Bedrooms],C28)</f>
        <v>0</v>
      </c>
      <c r="F28" s="869">
        <f>MIN(E28,ROUNDDOWN(E29*10%,0))</f>
        <v>0</v>
      </c>
      <c r="G28" s="871">
        <f>D28*F28</f>
        <v>0</v>
      </c>
      <c r="H28" s="858"/>
      <c r="I28" s="858"/>
      <c r="L28" s="828">
        <f>IFERROR(MIN(4,MATCH(Application!B726,UnitSizes,0)-1),"")</f>
        <v>3</v>
      </c>
      <c r="M28" s="849">
        <f>Application!G726</f>
        <v>16</v>
      </c>
      <c r="N28" s="855">
        <f>Application!AC726</f>
        <v>0.7</v>
      </c>
      <c r="O28" s="855">
        <f>IF(Cdlac[[#This Row],[Quantity]]&gt;0,IF(Cdlac[[#This Row],[Federal]],30%,IF(AND(OR(NOT($G$38),$G$38=""),$G$43),40%,Cdlac[[#This Row],[iAMI]])),"")</f>
        <v>0.7</v>
      </c>
      <c r="P28" s="849" cm="1">
        <f t="array" ref="P28">IF(Cdlac[[#This Row],[Quantity]]&gt;0,INDEX(TcacRents,$P$18,Cdlac[[#This Row],[Bedrooms]]+1)*Cdlac[[#This Row],[AMI]],"")</f>
        <v>3655.3999999999996</v>
      </c>
      <c r="Q28" s="945"/>
      <c r="R28" s="849" cm="1">
        <f t="array" ref="R28">IF(Cdlac[[#This Row],[Quantity]]&gt;0,INDEX(HudFmrs,$P$18,Cdlac[[#This Row],[Bedrooms]]+1),"")</f>
        <v>4477</v>
      </c>
      <c r="S28" s="849">
        <f>IF(Cdlac[[#This Row],[Quantity]]&gt;0,MAX(0,Cdlac[[#This Row],[Fair Market Rent]]-IF(AND($G$37,$G$38,$G$38&lt;&gt;"",NOT(Cdlac[[#This Row],[Federal]]),Cdlac[[#This Row],[Preservation Rent]]&lt;&gt;""),Cdlac[[#This Row],[Preservation Rent]],Cdlac[[#This Row],[Restricted Rent]])),"")</f>
        <v>821.60000000000036</v>
      </c>
      <c r="T28" s="828">
        <f>IF(Cdlac[[#This Row],[Quantity]]&gt;0,AND(Application!AK726&lt;&gt;"N/A",Application!AK726&lt;&gt;"")*Cdlac[[#This Row],[Quantity]],"")</f>
        <v>0</v>
      </c>
      <c r="U28" s="828" t="b">
        <f>AND('Subsidy Contract Calculation'!F12&gt;0,OR('Subsidy Contract Calculation'!C12="Federal",'Subsidy Contract Calculation'!C12="Local - Approved by ED"),Cdlac[[#This Row],[Quantity]]&gt;0)</f>
        <v>0</v>
      </c>
    </row>
    <row r="29" spans="1:21" ht="15" customHeight="1">
      <c r="A29" s="858"/>
      <c r="C29" s="2585" t="s">
        <v>1915</v>
      </c>
      <c r="D29" s="2586"/>
      <c r="E29" s="872">
        <f>SUM(E24:E28)</f>
        <v>99</v>
      </c>
      <c r="F29" s="872">
        <f>SUM(F24:F28)</f>
        <v>99</v>
      </c>
      <c r="G29" s="873">
        <f>SUMPRODUCT(D24:D28,F24:F28)</f>
        <v>122</v>
      </c>
      <c r="H29" s="858"/>
      <c r="I29" s="858"/>
      <c r="L29" s="828">
        <f>IFERROR(MIN(4,MATCH(Application!B727,UnitSizes,0)-1),"")</f>
        <v>3</v>
      </c>
      <c r="M29" s="849">
        <f>Application!G727</f>
        <v>11</v>
      </c>
      <c r="N29" s="855">
        <f>Application!AC727</f>
        <v>0.6</v>
      </c>
      <c r="O29" s="855">
        <f>IF(Cdlac[[#This Row],[Quantity]]&gt;0,IF(Cdlac[[#This Row],[Federal]],30%,IF(AND(OR(NOT($G$38),$G$38=""),$G$43),40%,Cdlac[[#This Row],[iAMI]])),"")</f>
        <v>0.6</v>
      </c>
      <c r="P29" s="849" cm="1">
        <f t="array" ref="P29">IF(Cdlac[[#This Row],[Quantity]]&gt;0,INDEX(TcacRents,$P$18,Cdlac[[#This Row],[Bedrooms]]+1)*Cdlac[[#This Row],[AMI]],"")</f>
        <v>3133.2</v>
      </c>
      <c r="Q29" s="945"/>
      <c r="R29" s="849" cm="1">
        <f t="array" ref="R29">IF(Cdlac[[#This Row],[Quantity]]&gt;0,INDEX(HudFmrs,$P$18,Cdlac[[#This Row],[Bedrooms]]+1),"")</f>
        <v>4477</v>
      </c>
      <c r="S29" s="849">
        <f>IF(Cdlac[[#This Row],[Quantity]]&gt;0,MAX(0,Cdlac[[#This Row],[Fair Market Rent]]-IF(AND($G$37,$G$38,$G$38&lt;&gt;"",NOT(Cdlac[[#This Row],[Federal]]),Cdlac[[#This Row],[Preservation Rent]]&lt;&gt;""),Cdlac[[#This Row],[Preservation Rent]],Cdlac[[#This Row],[Restricted Rent]])),"")</f>
        <v>1343.8000000000002</v>
      </c>
      <c r="T29" s="828">
        <f>IF(Cdlac[[#This Row],[Quantity]]&gt;0,AND(Application!AK727&lt;&gt;"N/A",Application!AK727&lt;&gt;"")*Cdlac[[#This Row],[Quantity]],"")</f>
        <v>0</v>
      </c>
      <c r="U29" s="828" t="b">
        <f>AND('Subsidy Contract Calculation'!F13&gt;0,OR('Subsidy Contract Calculation'!C13="Federal",'Subsidy Contract Calculation'!C13="Local - Approved by ED"),Cdlac[[#This Row],[Quantity]]&gt;0)</f>
        <v>0</v>
      </c>
    </row>
    <row r="30" spans="1:21" ht="15" customHeight="1">
      <c r="A30" s="858"/>
      <c r="C30" s="858"/>
      <c r="D30" s="858"/>
      <c r="E30" s="858"/>
      <c r="F30" s="858"/>
      <c r="G30" s="858"/>
      <c r="H30" s="858"/>
      <c r="I30" s="858"/>
      <c r="L30" s="828">
        <f>IFERROR(MIN(4,MATCH(Application!B728,UnitSizes,0)-1),"")</f>
        <v>3</v>
      </c>
      <c r="M30" s="849">
        <f>Application!G728</f>
        <v>4</v>
      </c>
      <c r="N30" s="855">
        <f>Application!AC728</f>
        <v>0.5</v>
      </c>
      <c r="O30" s="855">
        <f>IF(Cdlac[[#This Row],[Quantity]]&gt;0,IF(Cdlac[[#This Row],[Federal]],30%,IF(AND(OR(NOT($G$38),$G$38=""),$G$43),40%,Cdlac[[#This Row],[iAMI]])),"")</f>
        <v>0.5</v>
      </c>
      <c r="P30" s="849" cm="1">
        <f t="array" ref="P30">IF(Cdlac[[#This Row],[Quantity]]&gt;0,INDEX(TcacRents,$P$18,Cdlac[[#This Row],[Bedrooms]]+1)*Cdlac[[#This Row],[AMI]],"")</f>
        <v>2611</v>
      </c>
      <c r="Q30" s="945"/>
      <c r="R30" s="849" cm="1">
        <f t="array" ref="R30">IF(Cdlac[[#This Row],[Quantity]]&gt;0,INDEX(HudFmrs,$P$18,Cdlac[[#This Row],[Bedrooms]]+1),"")</f>
        <v>4477</v>
      </c>
      <c r="S30" s="849">
        <f>IF(Cdlac[[#This Row],[Quantity]]&gt;0,MAX(0,Cdlac[[#This Row],[Fair Market Rent]]-IF(AND($G$37,$G$38,$G$38&lt;&gt;"",NOT(Cdlac[[#This Row],[Federal]]),Cdlac[[#This Row],[Preservation Rent]]&lt;&gt;""),Cdlac[[#This Row],[Preservation Rent]],Cdlac[[#This Row],[Restricted Rent]])),"")</f>
        <v>1866</v>
      </c>
      <c r="T30" s="828">
        <f>IF(Cdlac[[#This Row],[Quantity]]&gt;0,AND(Application!AK728&lt;&gt;"N/A",Application!AK728&lt;&gt;"")*Cdlac[[#This Row],[Quantity]],"")</f>
        <v>0</v>
      </c>
      <c r="U30" s="828" t="b">
        <f>AND('Subsidy Contract Calculation'!F14&gt;0,OR('Subsidy Contract Calculation'!C14="Federal",'Subsidy Contract Calculation'!C14="Local - Approved by ED"),Cdlac[[#This Row],[Quantity]]&gt;0)</f>
        <v>0</v>
      </c>
    </row>
    <row r="31" spans="1:21" ht="15" customHeight="1">
      <c r="A31" s="858"/>
      <c r="E31" s="900" t="s">
        <v>2612</v>
      </c>
      <c r="G31" s="897">
        <f>G29</f>
        <v>122</v>
      </c>
      <c r="H31" s="858"/>
      <c r="I31" s="858"/>
      <c r="L31" s="828">
        <f>IFERROR(MIN(4,MATCH(Application!B729,UnitSizes,0)-1),"")</f>
        <v>3</v>
      </c>
      <c r="M31" s="849">
        <f>Application!G729</f>
        <v>4</v>
      </c>
      <c r="N31" s="855">
        <f>Application!AC729</f>
        <v>0.3</v>
      </c>
      <c r="O31" s="855">
        <f>IF(Cdlac[[#This Row],[Quantity]]&gt;0,IF(Cdlac[[#This Row],[Federal]],30%,IF(AND(OR(NOT($G$38),$G$38=""),$G$43),40%,Cdlac[[#This Row],[iAMI]])),"")</f>
        <v>0.3</v>
      </c>
      <c r="P31" s="849" cm="1">
        <f t="array" ref="P31">IF(Cdlac[[#This Row],[Quantity]]&gt;0,INDEX(TcacRents,$P$18,Cdlac[[#This Row],[Bedrooms]]+1)*Cdlac[[#This Row],[AMI]],"")</f>
        <v>1566.6</v>
      </c>
      <c r="Q31" s="945"/>
      <c r="R31" s="849" cm="1">
        <f t="array" ref="R31">IF(Cdlac[[#This Row],[Quantity]]&gt;0,INDEX(HudFmrs,$P$18,Cdlac[[#This Row],[Bedrooms]]+1),"")</f>
        <v>4477</v>
      </c>
      <c r="S31" s="849">
        <f>IF(Cdlac[[#This Row],[Quantity]]&gt;0,MAX(0,Cdlac[[#This Row],[Fair Market Rent]]-IF(AND($G$37,$G$38,$G$38&lt;&gt;"",NOT(Cdlac[[#This Row],[Federal]]),Cdlac[[#This Row],[Preservation Rent]]&lt;&gt;""),Cdlac[[#This Row],[Preservation Rent]],Cdlac[[#This Row],[Restricted Rent]])),"")</f>
        <v>2910.4</v>
      </c>
      <c r="T31" s="828">
        <f>IF(Cdlac[[#This Row],[Quantity]]&gt;0,AND(Application!AK729&lt;&gt;"N/A",Application!AK729&lt;&gt;"")*Cdlac[[#This Row],[Quantity]],"")</f>
        <v>0</v>
      </c>
      <c r="U31" s="828" t="b">
        <f>AND('Subsidy Contract Calculation'!F15&gt;0,OR('Subsidy Contract Calculation'!C15="Federal",'Subsidy Contract Calculation'!C15="Local - Approved by ED"),Cdlac[[#This Row],[Quantity]]&gt;0)</f>
        <v>0</v>
      </c>
    </row>
    <row r="32" spans="1:21" ht="15" customHeight="1">
      <c r="A32" s="858"/>
      <c r="E32" s="900" t="s">
        <v>2613</v>
      </c>
      <c r="F32" s="896" t="s">
        <v>2614</v>
      </c>
      <c r="G32" s="898">
        <v>50000</v>
      </c>
      <c r="H32" s="858"/>
      <c r="I32" s="858"/>
      <c r="L32" s="828" t="str">
        <f>IFERROR(MIN(4,MATCH(Application!B730,UnitSizes,0)-1),"")</f>
        <v/>
      </c>
      <c r="M32" s="849">
        <f>Application!G730</f>
        <v>0</v>
      </c>
      <c r="N32" s="855">
        <f>Application!AC730</f>
        <v>0</v>
      </c>
      <c r="O32" s="855" t="str">
        <f>IF(Cdlac[[#This Row],[Quantity]]&gt;0,IF(Cdlac[[#This Row],[Federal]],30%,IF(AND(OR(NOT($G$38),$G$38=""),$G$43),40%,Cdlac[[#This Row],[iAMI]])),"")</f>
        <v/>
      </c>
      <c r="P32" s="849" t="str" cm="1">
        <f t="array" ref="P32">IF(Cdlac[[#This Row],[Quantity]]&gt;0,INDEX(TcacRents,$P$18,Cdlac[[#This Row],[Bedrooms]]+1)*Cdlac[[#This Row],[AMI]],"")</f>
        <v/>
      </c>
      <c r="Q32" s="945"/>
      <c r="R32" s="849" t="str" cm="1">
        <f t="array" ref="R32">IF(Cdlac[[#This Row],[Quantity]]&gt;0,INDEX(HudFmrs,$P$18,Cdlac[[#This Row],[Bedrooms]]+1),"")</f>
        <v/>
      </c>
      <c r="S32" s="849" t="str">
        <f>IF(Cdlac[[#This Row],[Quantity]]&gt;0,MAX(0,Cdlac[[#This Row],[Fair Market Rent]]-IF(AND($G$37,$G$38,$G$38&lt;&gt;"",NOT(Cdlac[[#This Row],[Federal]]),Cdlac[[#This Row],[Preservation Rent]]&lt;&gt;""),Cdlac[[#This Row],[Preservation Rent]],Cdlac[[#This Row],[Restricted Rent]])),"")</f>
        <v/>
      </c>
      <c r="T32" s="828" t="str">
        <f>IF(Cdlac[[#This Row],[Quantity]]&gt;0,AND(Application!AK730&lt;&gt;"N/A",Application!AK730&lt;&gt;"")*Cdlac[[#This Row],[Quantity]],"")</f>
        <v/>
      </c>
      <c r="U32" s="828" t="b">
        <f>AND('Subsidy Contract Calculation'!F16&gt;0,OR('Subsidy Contract Calculation'!C16="Federal",'Subsidy Contract Calculation'!C16="Local - Approved by ED"),Cdlac[[#This Row],[Quantity]]&gt;0)</f>
        <v>0</v>
      </c>
    </row>
    <row r="33" spans="1:21" ht="15" customHeight="1">
      <c r="A33" s="858"/>
      <c r="E33" s="901" t="s">
        <v>2615</v>
      </c>
      <c r="F33" s="830"/>
      <c r="G33" s="902">
        <f>G32*G31</f>
        <v>6100000</v>
      </c>
      <c r="H33" s="858"/>
      <c r="I33" s="858"/>
      <c r="L33" s="828" t="str">
        <f>IFERROR(MIN(4,MATCH(Application!B731,UnitSizes,0)-1),"")</f>
        <v/>
      </c>
      <c r="M33" s="849">
        <f>Application!G731</f>
        <v>0</v>
      </c>
      <c r="N33" s="855">
        <f>Application!AC731</f>
        <v>0</v>
      </c>
      <c r="O33" s="855" t="str">
        <f>IF(Cdlac[[#This Row],[Quantity]]&gt;0,IF(Cdlac[[#This Row],[Federal]],30%,IF(AND(OR(NOT($G$38),$G$38=""),$G$43),40%,Cdlac[[#This Row],[iAMI]])),"")</f>
        <v/>
      </c>
      <c r="P33" s="849" t="str" cm="1">
        <f t="array" ref="P33">IF(Cdlac[[#This Row],[Quantity]]&gt;0,INDEX(TcacRents,$P$18,Cdlac[[#This Row],[Bedrooms]]+1)*Cdlac[[#This Row],[AMI]],"")</f>
        <v/>
      </c>
      <c r="Q33" s="945"/>
      <c r="R33" s="849" t="str" cm="1">
        <f t="array" ref="R33">IF(Cdlac[[#This Row],[Quantity]]&gt;0,INDEX(HudFmrs,$P$18,Cdlac[[#This Row],[Bedrooms]]+1),"")</f>
        <v/>
      </c>
      <c r="S33" s="849" t="str">
        <f>IF(Cdlac[[#This Row],[Quantity]]&gt;0,MAX(0,Cdlac[[#This Row],[Fair Market Rent]]-IF(AND($G$37,$G$38,$G$38&lt;&gt;"",NOT(Cdlac[[#This Row],[Federal]]),Cdlac[[#This Row],[Preservation Rent]]&lt;&gt;""),Cdlac[[#This Row],[Preservation Rent]],Cdlac[[#This Row],[Restricted Rent]])),"")</f>
        <v/>
      </c>
      <c r="T33" s="828" t="str">
        <f>IF(Cdlac[[#This Row],[Quantity]]&gt;0,AND(Application!AK731&lt;&gt;"N/A",Application!AK731&lt;&gt;"")*Cdlac[[#This Row],[Quantity]],"")</f>
        <v/>
      </c>
      <c r="U33" s="828" t="b">
        <f>AND('Subsidy Contract Calculation'!F17&gt;0,OR('Subsidy Contract Calculation'!C17="Federal",'Subsidy Contract Calculation'!C17="Local - Approved by ED"),Cdlac[[#This Row],[Quantity]]&gt;0)</f>
        <v>0</v>
      </c>
    </row>
    <row r="34" spans="1:21" ht="15" customHeight="1">
      <c r="A34" s="858"/>
      <c r="B34" s="858"/>
      <c r="C34" s="858"/>
      <c r="D34" s="858"/>
      <c r="E34" s="858"/>
      <c r="F34" s="858"/>
      <c r="G34" s="858"/>
      <c r="H34" s="858"/>
      <c r="I34" s="858"/>
      <c r="L34" s="828" t="str">
        <f>IFERROR(MIN(4,MATCH(Application!B732,UnitSizes,0)-1),"")</f>
        <v/>
      </c>
      <c r="M34" s="849">
        <f>Application!G732</f>
        <v>0</v>
      </c>
      <c r="N34" s="855">
        <f>Application!AC732</f>
        <v>0</v>
      </c>
      <c r="O34" s="855" t="str">
        <f>IF(Cdlac[[#This Row],[Quantity]]&gt;0,IF(Cdlac[[#This Row],[Federal]],30%,IF(AND(OR(NOT($G$38),$G$38=""),$G$43),40%,Cdlac[[#This Row],[iAMI]])),"")</f>
        <v/>
      </c>
      <c r="P34" s="849" t="str" cm="1">
        <f t="array" ref="P34">IF(Cdlac[[#This Row],[Quantity]]&gt;0,INDEX(TcacRents,$P$18,Cdlac[[#This Row],[Bedrooms]]+1)*Cdlac[[#This Row],[AMI]],"")</f>
        <v/>
      </c>
      <c r="Q34" s="945"/>
      <c r="R34" s="849" t="str" cm="1">
        <f t="array" ref="R34">IF(Cdlac[[#This Row],[Quantity]]&gt;0,INDEX(HudFmrs,$P$18,Cdlac[[#This Row],[Bedrooms]]+1),"")</f>
        <v/>
      </c>
      <c r="S34" s="849" t="str">
        <f>IF(Cdlac[[#This Row],[Quantity]]&gt;0,MAX(0,Cdlac[[#This Row],[Fair Market Rent]]-IF(AND($G$37,$G$38,$G$38&lt;&gt;"",NOT(Cdlac[[#This Row],[Federal]]),Cdlac[[#This Row],[Preservation Rent]]&lt;&gt;""),Cdlac[[#This Row],[Preservation Rent]],Cdlac[[#This Row],[Restricted Rent]])),"")</f>
        <v/>
      </c>
      <c r="T34" s="828" t="str">
        <f>IF(Cdlac[[#This Row],[Quantity]]&gt;0,AND(Application!AK732&lt;&gt;"N/A",Application!AK732&lt;&gt;"")*Cdlac[[#This Row],[Quantity]],"")</f>
        <v/>
      </c>
      <c r="U34" s="828" t="b">
        <f>AND('Subsidy Contract Calculation'!F18&gt;0,OR('Subsidy Contract Calculation'!C18="Federal",'Subsidy Contract Calculation'!C18="Local - Approved by ED"),Cdlac[[#This Row],[Quantity]]&gt;0)</f>
        <v>0</v>
      </c>
    </row>
    <row r="35" spans="1:21" ht="15" customHeight="1">
      <c r="B35" s="850" t="str">
        <f>B10</f>
        <v>B. Rent Savings Benefit</v>
      </c>
      <c r="C35" s="851"/>
      <c r="D35" s="851"/>
      <c r="E35" s="851"/>
      <c r="F35" s="851"/>
      <c r="G35" s="851"/>
      <c r="H35" s="851"/>
      <c r="I35" s="852"/>
      <c r="L35" s="828" t="str">
        <f>IFERROR(MIN(4,MATCH(Application!B733,UnitSizes,0)-1),"")</f>
        <v/>
      </c>
      <c r="M35" s="849">
        <f>Application!G733</f>
        <v>0</v>
      </c>
      <c r="N35" s="855">
        <f>Application!AC733</f>
        <v>0</v>
      </c>
      <c r="O35" s="855" t="str">
        <f>IF(Cdlac[[#This Row],[Quantity]]&gt;0,IF(Cdlac[[#This Row],[Federal]],30%,IF(AND(OR(NOT($G$38),$G$38=""),$G$43),40%,Cdlac[[#This Row],[iAMI]])),"")</f>
        <v/>
      </c>
      <c r="P35" s="849" t="str" cm="1">
        <f t="array" ref="P35">IF(Cdlac[[#This Row],[Quantity]]&gt;0,INDEX(TcacRents,$P$18,Cdlac[[#This Row],[Bedrooms]]+1)*Cdlac[[#This Row],[AMI]],"")</f>
        <v/>
      </c>
      <c r="Q35" s="945"/>
      <c r="R35" s="849" t="str" cm="1">
        <f t="array" ref="R35">IF(Cdlac[[#This Row],[Quantity]]&gt;0,INDEX(HudFmrs,$P$18,Cdlac[[#This Row],[Bedrooms]]+1),"")</f>
        <v/>
      </c>
      <c r="S35" s="849" t="str">
        <f>IF(Cdlac[[#This Row],[Quantity]]&gt;0,MAX(0,Cdlac[[#This Row],[Fair Market Rent]]-IF(AND($G$37,$G$38,$G$38&lt;&gt;"",NOT(Cdlac[[#This Row],[Federal]]),Cdlac[[#This Row],[Preservation Rent]]&lt;&gt;""),Cdlac[[#This Row],[Preservation Rent]],Cdlac[[#This Row],[Restricted Rent]])),"")</f>
        <v/>
      </c>
      <c r="T35" s="828" t="str">
        <f>IF(Cdlac[[#This Row],[Quantity]]&gt;0,AND(Application!AK733&lt;&gt;"N/A",Application!AK733&lt;&gt;"")*Cdlac[[#This Row],[Quantity]],"")</f>
        <v/>
      </c>
      <c r="U35" s="828" t="b">
        <f>AND('Subsidy Contract Calculation'!F19&gt;0,OR('Subsidy Contract Calculation'!C19="Federal",'Subsidy Contract Calculation'!C19="Local - Approved by ED"),Cdlac[[#This Row],[Quantity]]&gt;0)</f>
        <v>0</v>
      </c>
    </row>
    <row r="36" spans="1:21" ht="15" customHeight="1">
      <c r="L36" s="828" t="str">
        <f>IFERROR(MIN(4,MATCH(Application!B734,UnitSizes,0)-1),"")</f>
        <v/>
      </c>
      <c r="M36" s="849">
        <f>Application!G734</f>
        <v>0</v>
      </c>
      <c r="N36" s="855">
        <f>Application!AC734</f>
        <v>0</v>
      </c>
      <c r="O36" s="855" t="str">
        <f>IF(Cdlac[[#This Row],[Quantity]]&gt;0,IF(Cdlac[[#This Row],[Federal]],30%,IF(AND(OR(NOT($G$38),$G$38=""),$G$43),40%,Cdlac[[#This Row],[iAMI]])),"")</f>
        <v/>
      </c>
      <c r="P36" s="849" t="str" cm="1">
        <f t="array" ref="P36">IF(Cdlac[[#This Row],[Quantity]]&gt;0,INDEX(TcacRents,$P$18,Cdlac[[#This Row],[Bedrooms]]+1)*Cdlac[[#This Row],[AMI]],"")</f>
        <v/>
      </c>
      <c r="Q36" s="945"/>
      <c r="R36" s="849" t="str" cm="1">
        <f t="array" ref="R36">IF(Cdlac[[#This Row],[Quantity]]&gt;0,INDEX(HudFmrs,$P$18,Cdlac[[#This Row],[Bedrooms]]+1),"")</f>
        <v/>
      </c>
      <c r="S36" s="849" t="str">
        <f>IF(Cdlac[[#This Row],[Quantity]]&gt;0,MAX(0,Cdlac[[#This Row],[Fair Market Rent]]-IF(AND($G$37,$G$38,$G$38&lt;&gt;"",NOT(Cdlac[[#This Row],[Federal]]),Cdlac[[#This Row],[Preservation Rent]]&lt;&gt;""),Cdlac[[#This Row],[Preservation Rent]],Cdlac[[#This Row],[Restricted Rent]])),"")</f>
        <v/>
      </c>
      <c r="T36" s="828" t="str">
        <f>IF(Cdlac[[#This Row],[Quantity]]&gt;0,AND(Application!AK734&lt;&gt;"N/A",Application!AK734&lt;&gt;"")*Cdlac[[#This Row],[Quantity]],"")</f>
        <v/>
      </c>
      <c r="U36" s="828" t="b">
        <f>AND('Subsidy Contract Calculation'!F20&gt;0,OR('Subsidy Contract Calculation'!C20="Federal",'Subsidy Contract Calculation'!C20="Local - Approved by ED"),Cdlac[[#This Row],[Quantity]]&gt;0)</f>
        <v>0</v>
      </c>
    </row>
    <row r="37" spans="1:21" ht="15" customHeight="1">
      <c r="E37" s="868" t="s">
        <v>2616</v>
      </c>
      <c r="G37" s="828" t="b">
        <f>OR('Points System'!B13="Yes",'Points System'!B16="Yes",'Points System'!B22="Yes",'Points System'!B25="Yes",'Points System'!B28="Yes",'Points System'!B33="Yes",'Points System'!B36="Yes",'Points System'!B40="Yes",'Points System'!B45="Yes")</f>
        <v>0</v>
      </c>
      <c r="L37" s="828" t="str">
        <f>IFERROR(MIN(4,MATCH(Application!B735,UnitSizes,0)-1),"")</f>
        <v/>
      </c>
      <c r="M37" s="849">
        <f>Application!G735</f>
        <v>0</v>
      </c>
      <c r="N37" s="855">
        <f>Application!AC735</f>
        <v>0</v>
      </c>
      <c r="O37" s="855" t="str">
        <f>IF(Cdlac[[#This Row],[Quantity]]&gt;0,IF(Cdlac[[#This Row],[Federal]],30%,IF(AND(OR(NOT($G$38),$G$38=""),$G$43),40%,Cdlac[[#This Row],[iAMI]])),"")</f>
        <v/>
      </c>
      <c r="P37" s="849" t="str" cm="1">
        <f t="array" ref="P37">IF(Cdlac[[#This Row],[Quantity]]&gt;0,INDEX(TcacRents,$P$18,Cdlac[[#This Row],[Bedrooms]]+1)*Cdlac[[#This Row],[AMI]],"")</f>
        <v/>
      </c>
      <c r="Q37" s="945"/>
      <c r="R37" s="849" t="str" cm="1">
        <f t="array" ref="R37">IF(Cdlac[[#This Row],[Quantity]]&gt;0,INDEX(HudFmrs,$P$18,Cdlac[[#This Row],[Bedrooms]]+1),"")</f>
        <v/>
      </c>
      <c r="S37" s="849" t="str">
        <f>IF(Cdlac[[#This Row],[Quantity]]&gt;0,MAX(0,Cdlac[[#This Row],[Fair Market Rent]]-IF(AND($G$37,$G$38,$G$38&lt;&gt;"",NOT(Cdlac[[#This Row],[Federal]]),Cdlac[[#This Row],[Preservation Rent]]&lt;&gt;""),Cdlac[[#This Row],[Preservation Rent]],Cdlac[[#This Row],[Restricted Rent]])),"")</f>
        <v/>
      </c>
      <c r="T37" s="828" t="str">
        <f>IF(Cdlac[[#This Row],[Quantity]]&gt;0,AND(Application!AK735&lt;&gt;"N/A",Application!AK735&lt;&gt;"")*Cdlac[[#This Row],[Quantity]],"")</f>
        <v/>
      </c>
      <c r="U37" s="828" t="b">
        <f>AND('Subsidy Contract Calculation'!F21&gt;0,OR('Subsidy Contract Calculation'!C21="Federal",'Subsidy Contract Calculation'!C21="Local - Approved by ED"),Cdlac[[#This Row],[Quantity]]&gt;0)</f>
        <v>0</v>
      </c>
    </row>
    <row r="38" spans="1:21" ht="15" customHeight="1">
      <c r="E38" s="868" t="s">
        <v>2617</v>
      </c>
      <c r="G38" s="944"/>
      <c r="L38" s="828" t="str">
        <f>IFERROR(MIN(4,MATCH(Application!B736,UnitSizes,0)-1),"")</f>
        <v/>
      </c>
      <c r="M38" s="849">
        <f>Application!G736</f>
        <v>0</v>
      </c>
      <c r="N38" s="855">
        <f>Application!AC736</f>
        <v>0</v>
      </c>
      <c r="O38" s="855" t="str">
        <f>IF(Cdlac[[#This Row],[Quantity]]&gt;0,IF(Cdlac[[#This Row],[Federal]],30%,IF(AND(OR(NOT($G$38),$G$38=""),$G$43),40%,Cdlac[[#This Row],[iAMI]])),"")</f>
        <v/>
      </c>
      <c r="P38" s="849" t="str" cm="1">
        <f t="array" ref="P38">IF(Cdlac[[#This Row],[Quantity]]&gt;0,INDEX(TcacRents,$P$18,Cdlac[[#This Row],[Bedrooms]]+1)*Cdlac[[#This Row],[AMI]],"")</f>
        <v/>
      </c>
      <c r="Q38" s="945"/>
      <c r="R38" s="849" t="str" cm="1">
        <f t="array" ref="R38">IF(Cdlac[[#This Row],[Quantity]]&gt;0,INDEX(HudFmrs,$P$18,Cdlac[[#This Row],[Bedrooms]]+1),"")</f>
        <v/>
      </c>
      <c r="S38" s="849" t="str">
        <f>IF(Cdlac[[#This Row],[Quantity]]&gt;0,MAX(0,Cdlac[[#This Row],[Fair Market Rent]]-IF(AND($G$37,$G$38,$G$38&lt;&gt;"",NOT(Cdlac[[#This Row],[Federal]]),Cdlac[[#This Row],[Preservation Rent]]&lt;&gt;""),Cdlac[[#This Row],[Preservation Rent]],Cdlac[[#This Row],[Restricted Rent]])),"")</f>
        <v/>
      </c>
      <c r="T38" s="828" t="str">
        <f>IF(Cdlac[[#This Row],[Quantity]]&gt;0,AND(Application!AK736&lt;&gt;"N/A",Application!AK736&lt;&gt;"")*Cdlac[[#This Row],[Quantity]],"")</f>
        <v/>
      </c>
      <c r="U38" s="828" t="b">
        <f>AND('Subsidy Contract Calculation'!F22&gt;0,OR('Subsidy Contract Calculation'!C22="Federal",'Subsidy Contract Calculation'!C22="Local - Approved by ED"),Cdlac[[#This Row],[Quantity]]&gt;0)</f>
        <v>0</v>
      </c>
    </row>
    <row r="39" spans="1:21" ht="15" customHeight="1">
      <c r="C39" s="2588" t="str">
        <f>IF(AND(G37,G38,G38&lt;&gt;""),"Enter the average rent charged for each unit type over the last three years, as documented with rent rolls or property audits, in cells Q20:Q44","")</f>
        <v/>
      </c>
      <c r="D39" s="2588"/>
      <c r="E39" s="2588"/>
      <c r="F39" s="2588"/>
      <c r="G39" s="2588"/>
      <c r="H39" s="2588"/>
      <c r="L39" s="828" t="str">
        <f>IFERROR(MIN(4,MATCH(Application!B737,UnitSizes,0)-1),"")</f>
        <v/>
      </c>
      <c r="M39" s="849">
        <f>Application!G737</f>
        <v>0</v>
      </c>
      <c r="N39" s="855">
        <f>Application!AC737</f>
        <v>0</v>
      </c>
      <c r="O39" s="855" t="str">
        <f>IF(Cdlac[[#This Row],[Quantity]]&gt;0,IF(Cdlac[[#This Row],[Federal]],30%,IF(AND(OR(NOT($G$38),$G$38=""),$G$43),40%,Cdlac[[#This Row],[iAMI]])),"")</f>
        <v/>
      </c>
      <c r="P39" s="849" t="str" cm="1">
        <f t="array" ref="P39">IF(Cdlac[[#This Row],[Quantity]]&gt;0,INDEX(TcacRents,$P$18,Cdlac[[#This Row],[Bedrooms]]+1)*Cdlac[[#This Row],[AMI]],"")</f>
        <v/>
      </c>
      <c r="Q39" s="945"/>
      <c r="R39" s="849" t="str" cm="1">
        <f t="array" ref="R39">IF(Cdlac[[#This Row],[Quantity]]&gt;0,INDEX(HudFmrs,$P$18,Cdlac[[#This Row],[Bedrooms]]+1),"")</f>
        <v/>
      </c>
      <c r="S39" s="849" t="str">
        <f>IF(Cdlac[[#This Row],[Quantity]]&gt;0,MAX(0,Cdlac[[#This Row],[Fair Market Rent]]-IF(AND($G$37,$G$38,$G$38&lt;&gt;"",NOT(Cdlac[[#This Row],[Federal]]),Cdlac[[#This Row],[Preservation Rent]]&lt;&gt;""),Cdlac[[#This Row],[Preservation Rent]],Cdlac[[#This Row],[Restricted Rent]])),"")</f>
        <v/>
      </c>
      <c r="T39" s="828" t="str">
        <f>IF(Cdlac[[#This Row],[Quantity]]&gt;0,AND(Application!AK737&lt;&gt;"N/A",Application!AK737&lt;&gt;"")*Cdlac[[#This Row],[Quantity]],"")</f>
        <v/>
      </c>
      <c r="U39" s="828" t="b">
        <f>AND('Subsidy Contract Calculation'!F23&gt;0,OR('Subsidy Contract Calculation'!C23="Federal",'Subsidy Contract Calculation'!C23="Local - Approved by ED"),Cdlac[[#This Row],[Quantity]]&gt;0)</f>
        <v>0</v>
      </c>
    </row>
    <row r="40" spans="1:21" ht="15" customHeight="1">
      <c r="C40" s="2588"/>
      <c r="D40" s="2588"/>
      <c r="E40" s="2588"/>
      <c r="F40" s="2588"/>
      <c r="G40" s="2588"/>
      <c r="H40" s="2588"/>
      <c r="L40" s="828" t="str">
        <f>IFERROR(MIN(4,MATCH(Application!B738,UnitSizes,0)-1),"")</f>
        <v/>
      </c>
      <c r="M40" s="849">
        <f>Application!G738</f>
        <v>0</v>
      </c>
      <c r="N40" s="855">
        <f>Application!AC738</f>
        <v>0</v>
      </c>
      <c r="O40" s="855" t="str">
        <f>IF(Cdlac[[#This Row],[Quantity]]&gt;0,IF(Cdlac[[#This Row],[Federal]],30%,IF(AND(OR(NOT($G$38),$G$38=""),$G$43),40%,Cdlac[[#This Row],[iAMI]])),"")</f>
        <v/>
      </c>
      <c r="P40" s="849" t="str" cm="1">
        <f t="array" ref="P40">IF(Cdlac[[#This Row],[Quantity]]&gt;0,INDEX(TcacRents,$P$18,Cdlac[[#This Row],[Bedrooms]]+1)*Cdlac[[#This Row],[AMI]],"")</f>
        <v/>
      </c>
      <c r="Q40" s="945"/>
      <c r="R40" s="849" t="str" cm="1">
        <f t="array" ref="R40">IF(Cdlac[[#This Row],[Quantity]]&gt;0,INDEX(HudFmrs,$P$18,Cdlac[[#This Row],[Bedrooms]]+1),"")</f>
        <v/>
      </c>
      <c r="S40" s="849" t="str">
        <f>IF(Cdlac[[#This Row],[Quantity]]&gt;0,MAX(0,Cdlac[[#This Row],[Fair Market Rent]]-IF(AND($G$37,$G$38,$G$38&lt;&gt;"",NOT(Cdlac[[#This Row],[Federal]]),Cdlac[[#This Row],[Preservation Rent]]&lt;&gt;""),Cdlac[[#This Row],[Preservation Rent]],Cdlac[[#This Row],[Restricted Rent]])),"")</f>
        <v/>
      </c>
      <c r="T40" s="828" t="str">
        <f>IF(Cdlac[[#This Row],[Quantity]]&gt;0,AND(Application!AK738&lt;&gt;"N/A",Application!AK738&lt;&gt;"")*Cdlac[[#This Row],[Quantity]],"")</f>
        <v/>
      </c>
      <c r="U40" s="828" t="b">
        <f>AND('Subsidy Contract Calculation'!F24&gt;0,OR('Subsidy Contract Calculation'!C24="Federal",'Subsidy Contract Calculation'!C24="Local - Approved by ED"),Cdlac[[#This Row],[Quantity]]&gt;0)</f>
        <v>0</v>
      </c>
    </row>
    <row r="41" spans="1:21" ht="15" customHeight="1">
      <c r="C41" s="2588"/>
      <c r="D41" s="2588"/>
      <c r="E41" s="2588"/>
      <c r="F41" s="2588"/>
      <c r="G41" s="2588"/>
      <c r="H41" s="2588"/>
      <c r="L41" s="828" t="str">
        <f>IFERROR(MIN(4,MATCH(Application!B739,UnitSizes,0)-1),"")</f>
        <v/>
      </c>
      <c r="M41" s="849">
        <f>Application!G739</f>
        <v>0</v>
      </c>
      <c r="N41" s="855">
        <f>Application!AC739</f>
        <v>0</v>
      </c>
      <c r="O41" s="855" t="str">
        <f>IF(Cdlac[[#This Row],[Quantity]]&gt;0,IF(Cdlac[[#This Row],[Federal]],30%,IF(AND(OR(NOT($G$38),$G$38=""),$G$43),40%,Cdlac[[#This Row],[iAMI]])),"")</f>
        <v/>
      </c>
      <c r="P41" s="849" t="str" cm="1">
        <f t="array" ref="P41">IF(Cdlac[[#This Row],[Quantity]]&gt;0,INDEX(TcacRents,$P$18,Cdlac[[#This Row],[Bedrooms]]+1)*Cdlac[[#This Row],[AMI]],"")</f>
        <v/>
      </c>
      <c r="Q41" s="945"/>
      <c r="R41" s="849" t="str" cm="1">
        <f t="array" ref="R41">IF(Cdlac[[#This Row],[Quantity]]&gt;0,INDEX(HudFmrs,$P$18,Cdlac[[#This Row],[Bedrooms]]+1),"")</f>
        <v/>
      </c>
      <c r="S41" s="849" t="str">
        <f>IF(Cdlac[[#This Row],[Quantity]]&gt;0,MAX(0,Cdlac[[#This Row],[Fair Market Rent]]-IF(AND($G$37,$G$38,$G$38&lt;&gt;"",NOT(Cdlac[[#This Row],[Federal]]),Cdlac[[#This Row],[Preservation Rent]]&lt;&gt;""),Cdlac[[#This Row],[Preservation Rent]],Cdlac[[#This Row],[Restricted Rent]])),"")</f>
        <v/>
      </c>
      <c r="T41" s="828" t="str">
        <f>IF(Cdlac[[#This Row],[Quantity]]&gt;0,AND(Application!AK739&lt;&gt;"N/A",Application!AK739&lt;&gt;"")*Cdlac[[#This Row],[Quantity]],"")</f>
        <v/>
      </c>
      <c r="U41" s="828" t="b">
        <f>AND('Subsidy Contract Calculation'!F25&gt;0,OR('Subsidy Contract Calculation'!C25="Federal",'Subsidy Contract Calculation'!C25="Local - Approved by ED"),Cdlac[[#This Row],[Quantity]]&gt;0)</f>
        <v>0</v>
      </c>
    </row>
    <row r="42" spans="1:21" ht="15" customHeight="1">
      <c r="E42" s="868" t="s">
        <v>2618</v>
      </c>
      <c r="G42" s="903" cm="1">
        <f t="array" ref="G42">SUMPRODUCT(Cdlac[Quantity],Cdlac[iAMI],IF(Cdlac[Federal],0,1))/SUMIFS(Cdlac[Quantity],Cdlac[Federal],FALSE)</f>
        <v>0.6</v>
      </c>
      <c r="L42" s="828" t="str">
        <f>IFERROR(MIN(4,MATCH(Application!B740,UnitSizes,0)-1),"")</f>
        <v/>
      </c>
      <c r="M42" s="849">
        <f>Application!G740</f>
        <v>0</v>
      </c>
      <c r="N42" s="855">
        <f>Application!AC740</f>
        <v>0</v>
      </c>
      <c r="O42" s="855" t="str">
        <f>IF(Cdlac[[#This Row],[Quantity]]&gt;0,IF(Cdlac[[#This Row],[Federal]],30%,IF(AND(OR(NOT($G$38),$G$38=""),$G$43),40%,Cdlac[[#This Row],[iAMI]])),"")</f>
        <v/>
      </c>
      <c r="P42" s="849" t="str" cm="1">
        <f t="array" ref="P42">IF(Cdlac[[#This Row],[Quantity]]&gt;0,INDEX(TcacRents,$P$18,Cdlac[[#This Row],[Bedrooms]]+1)*Cdlac[[#This Row],[AMI]],"")</f>
        <v/>
      </c>
      <c r="Q42" s="945"/>
      <c r="R42" s="849" t="str" cm="1">
        <f t="array" ref="R42">IF(Cdlac[[#This Row],[Quantity]]&gt;0,INDEX(HudFmrs,$P$18,Cdlac[[#This Row],[Bedrooms]]+1),"")</f>
        <v/>
      </c>
      <c r="S42" s="849" t="str">
        <f>IF(Cdlac[[#This Row],[Quantity]]&gt;0,MAX(0,Cdlac[[#This Row],[Fair Market Rent]]-IF(AND($G$37,$G$38,$G$38&lt;&gt;"",NOT(Cdlac[[#This Row],[Federal]]),Cdlac[[#This Row],[Preservation Rent]]&lt;&gt;""),Cdlac[[#This Row],[Preservation Rent]],Cdlac[[#This Row],[Restricted Rent]])),"")</f>
        <v/>
      </c>
      <c r="T42" s="828" t="str">
        <f>IF(Cdlac[[#This Row],[Quantity]]&gt;0,AND(Application!AK740&lt;&gt;"N/A",Application!AK740&lt;&gt;"")*Cdlac[[#This Row],[Quantity]],"")</f>
        <v/>
      </c>
      <c r="U42" s="828" t="b">
        <f>AND('Subsidy Contract Calculation'!F26&gt;0,OR('Subsidy Contract Calculation'!C26="Federal",'Subsidy Contract Calculation'!C26="Local - Approved by ED"),Cdlac[[#This Row],[Quantity]]&gt;0)</f>
        <v>0</v>
      </c>
    </row>
    <row r="43" spans="1:21" ht="15" customHeight="1">
      <c r="E43" s="868" t="s">
        <v>2619</v>
      </c>
      <c r="G43" s="865" t="b">
        <f>G42&lt;40%</f>
        <v>0</v>
      </c>
      <c r="L43" s="828" t="str">
        <f>IFERROR(MIN(4,MATCH(Application!B741,UnitSizes,0)-1),"")</f>
        <v/>
      </c>
      <c r="M43" s="849">
        <f>Application!G741</f>
        <v>0</v>
      </c>
      <c r="N43" s="855">
        <f>Application!AC741</f>
        <v>0</v>
      </c>
      <c r="O43" s="855" t="str">
        <f>IF(Cdlac[[#This Row],[Quantity]]&gt;0,IF(Cdlac[[#This Row],[Federal]],30%,IF(AND(OR(NOT($G$38),$G$38=""),$G$43),40%,Cdlac[[#This Row],[iAMI]])),"")</f>
        <v/>
      </c>
      <c r="P43" s="849" t="str" cm="1">
        <f t="array" ref="P43">IF(Cdlac[[#This Row],[Quantity]]&gt;0,INDEX(TcacRents,$P$18,Cdlac[[#This Row],[Bedrooms]]+1)*Cdlac[[#This Row],[AMI]],"")</f>
        <v/>
      </c>
      <c r="Q43" s="945"/>
      <c r="R43" s="849" t="str" cm="1">
        <f t="array" ref="R43">IF(Cdlac[[#This Row],[Quantity]]&gt;0,INDEX(HudFmrs,$P$18,Cdlac[[#This Row],[Bedrooms]]+1),"")</f>
        <v/>
      </c>
      <c r="S43" s="849" t="str">
        <f>IF(Cdlac[[#This Row],[Quantity]]&gt;0,MAX(0,Cdlac[[#This Row],[Fair Market Rent]]-IF(AND($G$37,$G$38,$G$38&lt;&gt;"",NOT(Cdlac[[#This Row],[Federal]]),Cdlac[[#This Row],[Preservation Rent]]&lt;&gt;""),Cdlac[[#This Row],[Preservation Rent]],Cdlac[[#This Row],[Restricted Rent]])),"")</f>
        <v/>
      </c>
      <c r="T43" s="828" t="str">
        <f>IF(Cdlac[[#This Row],[Quantity]]&gt;0,AND(Application!AK741&lt;&gt;"N/A",Application!AK741&lt;&gt;"")*Cdlac[[#This Row],[Quantity]],"")</f>
        <v/>
      </c>
      <c r="U43" s="828" t="b">
        <f>AND('Subsidy Contract Calculation'!F27&gt;0,OR('Subsidy Contract Calculation'!C27="Federal",'Subsidy Contract Calculation'!C27="Local - Approved by ED"),Cdlac[[#This Row],[Quantity]]&gt;0)</f>
        <v>0</v>
      </c>
    </row>
    <row r="44" spans="1:21" ht="15" customHeight="1">
      <c r="L44" s="828" t="str">
        <f>IFERROR(MIN(4,MATCH(Application!B742,UnitSizes,0)-1),"")</f>
        <v/>
      </c>
      <c r="M44" s="849">
        <f>Application!G742</f>
        <v>0</v>
      </c>
      <c r="N44" s="855">
        <f>Application!AC742</f>
        <v>0</v>
      </c>
      <c r="O44" s="855" t="str">
        <f>IF(Cdlac[[#This Row],[Quantity]]&gt;0,IF(Cdlac[[#This Row],[Federal]],30%,IF(AND(OR(NOT($G$38),$G$38=""),$G$43),40%,Cdlac[[#This Row],[iAMI]])),"")</f>
        <v/>
      </c>
      <c r="P44" s="849" t="str" cm="1">
        <f t="array" ref="P44">IF(Cdlac[[#This Row],[Quantity]]&gt;0,INDEX(TcacRents,$P$18,Cdlac[[#This Row],[Bedrooms]]+1)*Cdlac[[#This Row],[AMI]],"")</f>
        <v/>
      </c>
      <c r="Q44" s="945"/>
      <c r="R44" s="849" t="str" cm="1">
        <f t="array" ref="R44">IF(Cdlac[[#This Row],[Quantity]]&gt;0,INDEX(HudFmrs,$P$18,Cdlac[[#This Row],[Bedrooms]]+1),"")</f>
        <v/>
      </c>
      <c r="S44" s="849" t="str">
        <f>IF(Cdlac[[#This Row],[Quantity]]&gt;0,MAX(0,Cdlac[[#This Row],[Fair Market Rent]]-IF(AND($G$37,$G$38,$G$38&lt;&gt;"",NOT(Cdlac[[#This Row],[Federal]]),Cdlac[[#This Row],[Preservation Rent]]&lt;&gt;""),Cdlac[[#This Row],[Preservation Rent]],Cdlac[[#This Row],[Restricted Rent]])),"")</f>
        <v/>
      </c>
      <c r="T44" s="828" t="str">
        <f>IF(Cdlac[[#This Row],[Quantity]]&gt;0,AND(Application!AK742&lt;&gt;"N/A",Application!AK742&lt;&gt;"")*Cdlac[[#This Row],[Quantity]],"")</f>
        <v/>
      </c>
      <c r="U44" s="828" t="b">
        <f>AND('Subsidy Contract Calculation'!F28&gt;0,OR('Subsidy Contract Calculation'!C28="Federal",'Subsidy Contract Calculation'!C28="Local - Approved by ED"),Cdlac[[#This Row],[Quantity]]&gt;0)</f>
        <v>0</v>
      </c>
    </row>
    <row r="45" spans="1:21" ht="15" customHeight="1">
      <c r="E45" s="868" t="s">
        <v>2620</v>
      </c>
      <c r="G45" s="862">
        <f>IFERROR(SUMPRODUCT(Cdlac[Quantity],Cdlac[Delta]),0)</f>
        <v>93262.60000000002</v>
      </c>
      <c r="L45" s="828" t="str">
        <f>IFERROR(MIN(4,MATCH(Application!B743,UnitSizes,0)-1),"")</f>
        <v/>
      </c>
      <c r="M45" s="849">
        <f>Application!G743</f>
        <v>0</v>
      </c>
      <c r="N45" s="855">
        <f>Application!AC743</f>
        <v>0</v>
      </c>
      <c r="O45" s="855" t="str">
        <f>IF(Cdlac[[#This Row],[Quantity]]&gt;0,IF(Cdlac[[#This Row],[Federal]],30%,IF(AND(OR(NOT($G$38),$G$38=""),$G$43),40%,Cdlac[[#This Row],[iAMI]])),"")</f>
        <v/>
      </c>
      <c r="P45" s="849" t="str" cm="1">
        <f t="array" ref="P45">IF(Cdlac[[#This Row],[Quantity]]&gt;0,INDEX(TcacRents,$P$18,Cdlac[[#This Row],[Bedrooms]]+1)*Cdlac[[#This Row],[AMI]],"")</f>
        <v/>
      </c>
      <c r="Q45" s="945"/>
      <c r="R45" s="849" t="str" cm="1">
        <f t="array" ref="R45">IF(Cdlac[[#This Row],[Quantity]]&gt;0,INDEX(HudFmrs,$P$18,Cdlac[[#This Row],[Bedrooms]]+1),"")</f>
        <v/>
      </c>
      <c r="S45" s="849" t="str">
        <f>IF(Cdlac[[#This Row],[Quantity]]&gt;0,MAX(0,Cdlac[[#This Row],[Fair Market Rent]]-IF(AND($G$37,$G$38,$G$38&lt;&gt;"",NOT(Cdlac[[#This Row],[Federal]]),Cdlac[[#This Row],[Preservation Rent]]&lt;&gt;""),Cdlac[[#This Row],[Preservation Rent]],Cdlac[[#This Row],[Restricted Rent]])),"")</f>
        <v/>
      </c>
      <c r="T45" s="828" t="str">
        <f>IF(Cdlac[[#This Row],[Quantity]]&gt;0,AND(Application!AK743&lt;&gt;"N/A",Application!AK743&lt;&gt;"")*Cdlac[[#This Row],[Quantity]],"")</f>
        <v/>
      </c>
      <c r="U45" s="828" t="b">
        <f>AND('Subsidy Contract Calculation'!F29&gt;0,OR('Subsidy Contract Calculation'!C29="Federal",'Subsidy Contract Calculation'!C29="Local - Approved by ED"),Cdlac[[#This Row],[Quantity]]&gt;0)</f>
        <v>0</v>
      </c>
    </row>
    <row r="46" spans="1:21" ht="15" customHeight="1">
      <c r="E46" s="900" t="s">
        <v>2621</v>
      </c>
      <c r="F46" s="896" t="s">
        <v>2614</v>
      </c>
      <c r="G46" s="904">
        <f>12*15</f>
        <v>180</v>
      </c>
      <c r="L46" s="828" t="str">
        <f>IFERROR(MIN(4,MATCH(Application!B744,UnitSizes,0)-1),"")</f>
        <v/>
      </c>
      <c r="M46" s="849">
        <f>Application!G744</f>
        <v>0</v>
      </c>
      <c r="N46" s="855">
        <f>Application!AC744</f>
        <v>0</v>
      </c>
      <c r="O46" s="855" t="str">
        <f>IF(Cdlac[[#This Row],[Quantity]]&gt;0,IF(Cdlac[[#This Row],[Federal]],30%,IF(AND(OR(NOT($G$38),$G$38=""),$G$43),40%,Cdlac[[#This Row],[iAMI]])),"")</f>
        <v/>
      </c>
      <c r="P46" s="849" t="str" cm="1">
        <f t="array" ref="P46">IF(Cdlac[[#This Row],[Quantity]]&gt;0,INDEX(TcacRents,$P$18,Cdlac[[#This Row],[Bedrooms]]+1)*Cdlac[[#This Row],[AMI]],"")</f>
        <v/>
      </c>
      <c r="Q46" s="945"/>
      <c r="R46" s="849" t="str" cm="1">
        <f t="array" ref="R46">IF(Cdlac[[#This Row],[Quantity]]&gt;0,INDEX(HudFmrs,$P$18,Cdlac[[#This Row],[Bedrooms]]+1),"")</f>
        <v/>
      </c>
      <c r="S46" s="849" t="str">
        <f>IF(Cdlac[[#This Row],[Quantity]]&gt;0,MAX(0,Cdlac[[#This Row],[Fair Market Rent]]-IF(AND($G$37,$G$38,$G$38&lt;&gt;"",NOT(Cdlac[[#This Row],[Federal]]),Cdlac[[#This Row],[Preservation Rent]]&lt;&gt;""),Cdlac[[#This Row],[Preservation Rent]],Cdlac[[#This Row],[Restricted Rent]])),"")</f>
        <v/>
      </c>
      <c r="T46" s="828" t="str">
        <f>IF(Cdlac[[#This Row],[Quantity]]&gt;0,AND(Application!AK744&lt;&gt;"N/A",Application!AK744&lt;&gt;"")*Cdlac[[#This Row],[Quantity]],"")</f>
        <v/>
      </c>
      <c r="U46" s="828" t="b">
        <f>AND('Subsidy Contract Calculation'!F30&gt;0,OR('Subsidy Contract Calculation'!C30="Federal",'Subsidy Contract Calculation'!C30="Local - Approved by ED"),Cdlac[[#This Row],[Quantity]]&gt;0)</f>
        <v>0</v>
      </c>
    </row>
    <row r="47" spans="1:21" ht="15" customHeight="1">
      <c r="E47" s="905" t="s">
        <v>2622</v>
      </c>
      <c r="F47" s="830"/>
      <c r="G47" s="906">
        <f>G45*G46</f>
        <v>16787268.000000004</v>
      </c>
      <c r="L47" s="828" t="str">
        <f>IFERROR(MIN(4,MATCH(Application!B745,UnitSizes,0)-1),"")</f>
        <v/>
      </c>
      <c r="M47" s="849">
        <f>Application!G745</f>
        <v>0</v>
      </c>
      <c r="N47" s="855">
        <f>Application!AC745</f>
        <v>0</v>
      </c>
      <c r="O47" s="855" t="str">
        <f>IF(Cdlac[[#This Row],[Quantity]]&gt;0,IF(Cdlac[[#This Row],[Federal]],30%,IF(AND(OR(NOT($G$38),$G$38=""),$G$43),40%,Cdlac[[#This Row],[iAMI]])),"")</f>
        <v/>
      </c>
      <c r="P47" s="849" t="str" cm="1">
        <f t="array" ref="P47">IF(Cdlac[[#This Row],[Quantity]]&gt;0,INDEX(TcacRents,$P$18,Cdlac[[#This Row],[Bedrooms]]+1)*Cdlac[[#This Row],[AMI]],"")</f>
        <v/>
      </c>
      <c r="Q47" s="945"/>
      <c r="R47" s="849" t="str" cm="1">
        <f t="array" ref="R47">IF(Cdlac[[#This Row],[Quantity]]&gt;0,INDEX(HudFmrs,$P$18,Cdlac[[#This Row],[Bedrooms]]+1),"")</f>
        <v/>
      </c>
      <c r="S47" s="849" t="str">
        <f>IF(Cdlac[[#This Row],[Quantity]]&gt;0,MAX(0,Cdlac[[#This Row],[Fair Market Rent]]-IF(AND($G$37,$G$38,$G$38&lt;&gt;"",NOT(Cdlac[[#This Row],[Federal]]),Cdlac[[#This Row],[Preservation Rent]]&lt;&gt;""),Cdlac[[#This Row],[Preservation Rent]],Cdlac[[#This Row],[Restricted Rent]])),"")</f>
        <v/>
      </c>
      <c r="T47" s="828" t="str">
        <f>IF(Cdlac[[#This Row],[Quantity]]&gt;0,AND(Application!AK745&lt;&gt;"N/A",Application!AK745&lt;&gt;"")*Cdlac[[#This Row],[Quantity]],"")</f>
        <v/>
      </c>
      <c r="U47" s="828" t="b">
        <f>AND('Subsidy Contract Calculation'!F31&gt;0,OR('Subsidy Contract Calculation'!C31="Federal",'Subsidy Contract Calculation'!C31="Local - Approved by ED"),Cdlac[[#This Row],[Quantity]]&gt;0)</f>
        <v>0</v>
      </c>
    </row>
    <row r="48" spans="1:21" ht="15" customHeight="1">
      <c r="L48" s="828" t="str">
        <f>IFERROR(MIN(4,MATCH(Application!B746,UnitSizes,0)-1),"")</f>
        <v/>
      </c>
      <c r="M48" s="849">
        <f>Application!G746</f>
        <v>0</v>
      </c>
      <c r="N48" s="855">
        <f>Application!AC746</f>
        <v>0</v>
      </c>
      <c r="O48" s="855" t="str">
        <f>IF(Cdlac[[#This Row],[Quantity]]&gt;0,IF(Cdlac[[#This Row],[Federal]],30%,IF(AND(OR(NOT($G$38),$G$38=""),$G$43),40%,Cdlac[[#This Row],[iAMI]])),"")</f>
        <v/>
      </c>
      <c r="P48" s="849" t="str" cm="1">
        <f t="array" ref="P48">IF(Cdlac[[#This Row],[Quantity]]&gt;0,INDEX(TcacRents,$P$18,Cdlac[[#This Row],[Bedrooms]]+1)*Cdlac[[#This Row],[AMI]],"")</f>
        <v/>
      </c>
      <c r="Q48" s="945"/>
      <c r="R48" s="849" t="str" cm="1">
        <f t="array" ref="R48">IF(Cdlac[[#This Row],[Quantity]]&gt;0,INDEX(HudFmrs,$P$18,Cdlac[[#This Row],[Bedrooms]]+1),"")</f>
        <v/>
      </c>
      <c r="S48" s="849" t="str">
        <f>IF(Cdlac[[#This Row],[Quantity]]&gt;0,MAX(0,Cdlac[[#This Row],[Fair Market Rent]]-IF(AND($G$37,$G$38,$G$38&lt;&gt;"",NOT(Cdlac[[#This Row],[Federal]]),Cdlac[[#This Row],[Preservation Rent]]&lt;&gt;""),Cdlac[[#This Row],[Preservation Rent]],Cdlac[[#This Row],[Restricted Rent]])),"")</f>
        <v/>
      </c>
      <c r="T48" s="828" t="str">
        <f>IF(Cdlac[[#This Row],[Quantity]]&gt;0,AND(Application!AK746&lt;&gt;"N/A",Application!AK746&lt;&gt;"")*Cdlac[[#This Row],[Quantity]],"")</f>
        <v/>
      </c>
      <c r="U48" s="828" t="b">
        <f>AND('Subsidy Contract Calculation'!F32&gt;0,OR('Subsidy Contract Calculation'!C32="Federal",'Subsidy Contract Calculation'!C32="Local - Approved by ED"),Cdlac[[#This Row],[Quantity]]&gt;0)</f>
        <v>0</v>
      </c>
    </row>
    <row r="49" spans="2:21" ht="15" customHeight="1">
      <c r="B49" s="850" t="str">
        <f>B11&amp;": "&amp;B12</f>
        <v>C. Population Benefit: (1) Special Needs Population Benefit</v>
      </c>
      <c r="C49" s="851"/>
      <c r="D49" s="851"/>
      <c r="E49" s="851"/>
      <c r="F49" s="851"/>
      <c r="G49" s="851"/>
      <c r="H49" s="851"/>
      <c r="I49" s="852"/>
      <c r="L49" s="828" t="str">
        <f>IFERROR(MIN(4,MATCH(Application!B747,UnitSizes,0)-1),"")</f>
        <v/>
      </c>
      <c r="M49" s="849">
        <f>Application!G747</f>
        <v>0</v>
      </c>
      <c r="N49" s="855">
        <f>Application!AC747</f>
        <v>0</v>
      </c>
      <c r="O49" s="855" t="str">
        <f>IF(Cdlac[[#This Row],[Quantity]]&gt;0,IF(Cdlac[[#This Row],[Federal]],30%,IF(AND(OR(NOT($G$38),$G$38=""),$G$43),40%,Cdlac[[#This Row],[iAMI]])),"")</f>
        <v/>
      </c>
      <c r="P49" s="849" t="str" cm="1">
        <f t="array" ref="P49">IF(Cdlac[[#This Row],[Quantity]]&gt;0,INDEX(TcacRents,$P$18,Cdlac[[#This Row],[Bedrooms]]+1)*Cdlac[[#This Row],[AMI]],"")</f>
        <v/>
      </c>
      <c r="Q49" s="945"/>
      <c r="R49" s="849" t="str" cm="1">
        <f t="array" ref="R49">IF(Cdlac[[#This Row],[Quantity]]&gt;0,INDEX(HudFmrs,$P$18,Cdlac[[#This Row],[Bedrooms]]+1),"")</f>
        <v/>
      </c>
      <c r="S49" s="849" t="str">
        <f>IF(Cdlac[[#This Row],[Quantity]]&gt;0,MAX(0,Cdlac[[#This Row],[Fair Market Rent]]-IF(AND($G$37,$G$38,$G$38&lt;&gt;"",NOT(Cdlac[[#This Row],[Federal]]),Cdlac[[#This Row],[Preservation Rent]]&lt;&gt;""),Cdlac[[#This Row],[Preservation Rent]],Cdlac[[#This Row],[Restricted Rent]])),"")</f>
        <v/>
      </c>
      <c r="T49" s="828" t="str">
        <f>IF(Cdlac[[#This Row],[Quantity]]&gt;0,AND(Application!AK747&lt;&gt;"N/A",Application!AK747&lt;&gt;"")*Cdlac[[#This Row],[Quantity]],"")</f>
        <v/>
      </c>
      <c r="U49" s="828" t="b">
        <f>AND('Subsidy Contract Calculation'!F33&gt;0,OR('Subsidy Contract Calculation'!C33="Federal",'Subsidy Contract Calculation'!C33="Local - Approved by ED"),Cdlac[[#This Row],[Quantity]]&gt;0)</f>
        <v>0</v>
      </c>
    </row>
    <row r="50" spans="2:21" ht="15" customHeight="1">
      <c r="L50" s="828" t="str">
        <f>IFERROR(MIN(4,MATCH(Application!B748,UnitSizes,0)-1),"")</f>
        <v/>
      </c>
      <c r="M50" s="849">
        <f>Application!G748</f>
        <v>0</v>
      </c>
      <c r="N50" s="855">
        <f>Application!AC748</f>
        <v>0</v>
      </c>
      <c r="O50" s="855" t="str">
        <f>IF(Cdlac[[#This Row],[Quantity]]&gt;0,IF(Cdlac[[#This Row],[Federal]],30%,IF(AND(OR(NOT($G$38),$G$38=""),$G$43),40%,Cdlac[[#This Row],[iAMI]])),"")</f>
        <v/>
      </c>
      <c r="P50" s="849" t="str" cm="1">
        <f t="array" ref="P50">IF(Cdlac[[#This Row],[Quantity]]&gt;0,INDEX(TcacRents,$P$18,Cdlac[[#This Row],[Bedrooms]]+1)*Cdlac[[#This Row],[AMI]],"")</f>
        <v/>
      </c>
      <c r="Q50" s="945"/>
      <c r="R50" s="849" t="str" cm="1">
        <f t="array" ref="R50">IF(Cdlac[[#This Row],[Quantity]]&gt;0,INDEX(HudFmrs,$P$18,Cdlac[[#This Row],[Bedrooms]]+1),"")</f>
        <v/>
      </c>
      <c r="S50" s="849" t="str">
        <f>IF(Cdlac[[#This Row],[Quantity]]&gt;0,MAX(0,Cdlac[[#This Row],[Fair Market Rent]]-IF(AND($G$37,$G$38,$G$38&lt;&gt;"",NOT(Cdlac[[#This Row],[Federal]]),Cdlac[[#This Row],[Preservation Rent]]&lt;&gt;""),Cdlac[[#This Row],[Preservation Rent]],Cdlac[[#This Row],[Restricted Rent]])),"")</f>
        <v/>
      </c>
      <c r="T50" s="828" t="str">
        <f>IF(Cdlac[[#This Row],[Quantity]]&gt;0,AND(Application!AK748&lt;&gt;"N/A",Application!AK748&lt;&gt;"")*Cdlac[[#This Row],[Quantity]],"")</f>
        <v/>
      </c>
      <c r="U50" s="828" t="b">
        <f>AND('Subsidy Contract Calculation'!F34&gt;0,OR('Subsidy Contract Calculation'!C34="Federal",'Subsidy Contract Calculation'!C34="Local - Approved by ED"),Cdlac[[#This Row],[Quantity]]&gt;0)</f>
        <v>0</v>
      </c>
    </row>
    <row r="51" spans="2:21" ht="15" customHeight="1">
      <c r="E51" s="900" t="s">
        <v>2623</v>
      </c>
      <c r="G51" s="897">
        <f>T18</f>
        <v>0</v>
      </c>
      <c r="L51" s="828" t="str">
        <f>IFERROR(MIN(4,MATCH(Application!B749,UnitSizes,0)-1),"")</f>
        <v/>
      </c>
      <c r="M51" s="849">
        <f>Application!G749</f>
        <v>0</v>
      </c>
      <c r="N51" s="855">
        <f>Application!AC749</f>
        <v>0</v>
      </c>
      <c r="O51" s="855" t="str">
        <f>IF(Cdlac[[#This Row],[Quantity]]&gt;0,IF(Cdlac[[#This Row],[Federal]],30%,IF(AND(OR(NOT($G$38),$G$38=""),$G$43),40%,Cdlac[[#This Row],[iAMI]])),"")</f>
        <v/>
      </c>
      <c r="P51" s="849" t="str" cm="1">
        <f t="array" ref="P51">IF(Cdlac[[#This Row],[Quantity]]&gt;0,INDEX(TcacRents,$P$18,Cdlac[[#This Row],[Bedrooms]]+1)*Cdlac[[#This Row],[AMI]],"")</f>
        <v/>
      </c>
      <c r="Q51" s="945"/>
      <c r="R51" s="849" t="str" cm="1">
        <f t="array" ref="R51">IF(Cdlac[[#This Row],[Quantity]]&gt;0,INDEX(HudFmrs,$P$18,Cdlac[[#This Row],[Bedrooms]]+1),"")</f>
        <v/>
      </c>
      <c r="S51" s="849" t="str">
        <f>IF(Cdlac[[#This Row],[Quantity]]&gt;0,MAX(0,Cdlac[[#This Row],[Fair Market Rent]]-IF(AND($G$37,$G$38,$G$38&lt;&gt;"",NOT(Cdlac[[#This Row],[Federal]]),Cdlac[[#This Row],[Preservation Rent]]&lt;&gt;""),Cdlac[[#This Row],[Preservation Rent]],Cdlac[[#This Row],[Restricted Rent]])),"")</f>
        <v/>
      </c>
      <c r="T51" s="828" t="str">
        <f>IF(Cdlac[[#This Row],[Quantity]]&gt;0,AND(Application!AK749&lt;&gt;"N/A",Application!AK749&lt;&gt;"")*Cdlac[[#This Row],[Quantity]],"")</f>
        <v/>
      </c>
      <c r="U51" s="828" t="b">
        <f>AND('Subsidy Contract Calculation'!F35&gt;0,OR('Subsidy Contract Calculation'!C35="Federal",'Subsidy Contract Calculation'!C35="Local - Approved by ED"),Cdlac[[#This Row],[Quantity]]&gt;0)</f>
        <v>0</v>
      </c>
    </row>
    <row r="52" spans="2:21" ht="15" customHeight="1">
      <c r="E52" s="900" t="s">
        <v>2624</v>
      </c>
      <c r="G52" s="897">
        <f>ROUNDDOWN(E29*50%,0)</f>
        <v>49</v>
      </c>
      <c r="L52" s="828" t="str">
        <f>IFERROR(MIN(4,MATCH(Application!B750,UnitSizes,0)-1),"")</f>
        <v/>
      </c>
      <c r="M52" s="849">
        <f>Application!G750</f>
        <v>0</v>
      </c>
      <c r="N52" s="855">
        <f>Application!AC750</f>
        <v>0</v>
      </c>
      <c r="O52" s="855" t="str">
        <f>IF(Cdlac[[#This Row],[Quantity]]&gt;0,IF(Cdlac[[#This Row],[Federal]],30%,IF(AND(OR(NOT($G$38),$G$38=""),$G$43),40%,Cdlac[[#This Row],[iAMI]])),"")</f>
        <v/>
      </c>
      <c r="P52" s="849" t="str" cm="1">
        <f t="array" ref="P52">IF(Cdlac[[#This Row],[Quantity]]&gt;0,INDEX(TcacRents,$P$18,Cdlac[[#This Row],[Bedrooms]]+1)*Cdlac[[#This Row],[AMI]],"")</f>
        <v/>
      </c>
      <c r="Q52" s="945"/>
      <c r="R52" s="849" t="str" cm="1">
        <f t="array" ref="R52">IF(Cdlac[[#This Row],[Quantity]]&gt;0,INDEX(HudFmrs,$P$18,Cdlac[[#This Row],[Bedrooms]]+1),"")</f>
        <v/>
      </c>
      <c r="S52" s="849" t="str">
        <f>IF(Cdlac[[#This Row],[Quantity]]&gt;0,MAX(0,Cdlac[[#This Row],[Fair Market Rent]]-IF(AND($G$37,$G$38,$G$38&lt;&gt;"",NOT(Cdlac[[#This Row],[Federal]]),Cdlac[[#This Row],[Preservation Rent]]&lt;&gt;""),Cdlac[[#This Row],[Preservation Rent]],Cdlac[[#This Row],[Restricted Rent]])),"")</f>
        <v/>
      </c>
      <c r="T52" s="828" t="str">
        <f>IF(Cdlac[[#This Row],[Quantity]]&gt;0,AND(Application!AK750&lt;&gt;"N/A",Application!AK750&lt;&gt;"")*Cdlac[[#This Row],[Quantity]],"")</f>
        <v/>
      </c>
      <c r="U52" s="828" t="b">
        <f>AND('Subsidy Contract Calculation'!F36&gt;0,OR('Subsidy Contract Calculation'!C36="Federal",'Subsidy Contract Calculation'!C36="Local - Approved by ED"),Cdlac[[#This Row],[Quantity]]&gt;0)</f>
        <v>0</v>
      </c>
    </row>
    <row r="53" spans="2:21" ht="15" customHeight="1">
      <c r="E53" s="900"/>
      <c r="G53" s="908"/>
      <c r="L53" s="828" t="str">
        <f>IFERROR(MIN(4,MATCH(Application!B751,UnitSizes,0)-1),"")</f>
        <v/>
      </c>
      <c r="M53" s="849">
        <f>Application!G751</f>
        <v>0</v>
      </c>
      <c r="N53" s="855">
        <f>Application!AC751</f>
        <v>0</v>
      </c>
      <c r="O53" s="855" t="str">
        <f>IF(Cdlac[[#This Row],[Quantity]]&gt;0,IF(Cdlac[[#This Row],[Federal]],30%,IF(AND(OR(NOT($G$38),$G$38=""),$G$43),40%,Cdlac[[#This Row],[iAMI]])),"")</f>
        <v/>
      </c>
      <c r="P53" s="849" t="str" cm="1">
        <f t="array" ref="P53">IF(Cdlac[[#This Row],[Quantity]]&gt;0,INDEX(TcacRents,$P$18,Cdlac[[#This Row],[Bedrooms]]+1)*Cdlac[[#This Row],[AMI]],"")</f>
        <v/>
      </c>
      <c r="Q53" s="945"/>
      <c r="R53" s="849" t="str" cm="1">
        <f t="array" ref="R53">IF(Cdlac[[#This Row],[Quantity]]&gt;0,INDEX(HudFmrs,$P$18,Cdlac[[#This Row],[Bedrooms]]+1),"")</f>
        <v/>
      </c>
      <c r="S53" s="849" t="str">
        <f>IF(Cdlac[[#This Row],[Quantity]]&gt;0,MAX(0,Cdlac[[#This Row],[Fair Market Rent]]-IF(AND($G$37,$G$38,$G$38&lt;&gt;"",NOT(Cdlac[[#This Row],[Federal]]),Cdlac[[#This Row],[Preservation Rent]]&lt;&gt;""),Cdlac[[#This Row],[Preservation Rent]],Cdlac[[#This Row],[Restricted Rent]])),"")</f>
        <v/>
      </c>
      <c r="T53" s="828" t="str">
        <f>IF(Cdlac[[#This Row],[Quantity]]&gt;0,AND(Application!AK751&lt;&gt;"N/A",Application!AK751&lt;&gt;"")*Cdlac[[#This Row],[Quantity]],"")</f>
        <v/>
      </c>
      <c r="U53" s="828" t="b">
        <f>AND('Subsidy Contract Calculation'!F37&gt;0,OR('Subsidy Contract Calculation'!C37="Federal",'Subsidy Contract Calculation'!C37="Local - Approved by ED"),Cdlac[[#This Row],[Quantity]]&gt;0)</f>
        <v>0</v>
      </c>
    </row>
    <row r="54" spans="2:21" ht="15" customHeight="1">
      <c r="E54" s="900" t="s">
        <v>2625</v>
      </c>
      <c r="G54" s="897">
        <f>MIN(G51:G52)</f>
        <v>0</v>
      </c>
      <c r="L54" s="828" t="str">
        <f>IFERROR(MIN(4,MATCH(Application!B752,UnitSizes,0)-1),"")</f>
        <v/>
      </c>
      <c r="M54" s="849">
        <f>Application!G752</f>
        <v>0</v>
      </c>
      <c r="N54" s="855">
        <f>Application!AC752</f>
        <v>0</v>
      </c>
      <c r="O54" s="855" t="str">
        <f>IF(Cdlac[[#This Row],[Quantity]]&gt;0,IF(Cdlac[[#This Row],[Federal]],30%,IF(AND(OR(NOT($G$38),$G$38=""),$G$43),40%,Cdlac[[#This Row],[iAMI]])),"")</f>
        <v/>
      </c>
      <c r="P54" s="849" t="str" cm="1">
        <f t="array" ref="P54">IF(Cdlac[[#This Row],[Quantity]]&gt;0,INDEX(TcacRents,$P$18,Cdlac[[#This Row],[Bedrooms]]+1)*Cdlac[[#This Row],[AMI]],"")</f>
        <v/>
      </c>
      <c r="Q54" s="945"/>
      <c r="R54" s="849" t="str" cm="1">
        <f t="array" ref="R54">IF(Cdlac[[#This Row],[Quantity]]&gt;0,INDEX(HudFmrs,$P$18,Cdlac[[#This Row],[Bedrooms]]+1),"")</f>
        <v/>
      </c>
      <c r="S54" s="849" t="str">
        <f>IF(Cdlac[[#This Row],[Quantity]]&gt;0,MAX(0,Cdlac[[#This Row],[Fair Market Rent]]-IF(AND($G$37,$G$38,$G$38&lt;&gt;"",NOT(Cdlac[[#This Row],[Federal]]),Cdlac[[#This Row],[Preservation Rent]]&lt;&gt;""),Cdlac[[#This Row],[Preservation Rent]],Cdlac[[#This Row],[Restricted Rent]])),"")</f>
        <v/>
      </c>
      <c r="T54" s="828" t="str">
        <f>IF(Cdlac[[#This Row],[Quantity]]&gt;0,AND(Application!AK752&lt;&gt;"N/A",Application!AK752&lt;&gt;"")*Cdlac[[#This Row],[Quantity]],"")</f>
        <v/>
      </c>
      <c r="U54" s="828" t="b">
        <f>AND('Subsidy Contract Calculation'!F38&gt;0,OR('Subsidy Contract Calculation'!C38="Federal",'Subsidy Contract Calculation'!C38="Local - Approved by ED"),Cdlac[[#This Row],[Quantity]]&gt;0)</f>
        <v>0</v>
      </c>
    </row>
    <row r="55" spans="2:21" ht="15" customHeight="1">
      <c r="E55" s="900" t="s">
        <v>2613</v>
      </c>
      <c r="F55" s="896" t="s">
        <v>2614</v>
      </c>
      <c r="G55" s="907">
        <v>10000</v>
      </c>
      <c r="M55" s="849"/>
      <c r="N55" s="855"/>
      <c r="O55" s="855"/>
      <c r="P55" s="849"/>
      <c r="Q55" s="945"/>
      <c r="R55" s="849"/>
      <c r="S55" s="849"/>
    </row>
    <row r="56" spans="2:21" ht="15" customHeight="1">
      <c r="E56" s="901" t="s">
        <v>2626</v>
      </c>
      <c r="F56" s="830"/>
      <c r="G56" s="906">
        <f>G54*G55</f>
        <v>0</v>
      </c>
    </row>
    <row r="57" spans="2:21" ht="15" customHeight="1"/>
    <row r="58" spans="2:21" ht="15" customHeight="1">
      <c r="B58" s="850" t="str">
        <f>B11&amp;": "&amp;B13</f>
        <v>C. Population Benefit: (2) Extremely Low Income Benefit</v>
      </c>
      <c r="C58" s="851"/>
      <c r="D58" s="851"/>
      <c r="E58" s="851"/>
      <c r="F58" s="851"/>
      <c r="G58" s="851"/>
      <c r="H58" s="851"/>
      <c r="I58" s="852"/>
    </row>
    <row r="59" spans="2:21" ht="15" customHeight="1"/>
    <row r="60" spans="2:21" ht="15" customHeight="1">
      <c r="E60" s="900" t="s">
        <v>2627</v>
      </c>
      <c r="G60" s="863">
        <f>SUMIFS(Cdlac[Quantity],Cdlac[iAMI],"&lt;=30%")</f>
        <v>11</v>
      </c>
    </row>
    <row r="61" spans="2:21" ht="15" customHeight="1">
      <c r="E61" s="900" t="s">
        <v>2624</v>
      </c>
      <c r="G61" s="863">
        <f>ROUNDDOWN(E29*50%,0)</f>
        <v>49</v>
      </c>
    </row>
    <row r="62" spans="2:21" ht="15" customHeight="1">
      <c r="E62" s="900"/>
      <c r="G62" s="863"/>
    </row>
    <row r="63" spans="2:21" ht="15" customHeight="1">
      <c r="E63" s="900" t="s">
        <v>2625</v>
      </c>
      <c r="G63" s="897">
        <f>MIN(G60:G61)</f>
        <v>11</v>
      </c>
    </row>
    <row r="64" spans="2:21" ht="15" customHeight="1">
      <c r="E64" s="900" t="s">
        <v>2613</v>
      </c>
      <c r="F64" s="896" t="s">
        <v>2614</v>
      </c>
      <c r="G64" s="907">
        <v>20000</v>
      </c>
    </row>
    <row r="65" spans="2:14" ht="15" customHeight="1">
      <c r="E65" s="901" t="s">
        <v>2628</v>
      </c>
      <c r="F65" s="830"/>
      <c r="G65" s="906">
        <f>G63*G64</f>
        <v>220000</v>
      </c>
    </row>
    <row r="66" spans="2:14" ht="15" customHeight="1"/>
    <row r="67" spans="2:14" ht="15" customHeight="1">
      <c r="B67" s="850" t="str">
        <f>B14&amp;": "&amp;B15</f>
        <v>D. Location Benefit: (1) Resource Area Benefit</v>
      </c>
      <c r="C67" s="851"/>
      <c r="D67" s="851"/>
      <c r="E67" s="851"/>
      <c r="F67" s="851"/>
      <c r="G67" s="851"/>
      <c r="H67" s="851"/>
      <c r="I67" s="852"/>
    </row>
    <row r="68" spans="2:14" ht="15" customHeight="1"/>
    <row r="69" spans="2:14" ht="15" customHeight="1">
      <c r="C69" s="861" t="s">
        <v>2629</v>
      </c>
      <c r="G69" s="827" t="s">
        <v>694</v>
      </c>
    </row>
    <row r="70" spans="2:14" ht="15" customHeight="1">
      <c r="C70" s="861" t="s">
        <v>2630</v>
      </c>
      <c r="G70" s="865" t="str">
        <f>IF(Application!D211="Large Family","Yes","No")</f>
        <v>Yes</v>
      </c>
    </row>
    <row r="71" spans="2:14" ht="15" customHeight="1" thickBot="1">
      <c r="C71" s="861" t="s">
        <v>2631</v>
      </c>
      <c r="G71" s="827"/>
    </row>
    <row r="72" spans="2:14" ht="15" customHeight="1">
      <c r="C72" s="861" t="s">
        <v>2632</v>
      </c>
      <c r="G72" s="828" t="str">
        <f>Application!T193</f>
        <v>Highest Resource</v>
      </c>
      <c r="L72" s="2596" t="s">
        <v>880</v>
      </c>
      <c r="M72" s="2597"/>
      <c r="N72" s="914">
        <v>30000</v>
      </c>
    </row>
    <row r="73" spans="2:14" ht="15" customHeight="1">
      <c r="C73" s="2598" t="s">
        <v>2633</v>
      </c>
      <c r="D73" s="2598"/>
      <c r="E73" s="2598"/>
      <c r="F73" s="2598"/>
      <c r="G73" s="827"/>
      <c r="L73" s="2607" t="s">
        <v>884</v>
      </c>
      <c r="M73" s="2608"/>
      <c r="N73" s="915">
        <v>20000</v>
      </c>
    </row>
    <row r="74" spans="2:14" ht="15" customHeight="1" thickBot="1">
      <c r="C74" s="2598"/>
      <c r="D74" s="2598"/>
      <c r="E74" s="2598"/>
      <c r="F74" s="2598"/>
      <c r="L74" s="2609" t="s">
        <v>891</v>
      </c>
      <c r="M74" s="2610"/>
      <c r="N74" s="916">
        <v>10000</v>
      </c>
    </row>
    <row r="75" spans="2:14" ht="15" customHeight="1">
      <c r="C75" s="861"/>
    </row>
    <row r="76" spans="2:14" ht="15" customHeight="1">
      <c r="E76" s="868" t="s">
        <v>2634</v>
      </c>
      <c r="G76" s="863" t="b">
        <f>OR(AND(COUNTIFS(G70:G71,"Yes")&gt;=1,G69="Yes"),G73="Yes")</f>
        <v>1</v>
      </c>
    </row>
    <row r="77" spans="2:14" ht="15" customHeight="1">
      <c r="E77" s="868"/>
      <c r="G77" s="863"/>
    </row>
    <row r="78" spans="2:14" ht="15" customHeight="1">
      <c r="E78" s="868" t="s">
        <v>2613</v>
      </c>
      <c r="G78" s="862">
        <f>IFERROR(IF($G$73="Yes",30000,INDEX(N72:N74,MATCH(LEFT(G72,17),L72:L74,0))),0)</f>
        <v>30000</v>
      </c>
    </row>
    <row r="79" spans="2:14" ht="15" customHeight="1">
      <c r="E79" s="868" t="str">
        <f>E96</f>
        <v>Bedroom-Adjusted Low-Income Units</v>
      </c>
      <c r="F79" s="896" t="s">
        <v>2614</v>
      </c>
      <c r="G79" s="897">
        <f>G29</f>
        <v>122</v>
      </c>
    </row>
    <row r="80" spans="2:14" ht="15" customHeight="1">
      <c r="D80" s="830"/>
      <c r="E80" s="901" t="s">
        <v>2635</v>
      </c>
      <c r="F80" s="830"/>
      <c r="G80" s="906">
        <f>G79*G78*G76</f>
        <v>3660000</v>
      </c>
    </row>
    <row r="81" spans="2:9" ht="15" customHeight="1"/>
    <row r="82" spans="2:9" ht="15" customHeight="1">
      <c r="B82" s="850" t="str">
        <f>B14&amp;": "&amp;B16</f>
        <v>D. Location Benefit: (2) Community Revitalization Benefit</v>
      </c>
      <c r="C82" s="851"/>
      <c r="D82" s="851"/>
      <c r="E82" s="851"/>
      <c r="F82" s="851"/>
      <c r="G82" s="851"/>
      <c r="H82" s="851"/>
      <c r="I82" s="852"/>
    </row>
    <row r="83" spans="2:9" ht="15" customHeight="1"/>
    <row r="84" spans="2:9" ht="15" customHeight="1">
      <c r="F84" s="899" t="s">
        <v>2636</v>
      </c>
      <c r="G84" s="827" t="s">
        <v>844</v>
      </c>
    </row>
    <row r="85" spans="2:9" ht="15" customHeight="1">
      <c r="F85" s="899"/>
    </row>
    <row r="86" spans="2:9" ht="15" customHeight="1">
      <c r="E86" s="868" t="s">
        <v>2634</v>
      </c>
      <c r="G86" s="863" t="b">
        <f>G84="Yes"</f>
        <v>0</v>
      </c>
    </row>
    <row r="87" spans="2:9" ht="15" customHeight="1"/>
    <row r="88" spans="2:9" ht="15" customHeight="1">
      <c r="E88" s="868" t="str">
        <f>E96</f>
        <v>Bedroom-Adjusted Low-Income Units</v>
      </c>
      <c r="G88" s="897">
        <f>G29</f>
        <v>122</v>
      </c>
    </row>
    <row r="89" spans="2:9" ht="15" customHeight="1">
      <c r="E89" s="868" t="s">
        <v>2613</v>
      </c>
      <c r="F89" s="896" t="s">
        <v>2614</v>
      </c>
      <c r="G89" s="834">
        <v>20000</v>
      </c>
    </row>
    <row r="90" spans="2:9" ht="15" customHeight="1">
      <c r="E90" s="901" t="s">
        <v>2637</v>
      </c>
      <c r="F90" s="830"/>
      <c r="G90" s="906">
        <f>G86*G89*G88</f>
        <v>0</v>
      </c>
    </row>
    <row r="91" spans="2:9" ht="15" customHeight="1"/>
    <row r="92" spans="2:9" ht="15" customHeight="1">
      <c r="B92" s="850" t="str">
        <f>B14&amp;": "&amp;B17</f>
        <v>D. Location Benefit: (3) Transit/Walkability Benefit</v>
      </c>
      <c r="C92" s="851"/>
      <c r="D92" s="851"/>
      <c r="E92" s="851"/>
      <c r="F92" s="851"/>
      <c r="G92" s="851"/>
      <c r="H92" s="851"/>
      <c r="I92" s="852"/>
    </row>
    <row r="93" spans="2:9" ht="15" customHeight="1"/>
    <row r="94" spans="2:9" ht="15" customHeight="1">
      <c r="E94" s="868" t="s">
        <v>2638</v>
      </c>
      <c r="G94" s="897">
        <f>VLOOKUP('Points System'!$H$606,'Points System'!$AO$586:$AP$591,2,FALSE)</f>
        <v>7</v>
      </c>
    </row>
    <row r="95" spans="2:9" ht="15" customHeight="1">
      <c r="E95" s="868" t="s">
        <v>2613</v>
      </c>
      <c r="F95" s="896" t="s">
        <v>2614</v>
      </c>
      <c r="G95" s="860">
        <v>4000</v>
      </c>
    </row>
    <row r="96" spans="2:9" ht="15" customHeight="1" thickBot="1">
      <c r="E96" s="868" t="s">
        <v>2639</v>
      </c>
      <c r="F96" s="896" t="s">
        <v>2614</v>
      </c>
      <c r="G96" s="909">
        <f>G29</f>
        <v>122</v>
      </c>
    </row>
    <row r="97" spans="2:14" ht="15" customHeight="1">
      <c r="E97" s="901" t="s">
        <v>2640</v>
      </c>
      <c r="F97" s="830"/>
      <c r="G97" s="906">
        <f>G94*G95*G96</f>
        <v>3416000</v>
      </c>
      <c r="L97" s="910" t="str">
        <f>'Points System'!H638</f>
        <v>(i)</v>
      </c>
      <c r="M97" s="2615" t="s">
        <v>2491</v>
      </c>
      <c r="N97" s="2616"/>
    </row>
    <row r="98" spans="2:14" ht="15" customHeight="1">
      <c r="C98" s="861"/>
      <c r="G98" s="897"/>
      <c r="L98" s="911" t="str">
        <f>'Points System'!H650</f>
        <v>N/A</v>
      </c>
      <c r="M98" s="2611" t="s">
        <v>2641</v>
      </c>
      <c r="N98" s="2612"/>
    </row>
    <row r="99" spans="2:14" ht="15" customHeight="1">
      <c r="E99" s="868" t="s">
        <v>2642</v>
      </c>
      <c r="G99" s="909">
        <f>COUNTIFS(L97:L104,"(i)")</f>
        <v>4</v>
      </c>
      <c r="L99" s="911" t="str">
        <f>'Points System'!H685</f>
        <v>(i)</v>
      </c>
      <c r="M99" s="2611" t="s">
        <v>2643</v>
      </c>
      <c r="N99" s="2612"/>
    </row>
    <row r="100" spans="2:14" ht="15" customHeight="1">
      <c r="E100" s="868" t="s">
        <v>2613</v>
      </c>
      <c r="F100" s="896" t="s">
        <v>2614</v>
      </c>
      <c r="G100" s="907">
        <v>4000</v>
      </c>
      <c r="L100" s="911" t="str">
        <f>IF(OR('Points System'!H709="(ii)",'Points System'!H709="(i)"),"(i)","N/A")</f>
        <v>N/A</v>
      </c>
      <c r="M100" s="2611" t="s">
        <v>2644</v>
      </c>
      <c r="N100" s="2612"/>
    </row>
    <row r="101" spans="2:14" ht="15" customHeight="1">
      <c r="E101" s="901" t="s">
        <v>2645</v>
      </c>
      <c r="F101" s="830"/>
      <c r="G101" s="906">
        <f>G96*G99*G100</f>
        <v>1952000</v>
      </c>
      <c r="L101" s="912" t="str">
        <f>'Points System'!H723</f>
        <v>N/A</v>
      </c>
      <c r="M101" s="2611" t="s">
        <v>2531</v>
      </c>
      <c r="N101" s="2612"/>
    </row>
    <row r="102" spans="2:14" ht="15" customHeight="1">
      <c r="L102" s="911" t="str">
        <f>'Points System'!H735</f>
        <v>N/A</v>
      </c>
      <c r="M102" s="2611" t="s">
        <v>2646</v>
      </c>
      <c r="N102" s="2612"/>
    </row>
    <row r="103" spans="2:14" ht="15" customHeight="1">
      <c r="C103" s="864" t="s">
        <v>2647</v>
      </c>
      <c r="L103" s="911" t="str">
        <f>'Points System'!H751</f>
        <v>(i)</v>
      </c>
      <c r="M103" s="2611" t="s">
        <v>2648</v>
      </c>
      <c r="N103" s="2612"/>
    </row>
    <row r="104" spans="2:14" ht="15" customHeight="1" thickBot="1">
      <c r="C104" s="861" t="s">
        <v>2649</v>
      </c>
      <c r="G104" s="827"/>
      <c r="L104" s="913" t="str">
        <f>'Points System'!H763</f>
        <v>(i)</v>
      </c>
      <c r="M104" s="2613" t="s">
        <v>2535</v>
      </c>
      <c r="N104" s="2614"/>
    </row>
    <row r="105" spans="2:14" ht="15" customHeight="1">
      <c r="C105" s="861" t="s">
        <v>2650</v>
      </c>
      <c r="G105" s="827"/>
    </row>
    <row r="106" spans="2:14" ht="15" customHeight="1">
      <c r="C106" s="861" t="s">
        <v>2651</v>
      </c>
      <c r="G106" s="827" t="s">
        <v>694</v>
      </c>
    </row>
    <row r="107" spans="2:14" ht="15" customHeight="1">
      <c r="C107" s="861" t="s">
        <v>2652</v>
      </c>
      <c r="G107" s="827"/>
    </row>
    <row r="108" spans="2:14" ht="15" customHeight="1"/>
    <row r="109" spans="2:14" ht="15" customHeight="1">
      <c r="B109" s="862"/>
      <c r="C109" s="861"/>
      <c r="E109" s="868" t="s">
        <v>2634</v>
      </c>
      <c r="G109" s="863" t="b">
        <f>COUNTIFS(G104:G107,"Yes")&gt;=1</f>
        <v>1</v>
      </c>
    </row>
    <row r="110" spans="2:14" ht="15" customHeight="1">
      <c r="E110" s="861"/>
    </row>
    <row r="111" spans="2:14" ht="15" customHeight="1">
      <c r="E111" s="868" t="s">
        <v>2639</v>
      </c>
      <c r="F111" s="896" t="s">
        <v>2614</v>
      </c>
      <c r="G111" s="897">
        <f>G29</f>
        <v>122</v>
      </c>
    </row>
    <row r="112" spans="2:14" ht="15" customHeight="1">
      <c r="E112" s="868" t="s">
        <v>2613</v>
      </c>
      <c r="F112" s="896" t="s">
        <v>2614</v>
      </c>
      <c r="G112" s="907">
        <v>25000</v>
      </c>
    </row>
    <row r="113" spans="2:9" ht="15" customHeight="1">
      <c r="E113" s="901" t="s">
        <v>2653</v>
      </c>
      <c r="F113" s="830"/>
      <c r="G113" s="906">
        <f>G109*G112*G96</f>
        <v>3050000</v>
      </c>
    </row>
    <row r="114" spans="2:9" ht="15" customHeight="1">
      <c r="C114" s="861"/>
      <c r="E114" s="861"/>
    </row>
    <row r="115" spans="2:9" ht="15" customHeight="1">
      <c r="E115" s="901" t="s">
        <v>2654</v>
      </c>
      <c r="G115" s="906">
        <f>G113+G101+G97</f>
        <v>8418000</v>
      </c>
    </row>
    <row r="116" spans="2:9" ht="15" customHeight="1"/>
    <row r="117" spans="2:9" ht="15" customHeight="1">
      <c r="B117" s="850" t="s">
        <v>1773</v>
      </c>
      <c r="C117" s="851"/>
      <c r="D117" s="851"/>
      <c r="E117" s="851"/>
      <c r="F117" s="851"/>
      <c r="G117" s="851"/>
      <c r="H117" s="851"/>
      <c r="I117" s="852"/>
    </row>
    <row r="118" spans="2:9" ht="15" customHeight="1"/>
    <row r="119" spans="2:9" ht="15" customHeight="1">
      <c r="C119" s="2587" t="s">
        <v>2655</v>
      </c>
      <c r="D119" s="2587"/>
      <c r="E119" s="2587"/>
      <c r="F119" s="2587"/>
    </row>
    <row r="120" spans="2:9" ht="15" customHeight="1">
      <c r="C120" s="2587"/>
      <c r="D120" s="2587"/>
      <c r="E120" s="2587"/>
      <c r="F120" s="2587"/>
      <c r="G120" s="827"/>
    </row>
    <row r="121" spans="2:9" ht="15" customHeight="1"/>
    <row r="122" spans="2:9" ht="15" customHeight="1">
      <c r="C122" s="828" t="s">
        <v>2656</v>
      </c>
      <c r="G122" s="2589"/>
      <c r="H122" s="2589"/>
    </row>
    <row r="123" spans="2:9" ht="15" customHeight="1">
      <c r="G123" s="2589"/>
      <c r="H123" s="2589"/>
    </row>
    <row r="124" spans="2:9" ht="15" customHeight="1">
      <c r="G124" s="2590"/>
      <c r="H124" s="2590"/>
    </row>
    <row r="125" spans="2:9" ht="15" customHeight="1">
      <c r="G125" s="942"/>
      <c r="H125" s="942"/>
    </row>
    <row r="126" spans="2:9" ht="15" customHeight="1">
      <c r="B126" s="850" t="s">
        <v>2657</v>
      </c>
      <c r="C126" s="851"/>
      <c r="D126" s="851"/>
      <c r="E126" s="851"/>
      <c r="F126" s="851"/>
      <c r="G126" s="851"/>
      <c r="H126" s="851"/>
      <c r="I126" s="852"/>
    </row>
    <row r="128" spans="2:9">
      <c r="E128" s="868" t="s">
        <v>933</v>
      </c>
      <c r="G128" s="828" t="str">
        <f>IF(Application!T189="","",Application!T189)</f>
        <v>Santa Clara</v>
      </c>
    </row>
    <row r="129" spans="2:9">
      <c r="E129" s="868"/>
      <c r="G129" s="862"/>
    </row>
    <row r="130" spans="2:9">
      <c r="E130" s="868" t="str">
        <f>"2-Bedroom "&amp;G128&amp;" County Basis Limit"</f>
        <v>2-Bedroom Santa Clara County Basis Limit</v>
      </c>
      <c r="G130" s="862">
        <f>Application!R988</f>
        <v>740000</v>
      </c>
    </row>
    <row r="131" spans="2:9">
      <c r="E131" s="868" t="s">
        <v>2658</v>
      </c>
      <c r="G131" s="862">
        <f>MEDIAN((Application!CU160:CU217))</f>
        <v>489600</v>
      </c>
    </row>
    <row r="132" spans="2:9">
      <c r="D132" s="830"/>
      <c r="E132" s="901" t="s">
        <v>2659</v>
      </c>
      <c r="F132" s="917"/>
      <c r="G132" s="918">
        <f>((G130-G131)/G131)*0.25</f>
        <v>0.127859477124183</v>
      </c>
      <c r="H132" s="826"/>
      <c r="I132" s="826"/>
    </row>
    <row r="133" spans="2:9">
      <c r="D133" s="829"/>
      <c r="E133" s="829"/>
    </row>
    <row r="134" spans="2:9">
      <c r="B134" s="850" t="s">
        <v>2660</v>
      </c>
      <c r="C134" s="851"/>
      <c r="D134" s="851"/>
      <c r="E134" s="851"/>
      <c r="F134" s="851"/>
      <c r="G134" s="851"/>
      <c r="H134" s="851"/>
      <c r="I134" s="852"/>
    </row>
    <row r="136" spans="2:9">
      <c r="E136" s="868" t="s">
        <v>2616</v>
      </c>
      <c r="G136" s="828" t="b">
        <f>G37</f>
        <v>0</v>
      </c>
    </row>
    <row r="137" spans="2:9">
      <c r="E137" s="868" t="s">
        <v>2661</v>
      </c>
      <c r="G137" s="828" t="b">
        <f>OR('Points System'!B52="Yes", 'Points System'!B56="Yes",'Points System'!B58="Yes")</f>
        <v>0</v>
      </c>
    </row>
    <row r="138" spans="2:9">
      <c r="C138" s="2582" t="s">
        <v>2662</v>
      </c>
      <c r="D138" s="2582"/>
      <c r="E138" s="2582"/>
      <c r="F138" s="2582"/>
    </row>
    <row r="139" spans="2:9">
      <c r="B139" s="829"/>
      <c r="C139" s="2582"/>
      <c r="D139" s="2582"/>
      <c r="E139" s="2582"/>
      <c r="F139" s="2582"/>
      <c r="G139" s="827"/>
    </row>
    <row r="140" spans="2:9">
      <c r="B140" s="829"/>
      <c r="C140" s="829"/>
      <c r="D140" s="829"/>
      <c r="E140" s="829"/>
      <c r="F140" s="829"/>
    </row>
    <row r="141" spans="2:9" ht="14.25" customHeight="1">
      <c r="E141" s="868" t="s">
        <v>2663</v>
      </c>
      <c r="G141" s="950"/>
    </row>
    <row r="143" spans="2:9">
      <c r="E143" s="868" t="s">
        <v>2664</v>
      </c>
      <c r="G143" s="949">
        <f>IF(I9=0,0,G141/I9)</f>
        <v>0</v>
      </c>
    </row>
    <row r="144" spans="2:9">
      <c r="E144" s="868" t="s">
        <v>2665</v>
      </c>
      <c r="G144" s="947">
        <f>I9*0.15</f>
        <v>5667908.25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6640625" hidden="1"/>
  </cols>
  <sheetData>
    <row r="1" spans="1:1" ht="46.8">
      <c r="A1" s="194" t="s">
        <v>2666</v>
      </c>
    </row>
    <row r="2" spans="1:1" ht="15.6">
      <c r="A2" s="195"/>
    </row>
    <row r="3" spans="1:1" ht="15.6">
      <c r="A3" s="196" t="s">
        <v>2667</v>
      </c>
    </row>
    <row r="4" spans="1:1" ht="15.6">
      <c r="A4" s="196" t="s">
        <v>2668</v>
      </c>
    </row>
    <row r="5" spans="1:1" ht="15.6">
      <c r="A5" s="196" t="s">
        <v>2669</v>
      </c>
    </row>
    <row r="6" spans="1:1" ht="15.6">
      <c r="A6" s="196" t="s">
        <v>2670</v>
      </c>
    </row>
    <row r="7" spans="1:1" ht="15.6">
      <c r="A7" s="196" t="s">
        <v>2671</v>
      </c>
    </row>
    <row r="8" spans="1:1" ht="15.6">
      <c r="A8" s="220" t="s">
        <v>2672</v>
      </c>
    </row>
    <row r="9" spans="1:1" ht="15.6">
      <c r="A9" s="196" t="s">
        <v>2673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I1" workbookViewId="0">
      <selection activeCell="C4" sqref="C4"/>
    </sheetView>
  </sheetViews>
  <sheetFormatPr defaultColWidth="9.33203125" defaultRowHeight="13.8" zeroHeight="1"/>
  <cols>
    <col min="1" max="2" width="15.6640625" style="186" customWidth="1"/>
    <col min="3" max="3" width="11" style="186" customWidth="1"/>
    <col min="4" max="4" width="15.6640625" style="186" customWidth="1"/>
    <col min="5" max="5" width="3.6640625" style="186" customWidth="1"/>
    <col min="6" max="7" width="15.6640625" style="186" customWidth="1"/>
    <col min="8" max="8" width="3.6640625" style="186" customWidth="1"/>
    <col min="9" max="10" width="15.6640625" style="186" customWidth="1"/>
    <col min="11" max="11" width="3.33203125" style="186" customWidth="1"/>
    <col min="12" max="17" width="15.6640625" style="186" customWidth="1"/>
    <col min="18" max="16384" width="9.33203125" style="186"/>
  </cols>
  <sheetData>
    <row r="1" spans="1:12">
      <c r="A1" s="2617" t="s">
        <v>2674</v>
      </c>
      <c r="B1" s="2617"/>
      <c r="C1" s="2617"/>
      <c r="D1" s="2617"/>
      <c r="E1" s="2617"/>
      <c r="F1" s="2617"/>
      <c r="G1" s="2617"/>
      <c r="H1" s="2617"/>
      <c r="I1" s="2617"/>
      <c r="J1" s="2617"/>
      <c r="K1" s="113"/>
      <c r="L1" s="113"/>
    </row>
    <row r="2" spans="1:12">
      <c r="A2" s="117"/>
      <c r="B2" s="117"/>
      <c r="C2" s="117"/>
      <c r="D2" s="117"/>
      <c r="E2" s="117"/>
      <c r="F2" s="117"/>
      <c r="G2" s="117"/>
      <c r="H2" s="117"/>
      <c r="I2" s="117"/>
      <c r="J2" s="117"/>
    </row>
    <row r="3" spans="1:12" ht="83.4">
      <c r="A3" s="295" t="s">
        <v>2675</v>
      </c>
      <c r="B3" s="295" t="s">
        <v>2676</v>
      </c>
      <c r="C3" s="295" t="s">
        <v>2677</v>
      </c>
      <c r="D3" s="928" t="s">
        <v>2678</v>
      </c>
      <c r="E3" s="113"/>
      <c r="F3" s="928" t="s">
        <v>2679</v>
      </c>
      <c r="G3" s="295" t="s">
        <v>2680</v>
      </c>
      <c r="H3" s="296"/>
      <c r="I3" s="295" t="s">
        <v>2681</v>
      </c>
      <c r="J3" s="295" t="s">
        <v>2682</v>
      </c>
      <c r="K3" s="113"/>
      <c r="L3" s="187"/>
    </row>
    <row r="4" spans="1:12">
      <c r="A4" s="297" t="str">
        <f>Application!B718</f>
        <v>1 Bedroom</v>
      </c>
      <c r="B4" s="866">
        <f>Application!G718</f>
        <v>16</v>
      </c>
      <c r="C4" s="943"/>
      <c r="D4" s="297">
        <f>Application!O718</f>
        <v>2578</v>
      </c>
      <c r="E4" s="298"/>
      <c r="F4" s="867"/>
      <c r="G4" s="297">
        <f>F4*B4</f>
        <v>0</v>
      </c>
      <c r="H4" s="298"/>
      <c r="I4" s="297" t="str">
        <f t="shared" ref="I4:I27" si="0">IF(F4=0,"",(F4-D4))</f>
        <v/>
      </c>
      <c r="J4" s="297" t="str">
        <f t="shared" ref="J4:J27" si="1">IF(F4=0,"",(I4*B4))</f>
        <v/>
      </c>
      <c r="K4" s="113"/>
      <c r="L4" s="187"/>
    </row>
    <row r="5" spans="1:12">
      <c r="A5" s="297" t="str">
        <f>Application!B719</f>
        <v>1 Bedroom</v>
      </c>
      <c r="B5" s="866">
        <f>Application!G719</f>
        <v>12</v>
      </c>
      <c r="C5" s="943"/>
      <c r="D5" s="297">
        <f>Application!O719</f>
        <v>2201</v>
      </c>
      <c r="E5" s="298"/>
      <c r="F5" s="867"/>
      <c r="G5" s="297">
        <f t="shared" ref="G5:G38" si="2">F5*B5</f>
        <v>0</v>
      </c>
      <c r="H5" s="298"/>
      <c r="I5" s="297" t="str">
        <f t="shared" si="0"/>
        <v/>
      </c>
      <c r="J5" s="297" t="str">
        <f t="shared" si="1"/>
        <v/>
      </c>
      <c r="K5" s="113"/>
      <c r="L5" s="187"/>
    </row>
    <row r="6" spans="1:12">
      <c r="A6" s="297" t="str">
        <f>Application!B720</f>
        <v>1 Bedroom</v>
      </c>
      <c r="B6" s="866">
        <f>Application!G720</f>
        <v>4</v>
      </c>
      <c r="C6" s="943"/>
      <c r="D6" s="297">
        <f>Application!O720</f>
        <v>1825</v>
      </c>
      <c r="E6" s="298"/>
      <c r="F6" s="867"/>
      <c r="G6" s="297">
        <f t="shared" si="2"/>
        <v>0</v>
      </c>
      <c r="H6" s="298"/>
      <c r="I6" s="297" t="str">
        <f t="shared" si="0"/>
        <v/>
      </c>
      <c r="J6" s="297" t="str">
        <f t="shared" si="1"/>
        <v/>
      </c>
      <c r="K6" s="113"/>
      <c r="L6" s="187"/>
    </row>
    <row r="7" spans="1:12">
      <c r="A7" s="297" t="str">
        <f>Application!B721</f>
        <v>1 Bedroom</v>
      </c>
      <c r="B7" s="866">
        <f>Application!G721</f>
        <v>4</v>
      </c>
      <c r="C7" s="943"/>
      <c r="D7" s="297">
        <f>Application!O721</f>
        <v>1071</v>
      </c>
      <c r="E7" s="298"/>
      <c r="F7" s="867"/>
      <c r="G7" s="297">
        <f t="shared" si="2"/>
        <v>0</v>
      </c>
      <c r="H7" s="298"/>
      <c r="I7" s="297" t="str">
        <f t="shared" si="0"/>
        <v/>
      </c>
      <c r="J7" s="297" t="str">
        <f t="shared" si="1"/>
        <v/>
      </c>
      <c r="K7" s="113"/>
      <c r="L7" s="187"/>
    </row>
    <row r="8" spans="1:12">
      <c r="A8" s="297" t="str">
        <f>Application!B722</f>
        <v>2 Bedrooms</v>
      </c>
      <c r="B8" s="866">
        <f>Application!G722</f>
        <v>12</v>
      </c>
      <c r="C8" s="943"/>
      <c r="D8" s="297">
        <f>Application!O722</f>
        <v>3085</v>
      </c>
      <c r="E8" s="298"/>
      <c r="F8" s="867"/>
      <c r="G8" s="297">
        <f t="shared" si="2"/>
        <v>0</v>
      </c>
      <c r="H8" s="298"/>
      <c r="I8" s="297" t="str">
        <f t="shared" si="0"/>
        <v/>
      </c>
      <c r="J8" s="297" t="str">
        <f t="shared" si="1"/>
        <v/>
      </c>
      <c r="K8" s="113"/>
      <c r="L8" s="187"/>
    </row>
    <row r="9" spans="1:12">
      <c r="A9" s="297" t="str">
        <f>Application!B723</f>
        <v>2 Bedrooms</v>
      </c>
      <c r="B9" s="866">
        <f>Application!G723</f>
        <v>10</v>
      </c>
      <c r="C9" s="943"/>
      <c r="D9" s="297">
        <f>Application!O723</f>
        <v>2633</v>
      </c>
      <c r="E9" s="298"/>
      <c r="F9" s="867"/>
      <c r="G9" s="297">
        <f t="shared" si="2"/>
        <v>0</v>
      </c>
      <c r="H9" s="298"/>
      <c r="I9" s="297" t="str">
        <f t="shared" si="0"/>
        <v/>
      </c>
      <c r="J9" s="297" t="str">
        <f t="shared" si="1"/>
        <v/>
      </c>
      <c r="K9" s="113"/>
      <c r="L9" s="187"/>
    </row>
    <row r="10" spans="1:12">
      <c r="A10" s="297" t="str">
        <f>Application!B724</f>
        <v>2 Bedrooms</v>
      </c>
      <c r="B10" s="866">
        <f>Application!G724</f>
        <v>3</v>
      </c>
      <c r="C10" s="943"/>
      <c r="D10" s="297">
        <f>Application!O724</f>
        <v>2181</v>
      </c>
      <c r="E10" s="298"/>
      <c r="F10" s="867"/>
      <c r="G10" s="297">
        <f t="shared" si="2"/>
        <v>0</v>
      </c>
      <c r="H10" s="298"/>
      <c r="I10" s="297" t="str">
        <f t="shared" si="0"/>
        <v/>
      </c>
      <c r="J10" s="297" t="str">
        <f t="shared" si="1"/>
        <v/>
      </c>
      <c r="K10" s="113"/>
      <c r="L10" s="187"/>
    </row>
    <row r="11" spans="1:12">
      <c r="A11" s="297" t="str">
        <f>Application!B725</f>
        <v>2 Bedrooms</v>
      </c>
      <c r="B11" s="866">
        <f>Application!G725</f>
        <v>3</v>
      </c>
      <c r="C11" s="943"/>
      <c r="D11" s="297">
        <f>Application!O725</f>
        <v>1276</v>
      </c>
      <c r="E11" s="298"/>
      <c r="F11" s="867"/>
      <c r="G11" s="297">
        <f t="shared" si="2"/>
        <v>0</v>
      </c>
      <c r="H11" s="298"/>
      <c r="I11" s="297" t="str">
        <f t="shared" si="0"/>
        <v/>
      </c>
      <c r="J11" s="297" t="str">
        <f t="shared" si="1"/>
        <v/>
      </c>
      <c r="K11" s="113"/>
      <c r="L11" s="187"/>
    </row>
    <row r="12" spans="1:12">
      <c r="A12" s="297" t="str">
        <f>Application!B726</f>
        <v>3 Bedrooms</v>
      </c>
      <c r="B12" s="866">
        <f>Application!G726</f>
        <v>16</v>
      </c>
      <c r="C12" s="943"/>
      <c r="D12" s="297">
        <f>Application!O726</f>
        <v>3552</v>
      </c>
      <c r="E12" s="298"/>
      <c r="F12" s="867"/>
      <c r="G12" s="297">
        <f t="shared" si="2"/>
        <v>0</v>
      </c>
      <c r="H12" s="298"/>
      <c r="I12" s="297" t="str">
        <f t="shared" si="0"/>
        <v/>
      </c>
      <c r="J12" s="297" t="str">
        <f t="shared" si="1"/>
        <v/>
      </c>
      <c r="K12" s="113"/>
      <c r="L12" s="187"/>
    </row>
    <row r="13" spans="1:12">
      <c r="A13" s="297" t="str">
        <f>Application!B727</f>
        <v>3 Bedrooms</v>
      </c>
      <c r="B13" s="866">
        <f>Application!G727</f>
        <v>11</v>
      </c>
      <c r="C13" s="943"/>
      <c r="D13" s="297">
        <f>Application!O727</f>
        <v>3030</v>
      </c>
      <c r="E13" s="298"/>
      <c r="F13" s="867"/>
      <c r="G13" s="297">
        <f t="shared" si="2"/>
        <v>0</v>
      </c>
      <c r="H13" s="298"/>
      <c r="I13" s="297" t="str">
        <f t="shared" si="0"/>
        <v/>
      </c>
      <c r="J13" s="297" t="str">
        <f t="shared" si="1"/>
        <v/>
      </c>
      <c r="K13" s="113"/>
      <c r="L13" s="187"/>
    </row>
    <row r="14" spans="1:12">
      <c r="A14" s="297" t="str">
        <f>Application!B728</f>
        <v>3 Bedrooms</v>
      </c>
      <c r="B14" s="866">
        <f>Application!G728</f>
        <v>4</v>
      </c>
      <c r="C14" s="943"/>
      <c r="D14" s="297">
        <f>Application!O728</f>
        <v>2508</v>
      </c>
      <c r="E14" s="298"/>
      <c r="F14" s="867"/>
      <c r="G14" s="297">
        <f t="shared" si="2"/>
        <v>0</v>
      </c>
      <c r="H14" s="298"/>
      <c r="I14" s="297" t="str">
        <f t="shared" si="0"/>
        <v/>
      </c>
      <c r="J14" s="297" t="str">
        <f t="shared" si="1"/>
        <v/>
      </c>
      <c r="K14" s="113"/>
      <c r="L14" s="187"/>
    </row>
    <row r="15" spans="1:12">
      <c r="A15" s="297" t="str">
        <f>Application!B729</f>
        <v>3 Bedrooms</v>
      </c>
      <c r="B15" s="866">
        <f>Application!G729</f>
        <v>4</v>
      </c>
      <c r="C15" s="943"/>
      <c r="D15" s="297">
        <f>Application!O729</f>
        <v>1463</v>
      </c>
      <c r="E15" s="298"/>
      <c r="F15" s="867"/>
      <c r="G15" s="297">
        <f t="shared" si="2"/>
        <v>0</v>
      </c>
      <c r="H15" s="298"/>
      <c r="I15" s="297" t="str">
        <f t="shared" si="0"/>
        <v/>
      </c>
      <c r="J15" s="297" t="str">
        <f t="shared" si="1"/>
        <v/>
      </c>
      <c r="K15" s="113"/>
      <c r="L15" s="187"/>
    </row>
    <row r="16" spans="1:12">
      <c r="A16" s="297">
        <f>Application!B730</f>
        <v>0</v>
      </c>
      <c r="B16" s="866">
        <f>Application!G730</f>
        <v>0</v>
      </c>
      <c r="C16" s="943"/>
      <c r="D16" s="297">
        <f>Application!O730</f>
        <v>0</v>
      </c>
      <c r="E16" s="298"/>
      <c r="F16" s="867"/>
      <c r="G16" s="297">
        <f t="shared" si="2"/>
        <v>0</v>
      </c>
      <c r="H16" s="298"/>
      <c r="I16" s="297" t="str">
        <f t="shared" si="0"/>
        <v/>
      </c>
      <c r="J16" s="297" t="str">
        <f t="shared" si="1"/>
        <v/>
      </c>
      <c r="K16" s="113"/>
      <c r="L16" s="187"/>
    </row>
    <row r="17" spans="1:12">
      <c r="A17" s="297">
        <f>Application!B731</f>
        <v>0</v>
      </c>
      <c r="B17" s="866">
        <f>Application!G731</f>
        <v>0</v>
      </c>
      <c r="C17" s="943"/>
      <c r="D17" s="297">
        <f>Application!O731</f>
        <v>0</v>
      </c>
      <c r="E17" s="298"/>
      <c r="F17" s="867"/>
      <c r="G17" s="297">
        <f t="shared" si="2"/>
        <v>0</v>
      </c>
      <c r="H17" s="298"/>
      <c r="I17" s="297" t="str">
        <f t="shared" si="0"/>
        <v/>
      </c>
      <c r="J17" s="297" t="str">
        <f t="shared" si="1"/>
        <v/>
      </c>
      <c r="K17" s="113"/>
      <c r="L17" s="187"/>
    </row>
    <row r="18" spans="1:12">
      <c r="A18" s="297">
        <f>Application!B732</f>
        <v>0</v>
      </c>
      <c r="B18" s="866">
        <f>Application!G732</f>
        <v>0</v>
      </c>
      <c r="C18" s="943"/>
      <c r="D18" s="297">
        <f>Application!O732</f>
        <v>0</v>
      </c>
      <c r="E18" s="298"/>
      <c r="F18" s="867"/>
      <c r="G18" s="297">
        <f t="shared" si="2"/>
        <v>0</v>
      </c>
      <c r="H18" s="298"/>
      <c r="I18" s="297" t="str">
        <f t="shared" si="0"/>
        <v/>
      </c>
      <c r="J18" s="297" t="str">
        <f t="shared" si="1"/>
        <v/>
      </c>
      <c r="K18" s="113"/>
      <c r="L18" s="187"/>
    </row>
    <row r="19" spans="1:12">
      <c r="A19" s="297">
        <f>Application!B733</f>
        <v>0</v>
      </c>
      <c r="B19" s="866">
        <f>Application!G733</f>
        <v>0</v>
      </c>
      <c r="C19" s="943"/>
      <c r="D19" s="297">
        <f>Application!O733</f>
        <v>0</v>
      </c>
      <c r="E19" s="298"/>
      <c r="F19" s="867"/>
      <c r="G19" s="297">
        <f t="shared" si="2"/>
        <v>0</v>
      </c>
      <c r="H19" s="298"/>
      <c r="I19" s="297" t="str">
        <f t="shared" si="0"/>
        <v/>
      </c>
      <c r="J19" s="297" t="str">
        <f t="shared" si="1"/>
        <v/>
      </c>
      <c r="K19" s="113"/>
      <c r="L19" s="187"/>
    </row>
    <row r="20" spans="1:12">
      <c r="A20" s="297">
        <f>Application!B734</f>
        <v>0</v>
      </c>
      <c r="B20" s="866">
        <f>Application!G734</f>
        <v>0</v>
      </c>
      <c r="C20" s="943"/>
      <c r="D20" s="297">
        <f>Application!O734</f>
        <v>0</v>
      </c>
      <c r="E20" s="298"/>
      <c r="F20" s="867"/>
      <c r="G20" s="297">
        <f t="shared" si="2"/>
        <v>0</v>
      </c>
      <c r="H20" s="298"/>
      <c r="I20" s="297" t="str">
        <f t="shared" si="0"/>
        <v/>
      </c>
      <c r="J20" s="297" t="str">
        <f t="shared" si="1"/>
        <v/>
      </c>
      <c r="K20" s="113"/>
      <c r="L20" s="187"/>
    </row>
    <row r="21" spans="1:12">
      <c r="A21" s="297">
        <f>Application!B735</f>
        <v>0</v>
      </c>
      <c r="B21" s="866">
        <f>Application!G735</f>
        <v>0</v>
      </c>
      <c r="C21" s="943"/>
      <c r="D21" s="297">
        <f>Application!O735</f>
        <v>0</v>
      </c>
      <c r="E21" s="298"/>
      <c r="F21" s="867"/>
      <c r="G21" s="297">
        <f t="shared" si="2"/>
        <v>0</v>
      </c>
      <c r="H21" s="298"/>
      <c r="I21" s="297" t="str">
        <f t="shared" si="0"/>
        <v/>
      </c>
      <c r="J21" s="297" t="str">
        <f t="shared" si="1"/>
        <v/>
      </c>
      <c r="K21" s="113"/>
      <c r="L21" s="187"/>
    </row>
    <row r="22" spans="1:12">
      <c r="A22" s="297">
        <f>Application!B736</f>
        <v>0</v>
      </c>
      <c r="B22" s="866">
        <f>Application!G736</f>
        <v>0</v>
      </c>
      <c r="C22" s="943"/>
      <c r="D22" s="297">
        <f>Application!O736</f>
        <v>0</v>
      </c>
      <c r="E22" s="298"/>
      <c r="F22" s="867"/>
      <c r="G22" s="297">
        <f t="shared" si="2"/>
        <v>0</v>
      </c>
      <c r="H22" s="298"/>
      <c r="I22" s="297" t="str">
        <f t="shared" si="0"/>
        <v/>
      </c>
      <c r="J22" s="297" t="str">
        <f t="shared" si="1"/>
        <v/>
      </c>
      <c r="K22" s="113"/>
      <c r="L22" s="187"/>
    </row>
    <row r="23" spans="1:12">
      <c r="A23" s="297">
        <f>Application!B737</f>
        <v>0</v>
      </c>
      <c r="B23" s="866">
        <f>Application!G737</f>
        <v>0</v>
      </c>
      <c r="C23" s="943"/>
      <c r="D23" s="297">
        <f>Application!O737</f>
        <v>0</v>
      </c>
      <c r="E23" s="298"/>
      <c r="F23" s="867"/>
      <c r="G23" s="297">
        <f t="shared" si="2"/>
        <v>0</v>
      </c>
      <c r="H23" s="298"/>
      <c r="I23" s="297" t="str">
        <f t="shared" si="0"/>
        <v/>
      </c>
      <c r="J23" s="297" t="str">
        <f t="shared" si="1"/>
        <v/>
      </c>
      <c r="K23" s="113"/>
      <c r="L23" s="187"/>
    </row>
    <row r="24" spans="1:12">
      <c r="A24" s="297">
        <f>Application!B738</f>
        <v>0</v>
      </c>
      <c r="B24" s="866">
        <f>Application!G738</f>
        <v>0</v>
      </c>
      <c r="C24" s="943"/>
      <c r="D24" s="297">
        <f>Application!O738</f>
        <v>0</v>
      </c>
      <c r="E24" s="298"/>
      <c r="F24" s="867"/>
      <c r="G24" s="297">
        <f t="shared" si="2"/>
        <v>0</v>
      </c>
      <c r="H24" s="298"/>
      <c r="I24" s="297" t="str">
        <f t="shared" si="0"/>
        <v/>
      </c>
      <c r="J24" s="297" t="str">
        <f t="shared" si="1"/>
        <v/>
      </c>
      <c r="K24" s="113"/>
      <c r="L24" s="187"/>
    </row>
    <row r="25" spans="1:12">
      <c r="A25" s="297">
        <f>Application!B739</f>
        <v>0</v>
      </c>
      <c r="B25" s="866">
        <f>Application!G739</f>
        <v>0</v>
      </c>
      <c r="C25" s="943"/>
      <c r="D25" s="297">
        <f>Application!O739</f>
        <v>0</v>
      </c>
      <c r="E25" s="298"/>
      <c r="F25" s="867"/>
      <c r="G25" s="297">
        <f t="shared" si="2"/>
        <v>0</v>
      </c>
      <c r="H25" s="298"/>
      <c r="I25" s="297" t="str">
        <f t="shared" si="0"/>
        <v/>
      </c>
      <c r="J25" s="297" t="str">
        <f t="shared" si="1"/>
        <v/>
      </c>
      <c r="K25" s="113"/>
      <c r="L25" s="187"/>
    </row>
    <row r="26" spans="1:12">
      <c r="A26" s="297">
        <f>Application!B740</f>
        <v>0</v>
      </c>
      <c r="B26" s="866">
        <f>Application!G740</f>
        <v>0</v>
      </c>
      <c r="C26" s="943"/>
      <c r="D26" s="297">
        <f>Application!O740</f>
        <v>0</v>
      </c>
      <c r="E26" s="298"/>
      <c r="F26" s="867"/>
      <c r="G26" s="297">
        <f t="shared" si="2"/>
        <v>0</v>
      </c>
      <c r="H26" s="298"/>
      <c r="I26" s="297" t="str">
        <f t="shared" si="0"/>
        <v/>
      </c>
      <c r="J26" s="297" t="str">
        <f t="shared" si="1"/>
        <v/>
      </c>
      <c r="K26" s="113"/>
      <c r="L26" s="187"/>
    </row>
    <row r="27" spans="1:12">
      <c r="A27" s="297">
        <f>Application!B741</f>
        <v>0</v>
      </c>
      <c r="B27" s="866">
        <f>Application!G741</f>
        <v>0</v>
      </c>
      <c r="C27" s="943"/>
      <c r="D27" s="297">
        <f>Application!O741</f>
        <v>0</v>
      </c>
      <c r="E27" s="298"/>
      <c r="F27" s="867"/>
      <c r="G27" s="297">
        <f t="shared" si="2"/>
        <v>0</v>
      </c>
      <c r="H27" s="298"/>
      <c r="I27" s="297" t="str">
        <f t="shared" si="0"/>
        <v/>
      </c>
      <c r="J27" s="297" t="str">
        <f t="shared" si="1"/>
        <v/>
      </c>
      <c r="K27" s="113"/>
      <c r="L27" s="187"/>
    </row>
    <row r="28" spans="1:12">
      <c r="A28" s="297">
        <f>Application!B742</f>
        <v>0</v>
      </c>
      <c r="B28" s="866">
        <f>Application!G742</f>
        <v>0</v>
      </c>
      <c r="C28" s="943"/>
      <c r="D28" s="297">
        <f>Application!O742</f>
        <v>0</v>
      </c>
      <c r="E28" s="298"/>
      <c r="F28" s="867"/>
      <c r="G28" s="297">
        <f t="shared" si="2"/>
        <v>0</v>
      </c>
      <c r="H28" s="298"/>
      <c r="I28" s="297" t="str">
        <f t="shared" ref="I28:I37" si="3">IF(F28=0,"",(F28-D28))</f>
        <v/>
      </c>
      <c r="J28" s="297" t="str">
        <f t="shared" ref="J28:J37" si="4">IF(F28=0,"",(I28*B28))</f>
        <v/>
      </c>
      <c r="K28" s="113"/>
      <c r="L28" s="187"/>
    </row>
    <row r="29" spans="1:12">
      <c r="A29" s="297">
        <f>Application!B743</f>
        <v>0</v>
      </c>
      <c r="B29" s="866">
        <f>Application!G743</f>
        <v>0</v>
      </c>
      <c r="C29" s="943"/>
      <c r="D29" s="297">
        <f>Application!O743</f>
        <v>0</v>
      </c>
      <c r="E29" s="298"/>
      <c r="F29" s="867"/>
      <c r="G29" s="297">
        <f t="shared" si="2"/>
        <v>0</v>
      </c>
      <c r="H29" s="298"/>
      <c r="I29" s="297" t="str">
        <f t="shared" si="3"/>
        <v/>
      </c>
      <c r="J29" s="297" t="str">
        <f t="shared" si="4"/>
        <v/>
      </c>
      <c r="K29" s="113"/>
      <c r="L29" s="187"/>
    </row>
    <row r="30" spans="1:12">
      <c r="A30" s="297">
        <f>Application!B744</f>
        <v>0</v>
      </c>
      <c r="B30" s="866">
        <f>Application!G744</f>
        <v>0</v>
      </c>
      <c r="C30" s="943"/>
      <c r="D30" s="297">
        <f>Application!O744</f>
        <v>0</v>
      </c>
      <c r="E30" s="298"/>
      <c r="F30" s="867"/>
      <c r="G30" s="297">
        <f t="shared" si="2"/>
        <v>0</v>
      </c>
      <c r="H30" s="298"/>
      <c r="I30" s="297" t="str">
        <f t="shared" si="3"/>
        <v/>
      </c>
      <c r="J30" s="297" t="str">
        <f t="shared" si="4"/>
        <v/>
      </c>
      <c r="K30" s="113"/>
      <c r="L30" s="187"/>
    </row>
    <row r="31" spans="1:12">
      <c r="A31" s="297">
        <f>Application!B745</f>
        <v>0</v>
      </c>
      <c r="B31" s="866">
        <f>Application!G745</f>
        <v>0</v>
      </c>
      <c r="C31" s="943"/>
      <c r="D31" s="297">
        <f>Application!O745</f>
        <v>0</v>
      </c>
      <c r="E31" s="298"/>
      <c r="F31" s="867"/>
      <c r="G31" s="297">
        <f t="shared" si="2"/>
        <v>0</v>
      </c>
      <c r="H31" s="298"/>
      <c r="I31" s="297" t="str">
        <f t="shared" si="3"/>
        <v/>
      </c>
      <c r="J31" s="297" t="str">
        <f t="shared" si="4"/>
        <v/>
      </c>
      <c r="K31" s="113"/>
      <c r="L31" s="187"/>
    </row>
    <row r="32" spans="1:12">
      <c r="A32" s="297">
        <f>Application!B746</f>
        <v>0</v>
      </c>
      <c r="B32" s="866">
        <f>Application!G746</f>
        <v>0</v>
      </c>
      <c r="C32" s="943"/>
      <c r="D32" s="297">
        <f>Application!O746</f>
        <v>0</v>
      </c>
      <c r="E32" s="298"/>
      <c r="F32" s="867"/>
      <c r="G32" s="297">
        <f t="shared" si="2"/>
        <v>0</v>
      </c>
      <c r="H32" s="298"/>
      <c r="I32" s="297" t="str">
        <f t="shared" si="3"/>
        <v/>
      </c>
      <c r="J32" s="297" t="str">
        <f t="shared" si="4"/>
        <v/>
      </c>
      <c r="K32" s="113"/>
      <c r="L32" s="187"/>
    </row>
    <row r="33" spans="1:12">
      <c r="A33" s="297">
        <f>Application!B747</f>
        <v>0</v>
      </c>
      <c r="B33" s="866">
        <f>Application!G747</f>
        <v>0</v>
      </c>
      <c r="C33" s="943"/>
      <c r="D33" s="297">
        <f>Application!O747</f>
        <v>0</v>
      </c>
      <c r="E33" s="298"/>
      <c r="F33" s="867"/>
      <c r="G33" s="297">
        <f t="shared" si="2"/>
        <v>0</v>
      </c>
      <c r="H33" s="298"/>
      <c r="I33" s="297" t="str">
        <f t="shared" si="3"/>
        <v/>
      </c>
      <c r="J33" s="297" t="str">
        <f t="shared" si="4"/>
        <v/>
      </c>
      <c r="K33" s="113"/>
      <c r="L33" s="187"/>
    </row>
    <row r="34" spans="1:12">
      <c r="A34" s="297">
        <f>Application!B748</f>
        <v>0</v>
      </c>
      <c r="B34" s="866">
        <f>Application!G748</f>
        <v>0</v>
      </c>
      <c r="C34" s="943"/>
      <c r="D34" s="297">
        <f>Application!O748</f>
        <v>0</v>
      </c>
      <c r="E34" s="298"/>
      <c r="F34" s="867"/>
      <c r="G34" s="297">
        <f t="shared" si="2"/>
        <v>0</v>
      </c>
      <c r="H34" s="298"/>
      <c r="I34" s="297" t="str">
        <f t="shared" si="3"/>
        <v/>
      </c>
      <c r="J34" s="297" t="str">
        <f t="shared" si="4"/>
        <v/>
      </c>
      <c r="K34" s="113"/>
      <c r="L34" s="187"/>
    </row>
    <row r="35" spans="1:12">
      <c r="A35" s="297">
        <f>Application!B749</f>
        <v>0</v>
      </c>
      <c r="B35" s="866">
        <f>Application!G749</f>
        <v>0</v>
      </c>
      <c r="C35" s="943"/>
      <c r="D35" s="297">
        <f>Application!O749</f>
        <v>0</v>
      </c>
      <c r="E35" s="298"/>
      <c r="F35" s="867"/>
      <c r="G35" s="297">
        <f t="shared" si="2"/>
        <v>0</v>
      </c>
      <c r="H35" s="298"/>
      <c r="I35" s="297" t="str">
        <f t="shared" si="3"/>
        <v/>
      </c>
      <c r="J35" s="297" t="str">
        <f t="shared" si="4"/>
        <v/>
      </c>
      <c r="K35" s="113"/>
      <c r="L35" s="187"/>
    </row>
    <row r="36" spans="1:12">
      <c r="A36" s="297">
        <f>Application!B750</f>
        <v>0</v>
      </c>
      <c r="B36" s="866">
        <f>Application!G750</f>
        <v>0</v>
      </c>
      <c r="C36" s="943"/>
      <c r="D36" s="297">
        <f>Application!O750</f>
        <v>0</v>
      </c>
      <c r="E36" s="298"/>
      <c r="F36" s="867"/>
      <c r="G36" s="297">
        <f t="shared" si="2"/>
        <v>0</v>
      </c>
      <c r="H36" s="298"/>
      <c r="I36" s="297" t="str">
        <f t="shared" si="3"/>
        <v/>
      </c>
      <c r="J36" s="297" t="str">
        <f t="shared" si="4"/>
        <v/>
      </c>
      <c r="K36" s="113"/>
      <c r="L36" s="187"/>
    </row>
    <row r="37" spans="1:12">
      <c r="A37" s="297">
        <f>Application!B751</f>
        <v>0</v>
      </c>
      <c r="B37" s="866">
        <f>Application!G751</f>
        <v>0</v>
      </c>
      <c r="C37" s="943"/>
      <c r="D37" s="297">
        <f>Application!O751</f>
        <v>0</v>
      </c>
      <c r="E37" s="298"/>
      <c r="F37" s="867"/>
      <c r="G37" s="297">
        <f t="shared" si="2"/>
        <v>0</v>
      </c>
      <c r="H37" s="298"/>
      <c r="I37" s="297" t="str">
        <f t="shared" si="3"/>
        <v/>
      </c>
      <c r="J37" s="297" t="str">
        <f t="shared" si="4"/>
        <v/>
      </c>
      <c r="K37" s="113"/>
      <c r="L37" s="187"/>
    </row>
    <row r="38" spans="1:12">
      <c r="A38" s="297">
        <f>Application!B752</f>
        <v>0</v>
      </c>
      <c r="B38" s="866">
        <f>Application!G752</f>
        <v>0</v>
      </c>
      <c r="C38" s="943"/>
      <c r="D38" s="297">
        <f>Application!O752</f>
        <v>0</v>
      </c>
      <c r="E38" s="298"/>
      <c r="F38" s="867"/>
      <c r="G38" s="297">
        <f t="shared" si="2"/>
        <v>0</v>
      </c>
      <c r="H38" s="298"/>
      <c r="I38" s="297" t="str">
        <f>IF(F38=0,"",(F38-D38))</f>
        <v/>
      </c>
      <c r="J38" s="297" t="str">
        <f>IF(F38=0,"",(I38*B38))</f>
        <v/>
      </c>
      <c r="K38" s="113"/>
      <c r="L38" s="187"/>
    </row>
    <row r="39" spans="1:12">
      <c r="A39" s="113"/>
      <c r="B39" s="113"/>
      <c r="C39" s="113"/>
      <c r="D39" s="298"/>
      <c r="E39" s="298"/>
      <c r="F39" s="298"/>
      <c r="G39" s="298"/>
      <c r="H39" s="298"/>
      <c r="I39" s="298"/>
      <c r="J39" s="113"/>
      <c r="K39" s="113"/>
      <c r="L39" s="187"/>
    </row>
    <row r="40" spans="1:12">
      <c r="A40" s="299" t="s">
        <v>2683</v>
      </c>
      <c r="B40" s="300"/>
      <c r="C40" s="300"/>
      <c r="D40" s="301">
        <f>Application!O753</f>
        <v>259011</v>
      </c>
      <c r="E40" s="298"/>
      <c r="F40" s="298"/>
      <c r="G40" s="301">
        <f>SUM(G4:G38)*12</f>
        <v>0</v>
      </c>
      <c r="H40" s="302"/>
      <c r="I40" s="300"/>
      <c r="J40" s="301">
        <f>SUM(J4:J38)*12</f>
        <v>0</v>
      </c>
      <c r="K40" s="113"/>
      <c r="L40" s="188"/>
    </row>
    <row r="41" spans="1:12">
      <c r="A41" s="299"/>
      <c r="B41" s="300"/>
      <c r="C41" s="300"/>
      <c r="D41" s="302"/>
      <c r="E41" s="298"/>
      <c r="F41" s="298"/>
      <c r="G41" s="302"/>
      <c r="H41" s="302"/>
      <c r="I41" s="300"/>
      <c r="J41" s="302"/>
      <c r="K41" s="113"/>
      <c r="L41" s="188"/>
    </row>
    <row r="42" spans="1:12">
      <c r="A42" s="186" t="s">
        <v>2684</v>
      </c>
    </row>
    <row r="43" spans="1:12">
      <c r="A43" s="2618" t="s">
        <v>2685</v>
      </c>
      <c r="B43" s="2618"/>
      <c r="C43" s="2618"/>
      <c r="D43" s="2618"/>
      <c r="E43" s="2618"/>
      <c r="F43" s="2618"/>
      <c r="G43" s="2618"/>
      <c r="H43" s="2618"/>
      <c r="I43" s="2618"/>
      <c r="J43" s="2618"/>
    </row>
    <row r="44" spans="1:12">
      <c r="A44" s="2618"/>
      <c r="B44" s="2618"/>
      <c r="C44" s="2618"/>
      <c r="D44" s="2618"/>
      <c r="E44" s="2618"/>
      <c r="F44" s="2618"/>
      <c r="G44" s="2618"/>
      <c r="H44" s="2618"/>
      <c r="I44" s="2618"/>
      <c r="J44" s="2618"/>
    </row>
    <row r="45" spans="1:12">
      <c r="A45" s="2618" t="s">
        <v>2686</v>
      </c>
      <c r="B45" s="2618"/>
      <c r="C45" s="2618"/>
      <c r="D45" s="2618"/>
      <c r="E45" s="2618"/>
      <c r="F45" s="2618"/>
      <c r="G45" s="2618"/>
      <c r="H45" s="2618"/>
      <c r="I45" s="2618"/>
      <c r="J45" s="2618"/>
    </row>
    <row r="46" spans="1:12">
      <c r="A46" s="2618"/>
      <c r="B46" s="2618"/>
      <c r="C46" s="2618"/>
      <c r="D46" s="2618"/>
      <c r="E46" s="2618"/>
      <c r="F46" s="2618"/>
      <c r="G46" s="2618"/>
      <c r="H46" s="2618"/>
      <c r="I46" s="2618"/>
      <c r="J46" s="261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C1" workbookViewId="0">
      <selection activeCell="AE63" sqref="AE63"/>
    </sheetView>
  </sheetViews>
  <sheetFormatPr defaultColWidth="0" defaultRowHeight="13.2" zeroHeight="1"/>
  <cols>
    <col min="1" max="1" width="3.6640625" customWidth="1"/>
    <col min="2" max="2" width="30.6640625" customWidth="1"/>
    <col min="3" max="3" width="9.33203125" style="120"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118" t="s">
        <v>2687</v>
      </c>
      <c r="B1" s="118"/>
    </row>
    <row r="2" spans="1:34"/>
    <row r="3" spans="1:34" ht="15.6">
      <c r="A3" s="119" t="s">
        <v>2688</v>
      </c>
      <c r="B3" s="119"/>
      <c r="C3" s="140" t="s">
        <v>2689</v>
      </c>
      <c r="D3" s="1178"/>
      <c r="E3" s="141" t="s">
        <v>2690</v>
      </c>
      <c r="F3" s="112"/>
      <c r="G3" s="141" t="s">
        <v>2691</v>
      </c>
      <c r="H3" s="112"/>
      <c r="I3" s="141" t="s">
        <v>2692</v>
      </c>
      <c r="J3" s="112"/>
      <c r="K3" s="141" t="s">
        <v>2693</v>
      </c>
      <c r="L3" s="112"/>
      <c r="M3" s="141" t="s">
        <v>2694</v>
      </c>
      <c r="N3" s="112"/>
      <c r="O3" s="141" t="s">
        <v>2695</v>
      </c>
      <c r="P3" s="112"/>
      <c r="Q3" s="141" t="s">
        <v>2696</v>
      </c>
      <c r="R3" s="112"/>
      <c r="S3" s="141" t="s">
        <v>2697</v>
      </c>
      <c r="T3" s="112"/>
      <c r="U3" s="141" t="s">
        <v>2698</v>
      </c>
      <c r="V3" s="112"/>
      <c r="W3" s="141" t="s">
        <v>2699</v>
      </c>
      <c r="X3" s="112"/>
      <c r="Y3" s="141" t="s">
        <v>2700</v>
      </c>
      <c r="Z3" s="112"/>
      <c r="AA3" s="141" t="s">
        <v>2701</v>
      </c>
      <c r="AB3" s="112"/>
      <c r="AC3" s="141" t="s">
        <v>2702</v>
      </c>
      <c r="AD3" s="112"/>
      <c r="AE3" s="141" t="s">
        <v>2703</v>
      </c>
      <c r="AF3" s="112"/>
      <c r="AG3" s="141" t="s">
        <v>2704</v>
      </c>
      <c r="AH3" s="1178"/>
    </row>
    <row r="4" spans="1:34" s="125" customFormat="1" ht="13.8">
      <c r="A4" s="125" t="s">
        <v>2705</v>
      </c>
      <c r="C4" s="1101">
        <v>2.5000000000000001E-2</v>
      </c>
      <c r="E4" s="125">
        <f>Application!Y801</f>
        <v>3108132</v>
      </c>
      <c r="G4" s="125">
        <f>+E4+(E4*$C$4)</f>
        <v>3185835.3</v>
      </c>
      <c r="I4" s="125">
        <f t="shared" ref="I4:AG4" si="0">+G4+(G4*$C$4)</f>
        <v>3265481.1824999996</v>
      </c>
      <c r="K4" s="125">
        <f t="shared" si="0"/>
        <v>3347118.2120624995</v>
      </c>
      <c r="L4" s="125">
        <f t="shared" si="0"/>
        <v>0</v>
      </c>
      <c r="M4" s="125">
        <f t="shared" si="0"/>
        <v>3430796.1673640618</v>
      </c>
      <c r="O4" s="125">
        <f t="shared" si="0"/>
        <v>3516566.0715481634</v>
      </c>
      <c r="Q4" s="125">
        <f t="shared" si="0"/>
        <v>3604480.2233368675</v>
      </c>
      <c r="S4" s="125">
        <f t="shared" si="0"/>
        <v>3694592.2289202893</v>
      </c>
      <c r="U4" s="125">
        <f t="shared" si="0"/>
        <v>3786957.0346432966</v>
      </c>
      <c r="W4" s="125">
        <f t="shared" si="0"/>
        <v>3881630.9605093789</v>
      </c>
      <c r="Y4" s="125">
        <f t="shared" si="0"/>
        <v>3978671.7345221136</v>
      </c>
      <c r="AA4" s="125">
        <f t="shared" si="0"/>
        <v>4078138.5278851665</v>
      </c>
      <c r="AC4" s="125">
        <f t="shared" si="0"/>
        <v>4180091.9910822958</v>
      </c>
      <c r="AE4" s="125">
        <f t="shared" si="0"/>
        <v>4284594.2908593528</v>
      </c>
      <c r="AG4" s="125">
        <f t="shared" si="0"/>
        <v>4391709.1481308369</v>
      </c>
    </row>
    <row r="5" spans="1:34" s="117" customFormat="1" ht="13.8">
      <c r="B5" s="117" t="s">
        <v>2265</v>
      </c>
      <c r="C5" s="1102">
        <f>IF(Application!$D$211="Special Needs",(((0.1*Application!$T$212)+(0.05*(1-Application!$T$212)))),0.05)</f>
        <v>0.05</v>
      </c>
      <c r="E5" s="127">
        <f>-E4*$C$5</f>
        <v>-155406.6</v>
      </c>
      <c r="F5" s="127"/>
      <c r="G5" s="127">
        <f>-G4*$C$5</f>
        <v>-159291.76500000001</v>
      </c>
      <c r="H5" s="127"/>
      <c r="I5" s="127">
        <f>-I4*$C$5</f>
        <v>-163274.059125</v>
      </c>
      <c r="J5" s="127"/>
      <c r="K5" s="127">
        <f>-K4*$C$5</f>
        <v>-167355.910603125</v>
      </c>
      <c r="L5" s="127"/>
      <c r="M5" s="127">
        <f>-M4*$C$5</f>
        <v>-171539.80836820311</v>
      </c>
      <c r="N5" s="127"/>
      <c r="O5" s="127">
        <f>-O4*$C$5</f>
        <v>-175828.30357740819</v>
      </c>
      <c r="P5" s="127"/>
      <c r="Q5" s="127">
        <f>-Q4*$C$5</f>
        <v>-180224.01116684338</v>
      </c>
      <c r="R5" s="127"/>
      <c r="S5" s="127">
        <f>-S4*$C$5</f>
        <v>-184729.61144601449</v>
      </c>
      <c r="T5" s="127"/>
      <c r="U5" s="127">
        <f>-U4*$C$5</f>
        <v>-189347.85173216485</v>
      </c>
      <c r="V5" s="127"/>
      <c r="W5" s="127">
        <f>-W4*$C$5</f>
        <v>-194081.54802546895</v>
      </c>
      <c r="X5" s="127"/>
      <c r="Y5" s="127">
        <f>-Y4*$C$5</f>
        <v>-198933.58672610568</v>
      </c>
      <c r="Z5" s="127"/>
      <c r="AA5" s="127">
        <f>-AA4*$C$5</f>
        <v>-203906.92639425833</v>
      </c>
      <c r="AB5" s="127"/>
      <c r="AC5" s="127">
        <f>-AC4*$C$5</f>
        <v>-209004.5995541148</v>
      </c>
      <c r="AD5" s="127"/>
      <c r="AE5" s="127">
        <f>-AE4*$C$5</f>
        <v>-214229.71454296765</v>
      </c>
      <c r="AF5" s="127"/>
      <c r="AG5" s="127">
        <f>-AG4*$C$5</f>
        <v>-219585.45740654186</v>
      </c>
    </row>
    <row r="6" spans="1:34" s="117" customFormat="1" ht="13.8">
      <c r="A6" s="117" t="s">
        <v>2706</v>
      </c>
      <c r="C6" s="1101">
        <v>1.0249999999999999</v>
      </c>
      <c r="E6" s="128">
        <f>Application!Z809</f>
        <v>0</v>
      </c>
      <c r="F6" s="128"/>
      <c r="G6" s="128">
        <f>E6*$C$6</f>
        <v>0</v>
      </c>
      <c r="H6" s="128"/>
      <c r="I6" s="128">
        <f>G6*$C$6</f>
        <v>0</v>
      </c>
      <c r="J6" s="128"/>
      <c r="K6" s="128">
        <f>I6*$C$6</f>
        <v>0</v>
      </c>
      <c r="L6" s="128"/>
      <c r="M6" s="128">
        <f>K6*$C$6</f>
        <v>0</v>
      </c>
      <c r="N6" s="128"/>
      <c r="O6" s="128">
        <f>M6*$C$6</f>
        <v>0</v>
      </c>
      <c r="P6" s="128"/>
      <c r="Q6" s="128">
        <f>O6*$C$6</f>
        <v>0</v>
      </c>
      <c r="R6" s="128"/>
      <c r="S6" s="128">
        <f>Q6*$C$6</f>
        <v>0</v>
      </c>
      <c r="T6" s="128"/>
      <c r="U6" s="128">
        <f>S6*$C$6</f>
        <v>0</v>
      </c>
      <c r="V6" s="128"/>
      <c r="W6" s="128">
        <f>U6*$C$6</f>
        <v>0</v>
      </c>
      <c r="X6" s="128"/>
      <c r="Y6" s="128">
        <f>W6*$C$6</f>
        <v>0</v>
      </c>
      <c r="Z6" s="128"/>
      <c r="AA6" s="128">
        <f>Y6*$C$6</f>
        <v>0</v>
      </c>
      <c r="AB6" s="128"/>
      <c r="AC6" s="128">
        <f>AA6*$C$6</f>
        <v>0</v>
      </c>
      <c r="AD6" s="128"/>
      <c r="AE6" s="128">
        <f>AC6*$C$6</f>
        <v>0</v>
      </c>
      <c r="AF6" s="128"/>
      <c r="AG6" s="128">
        <f>AE6*$C$6</f>
        <v>0</v>
      </c>
    </row>
    <row r="7" spans="1:34" s="117" customFormat="1" ht="13.8">
      <c r="B7" s="117" t="s">
        <v>2265</v>
      </c>
      <c r="C7" s="1102">
        <f>IF(Application!$D$211="Special Needs",(((0.1*Application!$T$212)+(0.05*(1-Application!$T$212)))),0.05)</f>
        <v>0.05</v>
      </c>
      <c r="E7" s="127">
        <f>-E6*$C$7</f>
        <v>0</v>
      </c>
      <c r="F7" s="127"/>
      <c r="G7" s="127">
        <f>-G6*$C$7</f>
        <v>0</v>
      </c>
      <c r="H7" s="127"/>
      <c r="I7" s="127">
        <f>-I6*$C$7</f>
        <v>0</v>
      </c>
      <c r="J7" s="127"/>
      <c r="K7" s="127">
        <f>-K6*$C$7</f>
        <v>0</v>
      </c>
      <c r="L7" s="127"/>
      <c r="M7" s="127">
        <f>-M6*$C$7</f>
        <v>0</v>
      </c>
      <c r="N7" s="127"/>
      <c r="O7" s="127">
        <f>-O6*$C$7</f>
        <v>0</v>
      </c>
      <c r="P7" s="127"/>
      <c r="Q7" s="127">
        <f>-Q6*$C$7</f>
        <v>0</v>
      </c>
      <c r="R7" s="127"/>
      <c r="S7" s="127">
        <f>-S6*$C$7</f>
        <v>0</v>
      </c>
      <c r="T7" s="127"/>
      <c r="U7" s="127">
        <f>-U6*$C$7</f>
        <v>0</v>
      </c>
      <c r="V7" s="127"/>
      <c r="W7" s="127">
        <f>-W6*$C$7</f>
        <v>0</v>
      </c>
      <c r="X7" s="127"/>
      <c r="Y7" s="127">
        <f>-Y6*$C$7</f>
        <v>0</v>
      </c>
      <c r="Z7" s="127"/>
      <c r="AA7" s="127">
        <f>-AA6*$C$7</f>
        <v>0</v>
      </c>
      <c r="AB7" s="127"/>
      <c r="AC7" s="127">
        <f>-AC6*$C$7</f>
        <v>0</v>
      </c>
      <c r="AD7" s="127"/>
      <c r="AE7" s="127">
        <f>-AE6*$C$7</f>
        <v>0</v>
      </c>
      <c r="AF7" s="127"/>
      <c r="AG7" s="127">
        <f>-AG6*$C$7</f>
        <v>0</v>
      </c>
    </row>
    <row r="8" spans="1:34" s="117" customFormat="1" ht="13.8">
      <c r="A8" s="117" t="s">
        <v>215</v>
      </c>
      <c r="C8" s="1101">
        <v>1.0249999999999999</v>
      </c>
      <c r="E8" s="128">
        <f>Application!Z817</f>
        <v>19200</v>
      </c>
      <c r="F8" s="128"/>
      <c r="G8" s="128">
        <f>E8*$C$8</f>
        <v>19680</v>
      </c>
      <c r="H8" s="128"/>
      <c r="I8" s="128">
        <f>G8*$C$8</f>
        <v>20172</v>
      </c>
      <c r="J8" s="128"/>
      <c r="K8" s="128">
        <f>I8*$C$8</f>
        <v>20676.3</v>
      </c>
      <c r="L8" s="128"/>
      <c r="M8" s="128">
        <f>K8*$C$8</f>
        <v>21193.207499999997</v>
      </c>
      <c r="N8" s="128"/>
      <c r="O8" s="128">
        <f>M8*$C$8</f>
        <v>21723.037687499997</v>
      </c>
      <c r="P8" s="128"/>
      <c r="Q8" s="128">
        <f>O8*$C$8</f>
        <v>22266.113629687494</v>
      </c>
      <c r="R8" s="128"/>
      <c r="S8" s="128">
        <f>Q8*$C$8</f>
        <v>22822.76647042968</v>
      </c>
      <c r="T8" s="128"/>
      <c r="U8" s="128">
        <f>S8*$C$8</f>
        <v>23393.335632190421</v>
      </c>
      <c r="V8" s="128"/>
      <c r="W8" s="128">
        <f>U8*$C$8</f>
        <v>23978.169022995178</v>
      </c>
      <c r="X8" s="128"/>
      <c r="Y8" s="128">
        <f>W8*$C$8</f>
        <v>24577.623248570057</v>
      </c>
      <c r="Z8" s="128"/>
      <c r="AA8" s="128">
        <f>Y8*$C$8</f>
        <v>25192.063829784307</v>
      </c>
      <c r="AB8" s="128"/>
      <c r="AC8" s="128">
        <f>AA8*$C$8</f>
        <v>25821.865425528911</v>
      </c>
      <c r="AD8" s="128"/>
      <c r="AE8" s="128">
        <f>AC8*$C$8</f>
        <v>26467.412061167131</v>
      </c>
      <c r="AF8" s="128"/>
      <c r="AG8" s="128">
        <f>AE8*$C$8</f>
        <v>27129.097362696306</v>
      </c>
    </row>
    <row r="9" spans="1:34" s="117" customFormat="1" ht="13.8">
      <c r="B9" s="117" t="s">
        <v>2265</v>
      </c>
      <c r="C9" s="1102">
        <f>IF(Application!$D$211="Special Needs",(((0.1*Application!$T$212)+(0.05*(1-Application!$T$212)))),0.05)</f>
        <v>0.05</v>
      </c>
      <c r="E9" s="127">
        <f>-E8*$C$9</f>
        <v>-960</v>
      </c>
      <c r="F9" s="127"/>
      <c r="G9" s="127">
        <f>-G8*$C$9</f>
        <v>-984</v>
      </c>
      <c r="H9" s="127"/>
      <c r="I9" s="127">
        <f>-I8*$C$9</f>
        <v>-1008.6</v>
      </c>
      <c r="J9" s="127"/>
      <c r="K9" s="127">
        <f>-K8*$C$9</f>
        <v>-1033.8150000000001</v>
      </c>
      <c r="L9" s="127"/>
      <c r="M9" s="127">
        <f>-M8*$C$9</f>
        <v>-1059.6603749999999</v>
      </c>
      <c r="N9" s="127"/>
      <c r="O9" s="127">
        <f>-O8*$C$9</f>
        <v>-1086.1518843749998</v>
      </c>
      <c r="P9" s="127"/>
      <c r="Q9" s="127">
        <f>-Q8*$C$9</f>
        <v>-1113.3056814843746</v>
      </c>
      <c r="R9" s="127"/>
      <c r="S9" s="127">
        <f>-S8*$C$9</f>
        <v>-1141.1383235214842</v>
      </c>
      <c r="T9" s="127"/>
      <c r="U9" s="127">
        <f>-U8*$C$9</f>
        <v>-1169.6667816095212</v>
      </c>
      <c r="V9" s="127"/>
      <c r="W9" s="127">
        <f>-W8*$C$9</f>
        <v>-1198.908451149759</v>
      </c>
      <c r="X9" s="127"/>
      <c r="Y9" s="127">
        <f>-Y8*$C$9</f>
        <v>-1228.8811624285029</v>
      </c>
      <c r="Z9" s="127"/>
      <c r="AA9" s="127">
        <f>-AA8*$C$9</f>
        <v>-1259.6031914892155</v>
      </c>
      <c r="AB9" s="127"/>
      <c r="AC9" s="127">
        <f>-AC8*$C$9</f>
        <v>-1291.0932712764456</v>
      </c>
      <c r="AD9" s="127"/>
      <c r="AE9" s="127">
        <f>-AE8*$C$9</f>
        <v>-1323.3706030583567</v>
      </c>
      <c r="AF9" s="127"/>
      <c r="AG9" s="127">
        <f>-AG8*$C$9</f>
        <v>-1356.4548681348153</v>
      </c>
    </row>
    <row r="10" spans="1:34" s="117" customFormat="1" ht="13.8">
      <c r="A10" s="925" t="s">
        <v>2707</v>
      </c>
      <c r="B10" s="925"/>
      <c r="C10" s="1102"/>
      <c r="E10" s="926"/>
      <c r="F10" s="128"/>
      <c r="G10" s="926"/>
      <c r="H10" s="128"/>
      <c r="I10" s="926"/>
      <c r="J10" s="128"/>
      <c r="K10" s="926"/>
      <c r="L10" s="128"/>
      <c r="M10" s="926"/>
      <c r="N10" s="128"/>
      <c r="O10" s="926"/>
      <c r="P10" s="128"/>
      <c r="Q10" s="926"/>
      <c r="R10" s="128"/>
      <c r="S10" s="926"/>
      <c r="T10" s="128"/>
      <c r="U10" s="926"/>
      <c r="V10" s="128"/>
      <c r="W10" s="926"/>
      <c r="X10" s="128"/>
      <c r="Y10" s="926"/>
      <c r="Z10" s="128"/>
      <c r="AA10" s="926"/>
      <c r="AB10" s="128"/>
      <c r="AC10" s="926"/>
      <c r="AD10" s="128"/>
      <c r="AE10" s="926"/>
      <c r="AF10" s="128"/>
      <c r="AG10" s="926"/>
    </row>
    <row r="11" spans="1:34" s="129" customFormat="1" ht="13.8">
      <c r="A11" s="129" t="s">
        <v>2708</v>
      </c>
      <c r="C11" s="122"/>
      <c r="E11" s="129">
        <f>SUM(E4:E10)</f>
        <v>2970965.4</v>
      </c>
      <c r="G11" s="129">
        <f>SUM(G4:G10)</f>
        <v>3045239.5349999997</v>
      </c>
      <c r="I11" s="129">
        <f>SUM(I4:I10)</f>
        <v>3121370.5233749994</v>
      </c>
      <c r="K11" s="129">
        <f>SUM(K4:K10)</f>
        <v>3199404.7864593742</v>
      </c>
      <c r="M11" s="129">
        <f>SUM(M4:M10)</f>
        <v>3279389.9061208586</v>
      </c>
      <c r="O11" s="129">
        <f>SUM(O4:O10)</f>
        <v>3361374.6537738801</v>
      </c>
      <c r="Q11" s="129">
        <f>SUM(Q4:Q10)</f>
        <v>3445409.0201182272</v>
      </c>
      <c r="S11" s="129">
        <f>SUM(S4:S10)</f>
        <v>3531544.2456211825</v>
      </c>
      <c r="U11" s="129">
        <f>SUM(U4:U10)</f>
        <v>3619832.8517617127</v>
      </c>
      <c r="W11" s="129">
        <f>SUM(W4:W10)</f>
        <v>3710328.6730557554</v>
      </c>
      <c r="Y11" s="129">
        <f>SUM(Y4:Y10)</f>
        <v>3803086.8898821496</v>
      </c>
      <c r="AA11" s="129">
        <f>SUM(AA4:AA10)</f>
        <v>3898164.0621292032</v>
      </c>
      <c r="AC11" s="129">
        <f>SUM(AC4:AC10)</f>
        <v>3995618.1636824333</v>
      </c>
      <c r="AE11" s="129">
        <f>SUM(AE4:AE10)</f>
        <v>4095508.6177744935</v>
      </c>
      <c r="AG11" s="129">
        <f>SUM(AG4:AG10)</f>
        <v>4197896.3332188567</v>
      </c>
    </row>
    <row r="12" spans="1:34">
      <c r="C12" s="762"/>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1:34" ht="15.6">
      <c r="A13" s="119" t="s">
        <v>2709</v>
      </c>
      <c r="C13" s="762"/>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row>
    <row r="14" spans="1:34" s="117" customFormat="1" ht="13.8">
      <c r="A14" s="117" t="s">
        <v>2710</v>
      </c>
      <c r="C14" s="1101">
        <v>3.5000000000000003E-2</v>
      </c>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row>
    <row r="15" spans="1:34" s="125" customFormat="1" ht="13.8">
      <c r="A15" s="125" t="s">
        <v>2711</v>
      </c>
      <c r="C15" s="770"/>
      <c r="E15" s="125">
        <f>Application!W847</f>
        <v>40200</v>
      </c>
      <c r="G15" s="125">
        <f>E15+(E15*$C$14)</f>
        <v>41607</v>
      </c>
      <c r="I15" s="125">
        <f t="shared" ref="I15:AG15" si="1">G15+(G15*$C$14)</f>
        <v>43063.245000000003</v>
      </c>
      <c r="K15" s="125">
        <f t="shared" si="1"/>
        <v>44570.458575000004</v>
      </c>
      <c r="M15" s="125">
        <f t="shared" si="1"/>
        <v>46130.424625125008</v>
      </c>
      <c r="O15" s="125">
        <f t="shared" si="1"/>
        <v>47744.989487004386</v>
      </c>
      <c r="Q15" s="125">
        <f t="shared" si="1"/>
        <v>49416.064119049537</v>
      </c>
      <c r="S15" s="125">
        <f t="shared" si="1"/>
        <v>51145.626363216274</v>
      </c>
      <c r="U15" s="125">
        <f t="shared" si="1"/>
        <v>52935.723285928842</v>
      </c>
      <c r="W15" s="125">
        <f t="shared" si="1"/>
        <v>54788.473600936348</v>
      </c>
      <c r="Y15" s="125">
        <f t="shared" si="1"/>
        <v>56706.070176969122</v>
      </c>
      <c r="AA15" s="125">
        <f t="shared" si="1"/>
        <v>58690.782633163042</v>
      </c>
      <c r="AC15" s="125">
        <f t="shared" si="1"/>
        <v>60744.960025323751</v>
      </c>
      <c r="AE15" s="125">
        <f t="shared" si="1"/>
        <v>62871.033626210083</v>
      </c>
      <c r="AG15" s="125">
        <f t="shared" si="1"/>
        <v>65071.519803127434</v>
      </c>
    </row>
    <row r="16" spans="1:34" s="117" customFormat="1" ht="13.8">
      <c r="A16" s="117" t="s">
        <v>1544</v>
      </c>
      <c r="C16" s="762"/>
      <c r="E16" s="128">
        <f>Application!W849</f>
        <v>118840</v>
      </c>
      <c r="F16" s="128"/>
      <c r="G16" s="128">
        <f>E16+E16*$C$14</f>
        <v>122999.4</v>
      </c>
      <c r="H16" s="128"/>
      <c r="I16" s="128">
        <f t="shared" ref="I16:AG18" si="2">G16+G16*$C$14</f>
        <v>127304.379</v>
      </c>
      <c r="J16" s="128"/>
      <c r="K16" s="128">
        <f t="shared" si="2"/>
        <v>131760.03226499999</v>
      </c>
      <c r="L16" s="128"/>
      <c r="M16" s="128">
        <f t="shared" si="2"/>
        <v>136371.63339427498</v>
      </c>
      <c r="N16" s="128"/>
      <c r="O16" s="128">
        <f t="shared" si="2"/>
        <v>141144.64056307462</v>
      </c>
      <c r="P16" s="128"/>
      <c r="Q16" s="128">
        <f t="shared" si="2"/>
        <v>146084.70298278224</v>
      </c>
      <c r="R16" s="128"/>
      <c r="S16" s="128">
        <f t="shared" si="2"/>
        <v>151197.66758717963</v>
      </c>
      <c r="T16" s="128"/>
      <c r="U16" s="128">
        <f t="shared" si="2"/>
        <v>156489.58595273091</v>
      </c>
      <c r="V16" s="128"/>
      <c r="W16" s="128">
        <f t="shared" si="2"/>
        <v>161966.72146107649</v>
      </c>
      <c r="X16" s="128"/>
      <c r="Y16" s="128">
        <f t="shared" si="2"/>
        <v>167635.55671221417</v>
      </c>
      <c r="Z16" s="128"/>
      <c r="AA16" s="128">
        <f t="shared" si="2"/>
        <v>173502.80119714167</v>
      </c>
      <c r="AB16" s="128"/>
      <c r="AC16" s="128">
        <f t="shared" si="2"/>
        <v>179575.39923904164</v>
      </c>
      <c r="AD16" s="128"/>
      <c r="AE16" s="128">
        <f t="shared" si="2"/>
        <v>185860.53821240811</v>
      </c>
      <c r="AF16" s="128"/>
      <c r="AG16" s="128">
        <f t="shared" si="2"/>
        <v>192365.65704984238</v>
      </c>
    </row>
    <row r="17" spans="1:33" s="117" customFormat="1" ht="13.8">
      <c r="A17" s="117" t="s">
        <v>230</v>
      </c>
      <c r="C17" s="762"/>
      <c r="E17" s="128">
        <f>Application!W855</f>
        <v>115900</v>
      </c>
      <c r="F17" s="128"/>
      <c r="G17" s="128">
        <f>E17+E17*$C$14</f>
        <v>119956.5</v>
      </c>
      <c r="H17" s="128"/>
      <c r="I17" s="128">
        <f t="shared" si="2"/>
        <v>124154.97749999999</v>
      </c>
      <c r="J17" s="128"/>
      <c r="K17" s="128">
        <f t="shared" si="2"/>
        <v>128500.4017125</v>
      </c>
      <c r="L17" s="128"/>
      <c r="M17" s="128">
        <f t="shared" si="2"/>
        <v>132997.9157724375</v>
      </c>
      <c r="N17" s="128"/>
      <c r="O17" s="128">
        <f t="shared" si="2"/>
        <v>137652.84282447281</v>
      </c>
      <c r="P17" s="128"/>
      <c r="Q17" s="128">
        <f t="shared" si="2"/>
        <v>142470.69232332936</v>
      </c>
      <c r="R17" s="128"/>
      <c r="S17" s="128">
        <f t="shared" si="2"/>
        <v>147457.1665546459</v>
      </c>
      <c r="T17" s="128"/>
      <c r="U17" s="128">
        <f t="shared" si="2"/>
        <v>152618.1673840585</v>
      </c>
      <c r="V17" s="128"/>
      <c r="W17" s="128">
        <f t="shared" si="2"/>
        <v>157959.80324250055</v>
      </c>
      <c r="X17" s="128"/>
      <c r="Y17" s="128">
        <f t="shared" si="2"/>
        <v>163488.39635598808</v>
      </c>
      <c r="Z17" s="128"/>
      <c r="AA17" s="128">
        <f t="shared" si="2"/>
        <v>169210.49022844766</v>
      </c>
      <c r="AB17" s="128"/>
      <c r="AC17" s="128">
        <f t="shared" si="2"/>
        <v>175132.85738644333</v>
      </c>
      <c r="AD17" s="128"/>
      <c r="AE17" s="128">
        <f t="shared" si="2"/>
        <v>181262.50739496885</v>
      </c>
      <c r="AF17" s="128"/>
      <c r="AG17" s="128">
        <f t="shared" si="2"/>
        <v>187606.69515379277</v>
      </c>
    </row>
    <row r="18" spans="1:33" s="117" customFormat="1" ht="13.8">
      <c r="A18" s="117" t="s">
        <v>2712</v>
      </c>
      <c r="C18" s="762"/>
      <c r="E18" s="128">
        <f>Application!W862</f>
        <v>193700</v>
      </c>
      <c r="F18" s="128"/>
      <c r="G18" s="128">
        <f>E18+E18*$C$14</f>
        <v>200479.5</v>
      </c>
      <c r="H18" s="128"/>
      <c r="I18" s="128">
        <f t="shared" si="2"/>
        <v>207496.2825</v>
      </c>
      <c r="J18" s="128"/>
      <c r="K18" s="128">
        <f t="shared" si="2"/>
        <v>214758.65238750001</v>
      </c>
      <c r="L18" s="128"/>
      <c r="M18" s="128">
        <f t="shared" si="2"/>
        <v>222275.20522106253</v>
      </c>
      <c r="N18" s="128"/>
      <c r="O18" s="128">
        <f t="shared" si="2"/>
        <v>230054.83740379973</v>
      </c>
      <c r="P18" s="128"/>
      <c r="Q18" s="128">
        <f t="shared" si="2"/>
        <v>238106.75671293272</v>
      </c>
      <c r="R18" s="128"/>
      <c r="S18" s="128">
        <f t="shared" si="2"/>
        <v>246440.49319788537</v>
      </c>
      <c r="T18" s="128"/>
      <c r="U18" s="128">
        <f t="shared" si="2"/>
        <v>255065.91045981136</v>
      </c>
      <c r="V18" s="128"/>
      <c r="W18" s="128">
        <f t="shared" si="2"/>
        <v>263993.21732590476</v>
      </c>
      <c r="X18" s="128"/>
      <c r="Y18" s="128">
        <f t="shared" si="2"/>
        <v>273232.9799323114</v>
      </c>
      <c r="Z18" s="128"/>
      <c r="AA18" s="128">
        <f t="shared" si="2"/>
        <v>282796.13422994228</v>
      </c>
      <c r="AB18" s="128"/>
      <c r="AC18" s="128">
        <f t="shared" si="2"/>
        <v>292693.99892799027</v>
      </c>
      <c r="AD18" s="128"/>
      <c r="AE18" s="128">
        <f t="shared" si="2"/>
        <v>302938.28889046994</v>
      </c>
      <c r="AF18" s="128"/>
      <c r="AG18" s="128">
        <f t="shared" si="2"/>
        <v>313541.12900163641</v>
      </c>
    </row>
    <row r="19" spans="1:33" s="117" customFormat="1" ht="13.8">
      <c r="A19" s="117" t="s">
        <v>1794</v>
      </c>
      <c r="C19" s="762"/>
      <c r="E19" s="128">
        <f>Application!W863</f>
        <v>0</v>
      </c>
      <c r="F19" s="128"/>
      <c r="G19" s="128">
        <f t="shared" ref="G19:AG19" si="3">E19*$C$14</f>
        <v>0</v>
      </c>
      <c r="H19" s="128"/>
      <c r="I19" s="128">
        <f t="shared" si="3"/>
        <v>0</v>
      </c>
      <c r="J19" s="128"/>
      <c r="K19" s="128">
        <f t="shared" si="3"/>
        <v>0</v>
      </c>
      <c r="L19" s="128"/>
      <c r="M19" s="128">
        <f t="shared" si="3"/>
        <v>0</v>
      </c>
      <c r="N19" s="128"/>
      <c r="O19" s="128">
        <f t="shared" si="3"/>
        <v>0</v>
      </c>
      <c r="P19" s="128"/>
      <c r="Q19" s="128">
        <f t="shared" si="3"/>
        <v>0</v>
      </c>
      <c r="R19" s="128"/>
      <c r="S19" s="128">
        <f t="shared" si="3"/>
        <v>0</v>
      </c>
      <c r="T19" s="128"/>
      <c r="U19" s="128">
        <f t="shared" si="3"/>
        <v>0</v>
      </c>
      <c r="V19" s="128"/>
      <c r="W19" s="128">
        <f t="shared" si="3"/>
        <v>0</v>
      </c>
      <c r="X19" s="128"/>
      <c r="Y19" s="128">
        <f t="shared" si="3"/>
        <v>0</v>
      </c>
      <c r="Z19" s="128"/>
      <c r="AA19" s="128">
        <f t="shared" si="3"/>
        <v>0</v>
      </c>
      <c r="AB19" s="128"/>
      <c r="AC19" s="128">
        <f t="shared" si="3"/>
        <v>0</v>
      </c>
      <c r="AD19" s="128"/>
      <c r="AE19" s="128">
        <f t="shared" si="3"/>
        <v>0</v>
      </c>
      <c r="AF19" s="128"/>
      <c r="AG19" s="128">
        <f t="shared" si="3"/>
        <v>0</v>
      </c>
    </row>
    <row r="20" spans="1:33" s="117" customFormat="1" ht="13.8">
      <c r="A20" s="117" t="s">
        <v>232</v>
      </c>
      <c r="C20" s="762"/>
      <c r="E20" s="128">
        <f>Application!W872</f>
        <v>155760</v>
      </c>
      <c r="F20" s="128"/>
      <c r="G20" s="128">
        <f>E20+E20*$C$14</f>
        <v>161211.6</v>
      </c>
      <c r="H20" s="128"/>
      <c r="I20" s="128">
        <f t="shared" ref="I20:AG21" si="4">G20+G20*$C$14</f>
        <v>166854.00599999999</v>
      </c>
      <c r="J20" s="128"/>
      <c r="K20" s="128">
        <f t="shared" si="4"/>
        <v>172693.89621000001</v>
      </c>
      <c r="L20" s="128"/>
      <c r="M20" s="128">
        <f t="shared" si="4"/>
        <v>178738.18257735</v>
      </c>
      <c r="N20" s="128"/>
      <c r="O20" s="128">
        <f t="shared" si="4"/>
        <v>184994.01896755726</v>
      </c>
      <c r="P20" s="128"/>
      <c r="Q20" s="128">
        <f t="shared" si="4"/>
        <v>191468.80963142175</v>
      </c>
      <c r="R20" s="128"/>
      <c r="S20" s="128">
        <f t="shared" si="4"/>
        <v>198170.21796852152</v>
      </c>
      <c r="T20" s="128"/>
      <c r="U20" s="128">
        <f t="shared" si="4"/>
        <v>205106.17559741979</v>
      </c>
      <c r="V20" s="128"/>
      <c r="W20" s="128">
        <f t="shared" si="4"/>
        <v>212284.89174332947</v>
      </c>
      <c r="X20" s="128"/>
      <c r="Y20" s="128">
        <f t="shared" si="4"/>
        <v>219714.862954346</v>
      </c>
      <c r="Z20" s="128"/>
      <c r="AA20" s="128">
        <f t="shared" si="4"/>
        <v>227404.88315774812</v>
      </c>
      <c r="AB20" s="128"/>
      <c r="AC20" s="128">
        <f t="shared" si="4"/>
        <v>235364.0540682693</v>
      </c>
      <c r="AD20" s="128"/>
      <c r="AE20" s="128">
        <f t="shared" si="4"/>
        <v>243601.79596065872</v>
      </c>
      <c r="AF20" s="128"/>
      <c r="AG20" s="128">
        <f t="shared" si="4"/>
        <v>252127.85881928177</v>
      </c>
    </row>
    <row r="21" spans="1:33" s="117" customFormat="1" ht="13.8">
      <c r="A21" s="132" t="s">
        <v>2713</v>
      </c>
      <c r="B21" s="132"/>
      <c r="C21" s="762"/>
      <c r="E21" s="138">
        <f>Application!W879</f>
        <v>75600</v>
      </c>
      <c r="F21" s="128"/>
      <c r="G21" s="138">
        <f>E21+E21*$C$14</f>
        <v>78246</v>
      </c>
      <c r="H21" s="138"/>
      <c r="I21" s="138">
        <f t="shared" si="4"/>
        <v>80984.61</v>
      </c>
      <c r="J21" s="138"/>
      <c r="K21" s="138">
        <f t="shared" si="4"/>
        <v>83819.071349999998</v>
      </c>
      <c r="L21" s="138"/>
      <c r="M21" s="138">
        <f t="shared" si="4"/>
        <v>86752.738847250002</v>
      </c>
      <c r="N21" s="138"/>
      <c r="O21" s="138">
        <f t="shared" si="4"/>
        <v>89789.084706903755</v>
      </c>
      <c r="P21" s="138"/>
      <c r="Q21" s="138">
        <f t="shared" si="4"/>
        <v>92931.702671645384</v>
      </c>
      <c r="R21" s="138"/>
      <c r="S21" s="138">
        <f t="shared" si="4"/>
        <v>96184.31226515297</v>
      </c>
      <c r="T21" s="138"/>
      <c r="U21" s="138">
        <f t="shared" si="4"/>
        <v>99550.763194433326</v>
      </c>
      <c r="V21" s="138"/>
      <c r="W21" s="138">
        <f t="shared" si="4"/>
        <v>103035.0399062385</v>
      </c>
      <c r="X21" s="138"/>
      <c r="Y21" s="138">
        <f t="shared" si="4"/>
        <v>106641.26630295685</v>
      </c>
      <c r="Z21" s="138"/>
      <c r="AA21" s="138">
        <f t="shared" si="4"/>
        <v>110373.71062356034</v>
      </c>
      <c r="AB21" s="138"/>
      <c r="AC21" s="138">
        <f t="shared" si="4"/>
        <v>114236.79049538495</v>
      </c>
      <c r="AD21" s="138"/>
      <c r="AE21" s="138">
        <f t="shared" si="4"/>
        <v>118235.07816272342</v>
      </c>
      <c r="AF21" s="138"/>
      <c r="AG21" s="138">
        <f t="shared" si="4"/>
        <v>122373.30589841874</v>
      </c>
    </row>
    <row r="22" spans="1:33" s="129" customFormat="1" ht="13.8">
      <c r="A22" s="129" t="s">
        <v>2714</v>
      </c>
      <c r="C22" s="762"/>
      <c r="E22" s="129">
        <f>SUM(E15:E21)</f>
        <v>700000</v>
      </c>
      <c r="G22" s="129">
        <f>SUM(G15:G21)</f>
        <v>724500</v>
      </c>
      <c r="I22" s="129">
        <f>SUM(I15:I21)</f>
        <v>749857.49999999988</v>
      </c>
      <c r="K22" s="129">
        <f>SUM(K15:K21)</f>
        <v>776102.51250000007</v>
      </c>
      <c r="M22" s="129">
        <f>SUM(M15:M21)</f>
        <v>803266.10043749993</v>
      </c>
      <c r="O22" s="129">
        <f>SUM(O15:O21)</f>
        <v>831380.41395281255</v>
      </c>
      <c r="Q22" s="129">
        <f>SUM(Q15:Q21)</f>
        <v>860478.7284411611</v>
      </c>
      <c r="S22" s="129">
        <f>SUM(S15:S21)</f>
        <v>890595.48393660155</v>
      </c>
      <c r="U22" s="129">
        <f>SUM(U15:U21)</f>
        <v>921766.32587438275</v>
      </c>
      <c r="W22" s="129">
        <f>SUM(W15:W21)</f>
        <v>954028.14727998618</v>
      </c>
      <c r="Y22" s="129">
        <f>SUM(Y15:Y21)</f>
        <v>987419.13243478572</v>
      </c>
      <c r="AA22" s="129">
        <f>SUM(AA15:AA21)</f>
        <v>1021978.8020700032</v>
      </c>
      <c r="AC22" s="129">
        <f>SUM(AC15:AC21)</f>
        <v>1057748.0601424533</v>
      </c>
      <c r="AE22" s="129">
        <f>SUM(AE15:AE21)</f>
        <v>1094769.242247439</v>
      </c>
      <c r="AG22" s="129">
        <f>SUM(AG15:AG21)</f>
        <v>1133086.1657260994</v>
      </c>
    </row>
    <row r="23" spans="1:33" s="117" customFormat="1" ht="13.8">
      <c r="C23" s="762"/>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row>
    <row r="24" spans="1:33" s="117" customFormat="1" ht="13.8">
      <c r="A24" s="117" t="s">
        <v>2715</v>
      </c>
      <c r="C24" s="762">
        <v>0.02</v>
      </c>
      <c r="E24" s="716">
        <v>695786</v>
      </c>
      <c r="F24" s="128"/>
      <c r="G24" s="128">
        <f>E24+(E24*$C$24)</f>
        <v>709701.72</v>
      </c>
      <c r="H24" s="128"/>
      <c r="I24" s="128">
        <f t="shared" ref="I24:AG24" si="5">G24+(G24*$C$24)</f>
        <v>723895.75439999998</v>
      </c>
      <c r="J24" s="128"/>
      <c r="K24" s="128">
        <f t="shared" si="5"/>
        <v>738373.66948799998</v>
      </c>
      <c r="L24" s="128"/>
      <c r="M24" s="128">
        <f t="shared" si="5"/>
        <v>753141.14287775999</v>
      </c>
      <c r="N24" s="128">
        <f t="shared" si="5"/>
        <v>0</v>
      </c>
      <c r="O24" s="128">
        <f t="shared" si="5"/>
        <v>768203.96573531523</v>
      </c>
      <c r="P24" s="128">
        <f t="shared" si="5"/>
        <v>0</v>
      </c>
      <c r="Q24" s="128">
        <f t="shared" si="5"/>
        <v>783568.04505002149</v>
      </c>
      <c r="R24" s="128">
        <f t="shared" si="5"/>
        <v>0</v>
      </c>
      <c r="S24" s="128">
        <f t="shared" si="5"/>
        <v>799239.40595102194</v>
      </c>
      <c r="T24" s="128">
        <f t="shared" si="5"/>
        <v>0</v>
      </c>
      <c r="U24" s="128">
        <f t="shared" si="5"/>
        <v>815224.19407004234</v>
      </c>
      <c r="V24" s="128">
        <f t="shared" si="5"/>
        <v>0</v>
      </c>
      <c r="W24" s="128">
        <f t="shared" si="5"/>
        <v>831528.67795144324</v>
      </c>
      <c r="X24" s="128">
        <f t="shared" si="5"/>
        <v>0</v>
      </c>
      <c r="Y24" s="128">
        <f t="shared" si="5"/>
        <v>848159.25151047215</v>
      </c>
      <c r="Z24" s="128">
        <f t="shared" si="5"/>
        <v>0</v>
      </c>
      <c r="AA24" s="128">
        <f t="shared" si="5"/>
        <v>865122.43654068164</v>
      </c>
      <c r="AB24" s="128">
        <f t="shared" si="5"/>
        <v>0</v>
      </c>
      <c r="AC24" s="128">
        <f t="shared" si="5"/>
        <v>882424.88527149532</v>
      </c>
      <c r="AD24" s="128">
        <f t="shared" si="5"/>
        <v>0</v>
      </c>
      <c r="AE24" s="128">
        <f t="shared" si="5"/>
        <v>900073.38297692523</v>
      </c>
      <c r="AF24" s="128">
        <f t="shared" si="5"/>
        <v>0</v>
      </c>
      <c r="AG24" s="128">
        <f t="shared" si="5"/>
        <v>918074.85063646373</v>
      </c>
    </row>
    <row r="25" spans="1:33" s="117" customFormat="1" ht="13.8">
      <c r="C25" s="762"/>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row>
    <row r="26" spans="1:33" s="117" customFormat="1" ht="13.8">
      <c r="A26" s="117" t="s">
        <v>2716</v>
      </c>
      <c r="C26" s="1101">
        <v>1.0349999999999999</v>
      </c>
      <c r="E26" s="128">
        <f>Application!AC887</f>
        <v>0</v>
      </c>
      <c r="F26" s="128"/>
      <c r="G26" s="128">
        <f>E26*$C$26</f>
        <v>0</v>
      </c>
      <c r="H26" s="128"/>
      <c r="I26" s="128">
        <f>G26*$C$26</f>
        <v>0</v>
      </c>
      <c r="J26" s="128"/>
      <c r="K26" s="128">
        <f>I26*$C$26</f>
        <v>0</v>
      </c>
      <c r="L26" s="128"/>
      <c r="M26" s="128">
        <f>K26*$C$26</f>
        <v>0</v>
      </c>
      <c r="N26" s="128"/>
      <c r="O26" s="128">
        <f>M26*$C$26</f>
        <v>0</v>
      </c>
      <c r="P26" s="128"/>
      <c r="Q26" s="128">
        <f>O26*$C$26</f>
        <v>0</v>
      </c>
      <c r="R26" s="128"/>
      <c r="S26" s="128">
        <f>Q26*$C$26</f>
        <v>0</v>
      </c>
      <c r="T26" s="128"/>
      <c r="U26" s="128">
        <f>S26*$C$26</f>
        <v>0</v>
      </c>
      <c r="V26" s="128"/>
      <c r="W26" s="128">
        <f>U26*$C$26</f>
        <v>0</v>
      </c>
      <c r="X26" s="128"/>
      <c r="Y26" s="128">
        <f>W26*$C$26</f>
        <v>0</v>
      </c>
      <c r="Z26" s="128"/>
      <c r="AA26" s="128">
        <f>Y26*$C$26</f>
        <v>0</v>
      </c>
      <c r="AB26" s="128"/>
      <c r="AC26" s="128">
        <f>AA26*$C$26</f>
        <v>0</v>
      </c>
      <c r="AD26" s="128"/>
      <c r="AE26" s="128">
        <f>AC26*$C$26</f>
        <v>0</v>
      </c>
      <c r="AF26" s="128"/>
      <c r="AG26" s="128">
        <f>AE26*$C$26</f>
        <v>0</v>
      </c>
    </row>
    <row r="27" spans="1:33" s="117" customFormat="1" ht="13.8">
      <c r="A27" s="117" t="s">
        <v>2316</v>
      </c>
      <c r="C27" s="1101">
        <v>3.5000000000000003E-2</v>
      </c>
      <c r="E27" s="128">
        <f>Application!AC888</f>
        <v>25000</v>
      </c>
      <c r="F27" s="128"/>
      <c r="G27" s="128">
        <f>(E27*$C$27)+E27</f>
        <v>25875</v>
      </c>
      <c r="H27" s="128">
        <f t="shared" ref="H27:AG27" si="6">(F27*$C$27)+F27</f>
        <v>0</v>
      </c>
      <c r="I27" s="128">
        <f t="shared" si="6"/>
        <v>26780.625</v>
      </c>
      <c r="J27" s="128">
        <f t="shared" si="6"/>
        <v>0</v>
      </c>
      <c r="K27" s="128">
        <f t="shared" si="6"/>
        <v>27717.946875000001</v>
      </c>
      <c r="L27" s="128">
        <f t="shared" si="6"/>
        <v>0</v>
      </c>
      <c r="M27" s="128">
        <f t="shared" si="6"/>
        <v>28688.075015625003</v>
      </c>
      <c r="N27" s="128">
        <f t="shared" si="6"/>
        <v>0</v>
      </c>
      <c r="O27" s="128">
        <f t="shared" si="6"/>
        <v>29692.157641171878</v>
      </c>
      <c r="P27" s="128">
        <f t="shared" si="6"/>
        <v>0</v>
      </c>
      <c r="Q27" s="128">
        <f t="shared" si="6"/>
        <v>30731.383158612894</v>
      </c>
      <c r="R27" s="128">
        <f t="shared" si="6"/>
        <v>0</v>
      </c>
      <c r="S27" s="128">
        <f t="shared" si="6"/>
        <v>31806.981569164345</v>
      </c>
      <c r="T27" s="128">
        <f t="shared" si="6"/>
        <v>0</v>
      </c>
      <c r="U27" s="128">
        <f t="shared" si="6"/>
        <v>32920.225924085098</v>
      </c>
      <c r="V27" s="128">
        <f t="shared" si="6"/>
        <v>0</v>
      </c>
      <c r="W27" s="128">
        <f t="shared" si="6"/>
        <v>34072.433831428076</v>
      </c>
      <c r="X27" s="128">
        <f t="shared" si="6"/>
        <v>0</v>
      </c>
      <c r="Y27" s="128">
        <f t="shared" si="6"/>
        <v>35264.969015528055</v>
      </c>
      <c r="Z27" s="128">
        <f t="shared" si="6"/>
        <v>0</v>
      </c>
      <c r="AA27" s="128">
        <f t="shared" si="6"/>
        <v>36499.242931071538</v>
      </c>
      <c r="AB27" s="128">
        <f t="shared" si="6"/>
        <v>0</v>
      </c>
      <c r="AC27" s="128">
        <f t="shared" si="6"/>
        <v>37776.716433659043</v>
      </c>
      <c r="AD27" s="128">
        <f t="shared" si="6"/>
        <v>0</v>
      </c>
      <c r="AE27" s="128">
        <f t="shared" si="6"/>
        <v>39098.901508837109</v>
      </c>
      <c r="AF27" s="128">
        <f t="shared" si="6"/>
        <v>0</v>
      </c>
      <c r="AG27" s="128">
        <f t="shared" si="6"/>
        <v>40467.363061646407</v>
      </c>
    </row>
    <row r="28" spans="1:33" s="117" customFormat="1" ht="13.8">
      <c r="A28" s="117" t="s">
        <v>2717</v>
      </c>
      <c r="C28" s="1101"/>
      <c r="E28" s="128">
        <f>Application!AC889</f>
        <v>25000</v>
      </c>
      <c r="F28" s="128"/>
      <c r="G28" s="128">
        <f>$E$28</f>
        <v>25000</v>
      </c>
      <c r="H28" s="128"/>
      <c r="I28" s="128">
        <f>$E$28</f>
        <v>25000</v>
      </c>
      <c r="J28" s="128"/>
      <c r="K28" s="128">
        <f>$E$28</f>
        <v>25000</v>
      </c>
      <c r="L28" s="128"/>
      <c r="M28" s="128">
        <f>$E$28</f>
        <v>25000</v>
      </c>
      <c r="N28" s="128"/>
      <c r="O28" s="128">
        <f>$E$28</f>
        <v>25000</v>
      </c>
      <c r="P28" s="128"/>
      <c r="Q28" s="128">
        <f>$E$28</f>
        <v>25000</v>
      </c>
      <c r="R28" s="128"/>
      <c r="S28" s="128">
        <f>$E$28</f>
        <v>25000</v>
      </c>
      <c r="T28" s="128"/>
      <c r="U28" s="128">
        <f>$E$28</f>
        <v>25000</v>
      </c>
      <c r="V28" s="128"/>
      <c r="W28" s="128">
        <f>$E$28</f>
        <v>25000</v>
      </c>
      <c r="X28" s="128"/>
      <c r="Y28" s="128">
        <f>$E$28</f>
        <v>25000</v>
      </c>
      <c r="Z28" s="128"/>
      <c r="AA28" s="128">
        <f>$E$28</f>
        <v>25000</v>
      </c>
      <c r="AB28" s="128"/>
      <c r="AC28" s="128">
        <f>$E$28</f>
        <v>25000</v>
      </c>
      <c r="AD28" s="128"/>
      <c r="AE28" s="128">
        <f>$E$28</f>
        <v>25000</v>
      </c>
      <c r="AF28" s="128"/>
      <c r="AG28" s="128">
        <f>$E$28</f>
        <v>25000</v>
      </c>
    </row>
    <row r="29" spans="1:33" s="117" customFormat="1" ht="13.8">
      <c r="A29" s="117" t="s">
        <v>2718</v>
      </c>
      <c r="C29" s="1101"/>
      <c r="E29" s="128"/>
      <c r="F29" s="128"/>
      <c r="G29" s="128">
        <f>$E$29</f>
        <v>0</v>
      </c>
      <c r="H29" s="128"/>
      <c r="I29" s="128">
        <f>$E$29</f>
        <v>0</v>
      </c>
      <c r="J29" s="128"/>
      <c r="K29" s="128">
        <f>$E$29</f>
        <v>0</v>
      </c>
      <c r="L29" s="128"/>
      <c r="M29" s="128">
        <f>$E$29</f>
        <v>0</v>
      </c>
      <c r="N29" s="128"/>
      <c r="O29" s="128">
        <f>$E$29</f>
        <v>0</v>
      </c>
      <c r="P29" s="128"/>
      <c r="Q29" s="128">
        <f>$E$29</f>
        <v>0</v>
      </c>
      <c r="R29" s="128"/>
      <c r="S29" s="128">
        <f>$E$29</f>
        <v>0</v>
      </c>
      <c r="T29" s="128"/>
      <c r="U29" s="128">
        <f>$E$29</f>
        <v>0</v>
      </c>
      <c r="V29" s="128"/>
      <c r="W29" s="128">
        <f>$E$29</f>
        <v>0</v>
      </c>
      <c r="X29" s="128"/>
      <c r="Y29" s="128">
        <f>$E$29</f>
        <v>0</v>
      </c>
      <c r="Z29" s="128"/>
      <c r="AA29" s="128">
        <f>$E$29</f>
        <v>0</v>
      </c>
      <c r="AB29" s="128"/>
      <c r="AC29" s="128">
        <f>$E$29</f>
        <v>0</v>
      </c>
      <c r="AD29" s="128"/>
      <c r="AE29" s="128">
        <f>$E$29</f>
        <v>0</v>
      </c>
      <c r="AF29" s="128"/>
      <c r="AG29" s="128">
        <f>$E$29</f>
        <v>0</v>
      </c>
    </row>
    <row r="30" spans="1:33" s="117" customFormat="1" ht="13.8">
      <c r="A30" s="117" t="s">
        <v>2719</v>
      </c>
      <c r="C30" s="1101">
        <v>1.02</v>
      </c>
      <c r="E30" s="128">
        <f>Application!AC891</f>
        <v>0</v>
      </c>
      <c r="F30" s="128"/>
      <c r="G30" s="128">
        <f>E30*$C$30</f>
        <v>0</v>
      </c>
      <c r="H30" s="128"/>
      <c r="I30" s="128">
        <f>G30*$C$30</f>
        <v>0</v>
      </c>
      <c r="J30" s="128"/>
      <c r="K30" s="128">
        <f>I30*$C$30</f>
        <v>0</v>
      </c>
      <c r="L30" s="128"/>
      <c r="M30" s="128">
        <f>K30*$C$30</f>
        <v>0</v>
      </c>
      <c r="N30" s="128"/>
      <c r="O30" s="128">
        <f>M30*$C$30</f>
        <v>0</v>
      </c>
      <c r="P30" s="128"/>
      <c r="Q30" s="128">
        <f>O30*$C$30</f>
        <v>0</v>
      </c>
      <c r="R30" s="128"/>
      <c r="S30" s="128">
        <f>Q30*$C$30</f>
        <v>0</v>
      </c>
      <c r="T30" s="128"/>
      <c r="U30" s="128">
        <f>S30*$C$30</f>
        <v>0</v>
      </c>
      <c r="V30" s="128"/>
      <c r="W30" s="128">
        <f>U30*$C$30</f>
        <v>0</v>
      </c>
      <c r="X30" s="128"/>
      <c r="Y30" s="128">
        <f>W30*$C$30</f>
        <v>0</v>
      </c>
      <c r="Z30" s="128"/>
      <c r="AA30" s="128">
        <f>Y30*$C$30</f>
        <v>0</v>
      </c>
      <c r="AB30" s="128"/>
      <c r="AC30" s="128">
        <f>AA30*$C$30</f>
        <v>0</v>
      </c>
      <c r="AD30" s="128"/>
      <c r="AE30" s="128">
        <f>AC30*$C$30</f>
        <v>0</v>
      </c>
      <c r="AF30" s="128"/>
      <c r="AG30" s="128">
        <f>AE30*$C$30</f>
        <v>0</v>
      </c>
    </row>
    <row r="31" spans="1:33" s="117" customFormat="1" ht="13.8">
      <c r="A31" s="117" t="s">
        <v>2720</v>
      </c>
      <c r="C31" s="1101">
        <v>1.02</v>
      </c>
      <c r="E31" s="128">
        <f>Application!AC893</f>
        <v>0</v>
      </c>
      <c r="F31" s="128"/>
      <c r="G31" s="128">
        <f>E31*$C$31</f>
        <v>0</v>
      </c>
      <c r="H31" s="128"/>
      <c r="I31" s="128">
        <f>G31*$C$31</f>
        <v>0</v>
      </c>
      <c r="J31" s="128"/>
      <c r="K31" s="128">
        <f>I31*$C$31</f>
        <v>0</v>
      </c>
      <c r="L31" s="128"/>
      <c r="M31" s="128">
        <f>K31*$C$31</f>
        <v>0</v>
      </c>
      <c r="N31" s="128"/>
      <c r="O31" s="128">
        <f>M31*$C$31</f>
        <v>0</v>
      </c>
      <c r="P31" s="128"/>
      <c r="Q31" s="128">
        <f>O31*$C$31</f>
        <v>0</v>
      </c>
      <c r="R31" s="128"/>
      <c r="S31" s="128">
        <f>Q31*$C$31</f>
        <v>0</v>
      </c>
      <c r="T31" s="128"/>
      <c r="U31" s="128">
        <f>S31*$C$31</f>
        <v>0</v>
      </c>
      <c r="V31" s="128"/>
      <c r="W31" s="128">
        <f>U31*$C$31</f>
        <v>0</v>
      </c>
      <c r="X31" s="128"/>
      <c r="Y31" s="128">
        <f>W31*$C$31</f>
        <v>0</v>
      </c>
      <c r="Z31" s="128"/>
      <c r="AA31" s="128">
        <f>Y31*$C$31</f>
        <v>0</v>
      </c>
      <c r="AB31" s="128"/>
      <c r="AC31" s="128">
        <f>AA31*$C$31</f>
        <v>0</v>
      </c>
      <c r="AD31" s="128"/>
      <c r="AE31" s="128">
        <f>AC31*$C$31</f>
        <v>0</v>
      </c>
      <c r="AF31" s="128"/>
      <c r="AG31" s="128">
        <f>AE31*$C$31</f>
        <v>0</v>
      </c>
    </row>
    <row r="32" spans="1:33" s="117" customFormat="1" ht="13.8">
      <c r="A32" s="117" t="str">
        <f>Application!C894</f>
        <v>Other (Specify):</v>
      </c>
      <c r="C32" s="1103">
        <v>1.0349999999999999</v>
      </c>
      <c r="E32" s="128">
        <f>Application!AC894</f>
        <v>0</v>
      </c>
      <c r="F32" s="128"/>
      <c r="G32" s="128">
        <f>E32*$C$32</f>
        <v>0</v>
      </c>
      <c r="H32" s="128"/>
      <c r="I32" s="128">
        <f>G32*$C$32</f>
        <v>0</v>
      </c>
      <c r="J32" s="128"/>
      <c r="K32" s="128">
        <f>I32*$C$32</f>
        <v>0</v>
      </c>
      <c r="L32" s="128"/>
      <c r="M32" s="128">
        <f>K32*$C$32</f>
        <v>0</v>
      </c>
      <c r="N32" s="128"/>
      <c r="O32" s="128">
        <f>M32*$C$32</f>
        <v>0</v>
      </c>
      <c r="P32" s="128"/>
      <c r="Q32" s="128">
        <f>O32*$C$32</f>
        <v>0</v>
      </c>
      <c r="R32" s="128"/>
      <c r="S32" s="128">
        <f>Q32*$C$32</f>
        <v>0</v>
      </c>
      <c r="T32" s="128"/>
      <c r="U32" s="128">
        <f>S32*$C$32</f>
        <v>0</v>
      </c>
      <c r="V32" s="128"/>
      <c r="W32" s="128">
        <f>U32*$C$32</f>
        <v>0</v>
      </c>
      <c r="X32" s="128"/>
      <c r="Y32" s="128">
        <f>W32*$C$32</f>
        <v>0</v>
      </c>
      <c r="Z32" s="128"/>
      <c r="AA32" s="128">
        <f>Y32*$C$32</f>
        <v>0</v>
      </c>
      <c r="AB32" s="128"/>
      <c r="AC32" s="128">
        <f>AA32*$C$32</f>
        <v>0</v>
      </c>
      <c r="AD32" s="128"/>
      <c r="AE32" s="128">
        <f>AC32*$C$32</f>
        <v>0</v>
      </c>
      <c r="AF32" s="128"/>
      <c r="AG32" s="128">
        <f>AE32*$C$32</f>
        <v>0</v>
      </c>
    </row>
    <row r="33" spans="1:33" s="117" customFormat="1" ht="13.8">
      <c r="A33" s="117" t="str">
        <f>Application!C895</f>
        <v>Other (Specify):</v>
      </c>
      <c r="C33" s="1103">
        <v>1.0349999999999999</v>
      </c>
      <c r="E33" s="128">
        <f>Application!AC895</f>
        <v>0</v>
      </c>
      <c r="F33" s="128"/>
      <c r="G33" s="128">
        <f>E33*$C$33</f>
        <v>0</v>
      </c>
      <c r="H33" s="128"/>
      <c r="I33" s="128">
        <f>G33*$C$33</f>
        <v>0</v>
      </c>
      <c r="J33" s="128"/>
      <c r="K33" s="128">
        <f>I33*$C$33</f>
        <v>0</v>
      </c>
      <c r="L33" s="128"/>
      <c r="M33" s="128">
        <f>K33*$C$33</f>
        <v>0</v>
      </c>
      <c r="N33" s="128"/>
      <c r="O33" s="128">
        <f>M33*$C$33</f>
        <v>0</v>
      </c>
      <c r="P33" s="128"/>
      <c r="Q33" s="128">
        <f>O33*$C$33</f>
        <v>0</v>
      </c>
      <c r="R33" s="128"/>
      <c r="S33" s="128">
        <f>Q33*$C$33</f>
        <v>0</v>
      </c>
      <c r="T33" s="128"/>
      <c r="U33" s="128">
        <f>S33*$C$33</f>
        <v>0</v>
      </c>
      <c r="V33" s="128"/>
      <c r="W33" s="128">
        <f>U33*$C$33</f>
        <v>0</v>
      </c>
      <c r="X33" s="128"/>
      <c r="Y33" s="128">
        <f>W33*$C$33</f>
        <v>0</v>
      </c>
      <c r="Z33" s="128"/>
      <c r="AA33" s="128">
        <f>Y33*$C$33</f>
        <v>0</v>
      </c>
      <c r="AB33" s="128"/>
      <c r="AC33" s="128">
        <f>AA33*$C$33</f>
        <v>0</v>
      </c>
      <c r="AD33" s="128"/>
      <c r="AE33" s="128">
        <f>AC33*$C$33</f>
        <v>0</v>
      </c>
      <c r="AF33" s="128"/>
      <c r="AG33" s="128">
        <f>AE33*$C$33</f>
        <v>0</v>
      </c>
    </row>
    <row r="34" spans="1:33" s="117" customFormat="1" ht="13.8">
      <c r="C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row>
    <row r="35" spans="1:33" s="129" customFormat="1" ht="13.8">
      <c r="A35" s="129" t="s">
        <v>1571</v>
      </c>
      <c r="C35" s="130"/>
      <c r="E35" s="129">
        <f>SUM(E22:E33)</f>
        <v>1445786</v>
      </c>
      <c r="G35" s="129">
        <f>SUM(G22:G33)</f>
        <v>1485076.72</v>
      </c>
      <c r="I35" s="129">
        <f>SUM(I22:I33)</f>
        <v>1525533.8794</v>
      </c>
      <c r="K35" s="129">
        <f>SUM(K22:K33)</f>
        <v>1567194.1288629998</v>
      </c>
      <c r="M35" s="129">
        <f>SUM(M22:M33)</f>
        <v>1610095.3183308849</v>
      </c>
      <c r="O35" s="129">
        <f>SUM(O22:O33)</f>
        <v>1654276.5373292998</v>
      </c>
      <c r="Q35" s="129">
        <f>SUM(Q22:Q33)</f>
        <v>1699778.1566497956</v>
      </c>
      <c r="S35" s="129">
        <f>SUM(S22:S33)</f>
        <v>1746641.8714567879</v>
      </c>
      <c r="U35" s="129">
        <f>SUM(U22:U33)</f>
        <v>1794910.7458685103</v>
      </c>
      <c r="W35" s="129">
        <f>SUM(W22:W33)</f>
        <v>1844629.2590628576</v>
      </c>
      <c r="Y35" s="129">
        <f>SUM(Y22:Y33)</f>
        <v>1895843.3529607859</v>
      </c>
      <c r="AA35" s="129">
        <f>SUM(AA22:AA33)</f>
        <v>1948600.4815417563</v>
      </c>
      <c r="AC35" s="129">
        <f>SUM(AC22:AC33)</f>
        <v>2002949.6618476075</v>
      </c>
      <c r="AE35" s="129">
        <f>SUM(AE22:AE33)</f>
        <v>2058941.5267332012</v>
      </c>
      <c r="AG35" s="129">
        <f>SUM(AG22:AG33)</f>
        <v>2116628.3794242097</v>
      </c>
    </row>
    <row r="36" spans="1:33" s="117" customFormat="1" ht="13.8">
      <c r="C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row>
    <row r="37" spans="1:33" s="129" customFormat="1" ht="13.8">
      <c r="A37" s="129" t="s">
        <v>2721</v>
      </c>
      <c r="C37" s="130"/>
      <c r="E37" s="129">
        <f>E11-E35</f>
        <v>1525179.4</v>
      </c>
      <c r="G37" s="129">
        <f>G11-G35</f>
        <v>1560162.8149999997</v>
      </c>
      <c r="I37" s="129">
        <f>I11-I35</f>
        <v>1595836.6439749994</v>
      </c>
      <c r="K37" s="129">
        <f>K11-K35</f>
        <v>1632210.6575963744</v>
      </c>
      <c r="M37" s="129">
        <f>M11-M35</f>
        <v>1669294.5877899737</v>
      </c>
      <c r="O37" s="129">
        <f>O11-O35</f>
        <v>1707098.1164445803</v>
      </c>
      <c r="Q37" s="129">
        <f>Q11-Q35</f>
        <v>1745630.8634684316</v>
      </c>
      <c r="S37" s="129">
        <f>S11-S35</f>
        <v>1784902.3741643946</v>
      </c>
      <c r="U37" s="129">
        <f>U11-U35</f>
        <v>1824922.1058932024</v>
      </c>
      <c r="W37" s="129">
        <f>W11-W35</f>
        <v>1865699.4139928978</v>
      </c>
      <c r="Y37" s="129">
        <f>Y11-Y35</f>
        <v>1907243.5369213638</v>
      </c>
      <c r="AA37" s="129">
        <f>AA11-AA35</f>
        <v>1949563.5805874469</v>
      </c>
      <c r="AC37" s="129">
        <f>AC11-AC35</f>
        <v>1992668.5018348258</v>
      </c>
      <c r="AE37" s="129">
        <f>AE11-AE35</f>
        <v>2036567.0910412923</v>
      </c>
      <c r="AG37" s="129">
        <f>AG11-AG35</f>
        <v>2081267.953794647</v>
      </c>
    </row>
    <row r="38" spans="1:33" s="117" customFormat="1" ht="13.8">
      <c r="C38" s="126"/>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row>
    <row r="39" spans="1:33" s="117" customFormat="1" ht="13.8">
      <c r="A39" s="124" t="s">
        <v>2722</v>
      </c>
      <c r="C39" s="126"/>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row>
    <row r="40" spans="1:33" s="117" customFormat="1" ht="13.8">
      <c r="A40" s="131" t="str">
        <f>Application!C627</f>
        <v>Permanent Loan- Citibank</v>
      </c>
      <c r="B40" s="132"/>
      <c r="C40" s="126"/>
      <c r="E40" s="128">
        <f>Application!AF627</f>
        <v>1316581</v>
      </c>
      <c r="F40" s="128"/>
      <c r="G40" s="128">
        <f>$E$40</f>
        <v>1316581</v>
      </c>
      <c r="H40" s="128"/>
      <c r="I40" s="128">
        <f>$E$40</f>
        <v>1316581</v>
      </c>
      <c r="J40" s="128"/>
      <c r="K40" s="128">
        <f>$E$40</f>
        <v>1316581</v>
      </c>
      <c r="L40" s="128"/>
      <c r="M40" s="128">
        <f>$E$40</f>
        <v>1316581</v>
      </c>
      <c r="N40" s="128"/>
      <c r="O40" s="128">
        <f>$E$40</f>
        <v>1316581</v>
      </c>
      <c r="P40" s="128"/>
      <c r="Q40" s="128">
        <f>$E$40</f>
        <v>1316581</v>
      </c>
      <c r="R40" s="128"/>
      <c r="S40" s="128">
        <f>$E$40</f>
        <v>1316581</v>
      </c>
      <c r="T40" s="128"/>
      <c r="U40" s="128">
        <f>$E$40</f>
        <v>1316581</v>
      </c>
      <c r="V40" s="128"/>
      <c r="W40" s="128">
        <f>$E$40</f>
        <v>1316581</v>
      </c>
      <c r="X40" s="128"/>
      <c r="Y40" s="128">
        <f>$E$40</f>
        <v>1316581</v>
      </c>
      <c r="Z40" s="128"/>
      <c r="AA40" s="128">
        <f>$E$40</f>
        <v>1316581</v>
      </c>
      <c r="AB40" s="128"/>
      <c r="AC40" s="128">
        <f>$E$40</f>
        <v>1316581</v>
      </c>
      <c r="AD40" s="128"/>
      <c r="AE40" s="128">
        <f>$E$40</f>
        <v>1316581</v>
      </c>
      <c r="AF40" s="128"/>
      <c r="AG40" s="128">
        <f>$E$40</f>
        <v>1316581</v>
      </c>
    </row>
    <row r="41" spans="1:33" s="117" customFormat="1" ht="13.8">
      <c r="A41" s="131" t="s">
        <v>2723</v>
      </c>
      <c r="B41" s="132"/>
      <c r="C41" s="126"/>
      <c r="E41" s="128">
        <v>9662</v>
      </c>
      <c r="F41" s="128"/>
      <c r="G41" s="128">
        <f>$E$41</f>
        <v>9662</v>
      </c>
      <c r="H41" s="128"/>
      <c r="I41" s="128">
        <f>$E$41</f>
        <v>9662</v>
      </c>
      <c r="J41" s="128"/>
      <c r="K41" s="128">
        <f>$E$41</f>
        <v>9662</v>
      </c>
      <c r="L41" s="128"/>
      <c r="M41" s="128">
        <f>$E$41</f>
        <v>9662</v>
      </c>
      <c r="N41" s="128"/>
      <c r="O41" s="128">
        <f>$E$41</f>
        <v>9662</v>
      </c>
      <c r="P41" s="128"/>
      <c r="Q41" s="128">
        <f>$E$41</f>
        <v>9662</v>
      </c>
      <c r="R41" s="128"/>
      <c r="S41" s="128">
        <f>$E$41</f>
        <v>9662</v>
      </c>
      <c r="T41" s="128"/>
      <c r="U41" s="128">
        <f>$E$41</f>
        <v>9662</v>
      </c>
      <c r="V41" s="128"/>
      <c r="W41" s="128">
        <f>$E$41</f>
        <v>9662</v>
      </c>
      <c r="X41" s="128"/>
      <c r="Y41" s="128">
        <f>$E$41</f>
        <v>9662</v>
      </c>
      <c r="Z41" s="128"/>
      <c r="AA41" s="128">
        <f>$E$41</f>
        <v>9662</v>
      </c>
      <c r="AB41" s="128"/>
      <c r="AC41" s="128">
        <f>$E$41</f>
        <v>9662</v>
      </c>
      <c r="AD41" s="128"/>
      <c r="AE41" s="128">
        <f>$E$41</f>
        <v>9662</v>
      </c>
      <c r="AF41" s="128"/>
      <c r="AG41" s="128">
        <f>$E$41</f>
        <v>9662</v>
      </c>
    </row>
    <row r="42" spans="1:33" s="117" customFormat="1" ht="13.8">
      <c r="A42" s="131"/>
      <c r="B42" s="132"/>
      <c r="C42" s="126"/>
      <c r="E42" s="138"/>
      <c r="F42" s="128"/>
      <c r="G42" s="138">
        <f>$E$42</f>
        <v>0</v>
      </c>
      <c r="H42" s="128"/>
      <c r="I42" s="138">
        <f>$E$42</f>
        <v>0</v>
      </c>
      <c r="J42" s="128"/>
      <c r="K42" s="138">
        <f>$E$42</f>
        <v>0</v>
      </c>
      <c r="L42" s="128"/>
      <c r="M42" s="138">
        <f>$E$42</f>
        <v>0</v>
      </c>
      <c r="N42" s="128"/>
      <c r="O42" s="138">
        <f>$E$42</f>
        <v>0</v>
      </c>
      <c r="P42" s="128"/>
      <c r="Q42" s="138">
        <f>$E$42</f>
        <v>0</v>
      </c>
      <c r="R42" s="128"/>
      <c r="S42" s="138">
        <f>$E$42</f>
        <v>0</v>
      </c>
      <c r="T42" s="128"/>
      <c r="U42" s="138">
        <f>$E$42</f>
        <v>0</v>
      </c>
      <c r="V42" s="128"/>
      <c r="W42" s="138">
        <f>$E$42</f>
        <v>0</v>
      </c>
      <c r="X42" s="128"/>
      <c r="Y42" s="138">
        <f>$E$42</f>
        <v>0</v>
      </c>
      <c r="Z42" s="128"/>
      <c r="AA42" s="138">
        <f>$E$42</f>
        <v>0</v>
      </c>
      <c r="AB42" s="128"/>
      <c r="AC42" s="138">
        <f>$E$42</f>
        <v>0</v>
      </c>
      <c r="AD42" s="128"/>
      <c r="AE42" s="138">
        <f>$E$42</f>
        <v>0</v>
      </c>
      <c r="AF42" s="128"/>
      <c r="AG42" s="138">
        <f>$E$42</f>
        <v>0</v>
      </c>
    </row>
    <row r="43" spans="1:33" s="129" customFormat="1" ht="13.8">
      <c r="A43" s="129" t="s">
        <v>2724</v>
      </c>
      <c r="C43" s="130"/>
      <c r="E43" s="129">
        <f>SUM(E40:E42)</f>
        <v>1326243</v>
      </c>
      <c r="G43" s="129">
        <f>SUM(G40:G42)</f>
        <v>1326243</v>
      </c>
      <c r="I43" s="129">
        <f>SUM(I40:I42)</f>
        <v>1326243</v>
      </c>
      <c r="K43" s="129">
        <f>SUM(K40:K42)</f>
        <v>1326243</v>
      </c>
      <c r="M43" s="129">
        <f>SUM(M40:M42)</f>
        <v>1326243</v>
      </c>
      <c r="O43" s="129">
        <f>SUM(O40:O42)</f>
        <v>1326243</v>
      </c>
      <c r="Q43" s="129">
        <f>SUM(Q40:Q42)</f>
        <v>1326243</v>
      </c>
      <c r="S43" s="129">
        <f>SUM(S40:S42)</f>
        <v>1326243</v>
      </c>
      <c r="U43" s="129">
        <f>SUM(U40:U42)</f>
        <v>1326243</v>
      </c>
      <c r="W43" s="129">
        <f>SUM(W40:W42)</f>
        <v>1326243</v>
      </c>
      <c r="Y43" s="129">
        <f>SUM(Y40:Y42)</f>
        <v>1326243</v>
      </c>
      <c r="AA43" s="129">
        <f>SUM(AA40:AA42)</f>
        <v>1326243</v>
      </c>
      <c r="AC43" s="129">
        <f>SUM(AC40:AC42)</f>
        <v>1326243</v>
      </c>
      <c r="AE43" s="129">
        <f>SUM(AE40:AE42)</f>
        <v>1326243</v>
      </c>
      <c r="AG43" s="129">
        <f>SUM(AG40:AG42)</f>
        <v>1326243</v>
      </c>
    </row>
    <row r="44" spans="1:33" s="117" customFormat="1" ht="13.8">
      <c r="C44" s="126"/>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row>
    <row r="45" spans="1:33" s="129" customFormat="1" ht="13.8">
      <c r="A45" s="129" t="s">
        <v>2725</v>
      </c>
      <c r="C45" s="130"/>
      <c r="E45" s="129">
        <f>E37-E43</f>
        <v>198936.39999999991</v>
      </c>
      <c r="G45" s="129">
        <f>G37-G43</f>
        <v>233919.81499999971</v>
      </c>
      <c r="I45" s="129">
        <f>I37-I43</f>
        <v>269593.64397499943</v>
      </c>
      <c r="K45" s="129">
        <f>K37-K43</f>
        <v>305967.6575963744</v>
      </c>
      <c r="M45" s="129">
        <f>M37-M43</f>
        <v>343051.58778997371</v>
      </c>
      <c r="O45" s="129">
        <f>O37-O43</f>
        <v>380855.11644458026</v>
      </c>
      <c r="Q45" s="129">
        <f>Q37-Q43</f>
        <v>419387.86346843163</v>
      </c>
      <c r="S45" s="129">
        <f>S37-S43</f>
        <v>458659.37416439457</v>
      </c>
      <c r="U45" s="129">
        <f>U37-U43</f>
        <v>498679.10589320236</v>
      </c>
      <c r="W45" s="129">
        <f>W37-W43</f>
        <v>539456.41399289784</v>
      </c>
      <c r="Y45" s="129">
        <f>Y37-Y43</f>
        <v>581000.53692136379</v>
      </c>
      <c r="AA45" s="129">
        <f>AA37-AA43</f>
        <v>623320.58058744692</v>
      </c>
      <c r="AC45" s="129">
        <f>AC37-AC43</f>
        <v>666425.50183482585</v>
      </c>
      <c r="AE45" s="129">
        <f>AE37-AE43</f>
        <v>710324.0910412923</v>
      </c>
      <c r="AG45" s="129">
        <f>AG37-AG43</f>
        <v>755024.95379464701</v>
      </c>
    </row>
    <row r="46" spans="1:33" s="117" customFormat="1" ht="13.8">
      <c r="C46" s="126"/>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row>
    <row r="47" spans="1:33" s="133" customFormat="1" ht="13.8">
      <c r="A47" s="133" t="s">
        <v>2726</v>
      </c>
      <c r="C47" s="126"/>
      <c r="E47" s="133">
        <f>E45/(E4+E6+E8)</f>
        <v>6.361217804825324E-2</v>
      </c>
      <c r="G47" s="133">
        <f>G45/(G4+G6+G8)</f>
        <v>7.2974168926911609E-2</v>
      </c>
      <c r="I47" s="133">
        <f>I45/(I4+I6+I8)</f>
        <v>8.205176535700888E-2</v>
      </c>
      <c r="K47" s="133">
        <f>K45/(K4+K6+K8)</f>
        <v>9.0851047028102136E-2</v>
      </c>
      <c r="M47" s="133">
        <f>M45/(M4+M6+M8)</f>
        <v>9.9377938497705529E-2</v>
      </c>
      <c r="O47" s="133">
        <f>O45/(O4+O6+O8)</f>
        <v>0.10763821290082541</v>
      </c>
      <c r="Q47" s="133">
        <f>Q45/(Q4+Q6+Q8)</f>
        <v>0.11563749556833126</v>
      </c>
      <c r="S47" s="133">
        <f>S45/(S4+S6+S8)</f>
        <v>0.12338126755637817</v>
      </c>
      <c r="U47" s="133">
        <f>U45/(U4+U6+U8)</f>
        <v>0.130874869089046</v>
      </c>
      <c r="W47" s="133">
        <f>W45/(W4+W6+W8)</f>
        <v>0.13812350291630129</v>
      </c>
      <c r="Y47" s="133">
        <f>Y45/(Y4+Y6+Y8)</f>
        <v>0.14513223758934404</v>
      </c>
      <c r="AA47" s="133">
        <f>AA45/(AA4+AA6+AA8)</f>
        <v>0.15190601065534318</v>
      </c>
      <c r="AC47" s="133">
        <f>AC45/(AC4+AC6+AC8)</f>
        <v>0.1584496317735237</v>
      </c>
      <c r="AE47" s="133">
        <f>AE45/(AE4+AE6+AE8)</f>
        <v>0.16476778575451256</v>
      </c>
      <c r="AG47" s="133">
        <f>AG45/(AG4+AG6+AG8)</f>
        <v>0.17086503552481122</v>
      </c>
    </row>
    <row r="48" spans="1:33" s="133" customFormat="1" ht="13.8">
      <c r="A48" s="133" t="s">
        <v>2727</v>
      </c>
      <c r="C48" s="126"/>
      <c r="E48" s="133">
        <f>E45/E43</f>
        <v>0.1499999622995182</v>
      </c>
      <c r="G48" s="133">
        <f>G45/G43</f>
        <v>0.17637779426545491</v>
      </c>
      <c r="I48" s="133">
        <f>I45/I43</f>
        <v>0.20327620502049731</v>
      </c>
      <c r="K48" s="133">
        <f>K45/K43</f>
        <v>0.23070256174500028</v>
      </c>
      <c r="M48" s="133">
        <f>M45/M43</f>
        <v>0.25866420240481852</v>
      </c>
      <c r="O48" s="133">
        <f>O45/O43</f>
        <v>0.28716842723737673</v>
      </c>
      <c r="Q48" s="133">
        <f>Q45/Q43</f>
        <v>0.31622248974617145</v>
      </c>
      <c r="S48" s="133">
        <f>S45/S43</f>
        <v>0.34583358718153051</v>
      </c>
      <c r="U48" s="133">
        <f>U45/U43</f>
        <v>0.37600885048456606</v>
      </c>
      <c r="W48" s="133">
        <f>W45/W43</f>
        <v>0.40675533367029859</v>
      </c>
      <c r="Y48" s="133">
        <f>Y45/Y43</f>
        <v>0.43808000262498181</v>
      </c>
      <c r="AA48" s="133">
        <f>AA45/AA43</f>
        <v>0.4699897232916192</v>
      </c>
      <c r="AC48" s="133">
        <f>AC45/AC43</f>
        <v>0.50249124921664112</v>
      </c>
      <c r="AE48" s="133">
        <f>AE45/AE43</f>
        <v>0.53559120842959573</v>
      </c>
      <c r="AG48" s="133">
        <f>AG45/AG43</f>
        <v>0.56929608962659706</v>
      </c>
    </row>
    <row r="49" spans="1:34" s="134" customFormat="1" ht="13.8">
      <c r="A49" s="134" t="s">
        <v>2271</v>
      </c>
      <c r="C49" s="135"/>
      <c r="E49" s="134">
        <f>E37/E43</f>
        <v>1.1499999622995183</v>
      </c>
      <c r="G49" s="134">
        <f>G37/G43</f>
        <v>1.176377794265455</v>
      </c>
      <c r="I49" s="134">
        <f>I37/I43</f>
        <v>1.2032762050204973</v>
      </c>
      <c r="K49" s="134">
        <f>K37/K43</f>
        <v>1.2307025617450003</v>
      </c>
      <c r="M49" s="134">
        <f>M37/M43</f>
        <v>1.2586642024048185</v>
      </c>
      <c r="O49" s="134">
        <f>O37/O43</f>
        <v>1.2871684272373767</v>
      </c>
      <c r="Q49" s="134">
        <f>Q37/Q43</f>
        <v>1.3162224897461714</v>
      </c>
      <c r="S49" s="134">
        <f>S37/S43</f>
        <v>1.3458335871815306</v>
      </c>
      <c r="U49" s="134">
        <f>U37/U43</f>
        <v>1.376008850484566</v>
      </c>
      <c r="W49" s="134">
        <f>W37/W43</f>
        <v>1.4067553336702987</v>
      </c>
      <c r="Y49" s="134">
        <f>Y37/Y43</f>
        <v>1.4380800026249818</v>
      </c>
      <c r="AA49" s="134">
        <f>AA37/AA43</f>
        <v>1.4699897232916193</v>
      </c>
      <c r="AC49" s="134">
        <f>AC37/AC43</f>
        <v>1.5024912492166411</v>
      </c>
      <c r="AE49" s="134">
        <f>AE37/AE43</f>
        <v>1.5355912084295957</v>
      </c>
      <c r="AG49" s="134">
        <f>AG37/AG43</f>
        <v>1.5692960896265971</v>
      </c>
    </row>
    <row r="50" spans="1:34" s="117" customFormat="1" ht="13.8">
      <c r="A50" s="136"/>
      <c r="B50" s="136"/>
      <c r="C50" s="137"/>
      <c r="D50" s="136"/>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row>
    <row r="51" spans="1:34" s="2" customFormat="1">
      <c r="A51" s="2" t="s">
        <v>2728</v>
      </c>
      <c r="C51" s="762"/>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c r="AD51" s="761"/>
      <c r="AE51" s="761"/>
      <c r="AF51" s="761"/>
      <c r="AG51" s="761"/>
    </row>
    <row r="52" spans="1:34" s="2" customFormat="1">
      <c r="A52" s="2620" t="s">
        <v>1028</v>
      </c>
      <c r="B52" s="2620"/>
      <c r="C52" s="2620"/>
      <c r="D52" s="761"/>
      <c r="E52" s="761"/>
      <c r="F52" s="761"/>
      <c r="G52" s="761"/>
      <c r="H52" s="761"/>
      <c r="I52" s="761"/>
      <c r="J52" s="761"/>
      <c r="K52" s="761"/>
      <c r="L52" s="761"/>
      <c r="M52" s="761"/>
      <c r="N52" s="761"/>
      <c r="O52" s="761"/>
      <c r="P52" s="761"/>
      <c r="Q52" s="761"/>
      <c r="R52" s="761"/>
      <c r="S52" s="761"/>
      <c r="T52" s="761"/>
      <c r="U52" s="761"/>
      <c r="V52" s="761"/>
      <c r="W52" s="761"/>
      <c r="X52" s="761"/>
      <c r="Y52" s="761"/>
      <c r="Z52" s="761"/>
      <c r="AA52" s="761"/>
      <c r="AB52" s="761"/>
      <c r="AC52" s="761"/>
      <c r="AD52" s="761"/>
      <c r="AE52" s="761"/>
      <c r="AF52" s="761"/>
      <c r="AG52" s="761"/>
    </row>
    <row r="53" spans="1:34" s="763" customFormat="1">
      <c r="A53" s="763" t="s">
        <v>2044</v>
      </c>
      <c r="C53" s="764">
        <v>3.5000000000000003E-2</v>
      </c>
      <c r="E53" s="765">
        <v>10800</v>
      </c>
      <c r="G53" s="761">
        <f>(E53*$C$53)+E53</f>
        <v>11178</v>
      </c>
      <c r="H53" s="761">
        <f t="shared" ref="H53:AG54" si="7">(F53*$C$53)+F53</f>
        <v>0</v>
      </c>
      <c r="I53" s="761">
        <f t="shared" si="7"/>
        <v>11569.23</v>
      </c>
      <c r="J53" s="761">
        <f t="shared" si="7"/>
        <v>0</v>
      </c>
      <c r="K53" s="761">
        <f t="shared" si="7"/>
        <v>11974.153049999999</v>
      </c>
      <c r="L53" s="761">
        <f t="shared" si="7"/>
        <v>0</v>
      </c>
      <c r="M53" s="761">
        <f t="shared" si="7"/>
        <v>12393.248406749999</v>
      </c>
      <c r="N53" s="761">
        <f t="shared" si="7"/>
        <v>0</v>
      </c>
      <c r="O53" s="761">
        <f t="shared" si="7"/>
        <v>12827.012100986249</v>
      </c>
      <c r="P53" s="761">
        <f t="shared" si="7"/>
        <v>0</v>
      </c>
      <c r="Q53" s="761">
        <f t="shared" si="7"/>
        <v>13275.957524520767</v>
      </c>
      <c r="R53" s="761">
        <f t="shared" si="7"/>
        <v>0</v>
      </c>
      <c r="S53" s="761">
        <f t="shared" si="7"/>
        <v>13740.616037878994</v>
      </c>
      <c r="T53" s="761">
        <f t="shared" si="7"/>
        <v>0</v>
      </c>
      <c r="U53" s="761">
        <f t="shared" si="7"/>
        <v>14221.537599204759</v>
      </c>
      <c r="V53" s="761">
        <f t="shared" si="7"/>
        <v>0</v>
      </c>
      <c r="W53" s="761">
        <f t="shared" si="7"/>
        <v>14719.291415176926</v>
      </c>
      <c r="X53" s="761">
        <f t="shared" si="7"/>
        <v>0</v>
      </c>
      <c r="Y53" s="761">
        <f t="shared" si="7"/>
        <v>15234.466614708119</v>
      </c>
      <c r="Z53" s="761">
        <f t="shared" si="7"/>
        <v>0</v>
      </c>
      <c r="AA53" s="761">
        <f t="shared" si="7"/>
        <v>15767.672946222903</v>
      </c>
      <c r="AB53" s="761">
        <f t="shared" si="7"/>
        <v>0</v>
      </c>
      <c r="AC53" s="761">
        <f t="shared" si="7"/>
        <v>16319.541499340705</v>
      </c>
      <c r="AD53" s="761">
        <f t="shared" si="7"/>
        <v>0</v>
      </c>
      <c r="AE53" s="761">
        <f t="shared" si="7"/>
        <v>16890.725451817631</v>
      </c>
      <c r="AF53" s="761">
        <f t="shared" si="7"/>
        <v>0</v>
      </c>
      <c r="AG53" s="761">
        <f t="shared" si="7"/>
        <v>17481.900842631247</v>
      </c>
    </row>
    <row r="54" spans="1:34" s="2" customFormat="1">
      <c r="A54" s="2" t="s">
        <v>2729</v>
      </c>
      <c r="C54" s="759"/>
      <c r="E54" s="766">
        <v>5000</v>
      </c>
      <c r="F54" s="761"/>
      <c r="G54" s="761">
        <f>(E54*$C$53)+E54</f>
        <v>5175</v>
      </c>
      <c r="H54" s="761">
        <f t="shared" si="7"/>
        <v>0</v>
      </c>
      <c r="I54" s="761">
        <f t="shared" si="7"/>
        <v>5356.125</v>
      </c>
      <c r="J54" s="761">
        <f t="shared" si="7"/>
        <v>0</v>
      </c>
      <c r="K54" s="761">
        <f t="shared" si="7"/>
        <v>5543.5893749999996</v>
      </c>
      <c r="L54" s="761">
        <f t="shared" si="7"/>
        <v>0</v>
      </c>
      <c r="M54" s="761">
        <f t="shared" si="7"/>
        <v>5737.6150031249999</v>
      </c>
      <c r="N54" s="761">
        <f t="shared" si="7"/>
        <v>0</v>
      </c>
      <c r="O54" s="761">
        <f t="shared" si="7"/>
        <v>5938.431528234375</v>
      </c>
      <c r="P54" s="761">
        <f t="shared" si="7"/>
        <v>0</v>
      </c>
      <c r="Q54" s="761">
        <f t="shared" si="7"/>
        <v>6146.2766317225778</v>
      </c>
      <c r="R54" s="761">
        <f t="shared" si="7"/>
        <v>0</v>
      </c>
      <c r="S54" s="761">
        <f t="shared" si="7"/>
        <v>6361.3963138328681</v>
      </c>
      <c r="T54" s="761">
        <f t="shared" si="7"/>
        <v>0</v>
      </c>
      <c r="U54" s="761">
        <f t="shared" si="7"/>
        <v>6584.0451848170187</v>
      </c>
      <c r="V54" s="761">
        <f t="shared" si="7"/>
        <v>0</v>
      </c>
      <c r="W54" s="761">
        <f t="shared" si="7"/>
        <v>6814.4867662856141</v>
      </c>
      <c r="X54" s="761">
        <f t="shared" si="7"/>
        <v>0</v>
      </c>
      <c r="Y54" s="761">
        <f t="shared" si="7"/>
        <v>7052.9938031056108</v>
      </c>
      <c r="Z54" s="761">
        <f t="shared" si="7"/>
        <v>0</v>
      </c>
      <c r="AA54" s="761">
        <f t="shared" si="7"/>
        <v>7299.848586214307</v>
      </c>
      <c r="AB54" s="761">
        <f t="shared" si="7"/>
        <v>0</v>
      </c>
      <c r="AC54" s="761">
        <f t="shared" si="7"/>
        <v>7555.3432867318079</v>
      </c>
      <c r="AD54" s="761">
        <f t="shared" si="7"/>
        <v>0</v>
      </c>
      <c r="AE54" s="761">
        <f t="shared" si="7"/>
        <v>7819.7803017674214</v>
      </c>
      <c r="AF54" s="761">
        <f t="shared" si="7"/>
        <v>0</v>
      </c>
      <c r="AG54" s="761">
        <f t="shared" si="7"/>
        <v>8093.4726123292812</v>
      </c>
      <c r="AH54" s="761"/>
    </row>
    <row r="55" spans="1:34" s="2" customFormat="1">
      <c r="A55" s="2" t="s">
        <v>2730</v>
      </c>
      <c r="C55" s="759"/>
      <c r="E55" s="766"/>
      <c r="F55" s="761"/>
      <c r="G55" s="761">
        <f t="shared" ref="G55:AG57" si="8">E55*$C$53</f>
        <v>0</v>
      </c>
      <c r="H55" s="761"/>
      <c r="I55" s="761">
        <f t="shared" si="8"/>
        <v>0</v>
      </c>
      <c r="J55" s="761"/>
      <c r="K55" s="761">
        <f t="shared" si="8"/>
        <v>0</v>
      </c>
      <c r="L55" s="761"/>
      <c r="M55" s="761">
        <f t="shared" si="8"/>
        <v>0</v>
      </c>
      <c r="N55" s="761"/>
      <c r="O55" s="761">
        <f t="shared" si="8"/>
        <v>0</v>
      </c>
      <c r="P55" s="761"/>
      <c r="Q55" s="761">
        <f t="shared" si="8"/>
        <v>0</v>
      </c>
      <c r="R55" s="761"/>
      <c r="S55" s="761">
        <f t="shared" si="8"/>
        <v>0</v>
      </c>
      <c r="T55" s="761"/>
      <c r="U55" s="761">
        <f t="shared" si="8"/>
        <v>0</v>
      </c>
      <c r="V55" s="761"/>
      <c r="W55" s="761">
        <f t="shared" si="8"/>
        <v>0</v>
      </c>
      <c r="X55" s="761"/>
      <c r="Y55" s="761">
        <f t="shared" si="8"/>
        <v>0</v>
      </c>
      <c r="Z55" s="761"/>
      <c r="AA55" s="761">
        <f t="shared" si="8"/>
        <v>0</v>
      </c>
      <c r="AB55" s="761"/>
      <c r="AC55" s="761">
        <f t="shared" si="8"/>
        <v>0</v>
      </c>
      <c r="AD55" s="761"/>
      <c r="AE55" s="761">
        <f t="shared" si="8"/>
        <v>0</v>
      </c>
      <c r="AF55" s="761"/>
      <c r="AG55" s="761">
        <f t="shared" si="8"/>
        <v>0</v>
      </c>
      <c r="AH55" s="761"/>
    </row>
    <row r="56" spans="1:34" s="2" customFormat="1">
      <c r="A56" s="767"/>
      <c r="B56" s="767"/>
      <c r="C56" s="759"/>
      <c r="E56" s="766"/>
      <c r="F56" s="761"/>
      <c r="G56" s="761">
        <f t="shared" si="8"/>
        <v>0</v>
      </c>
      <c r="H56" s="761"/>
      <c r="I56" s="761">
        <f t="shared" si="8"/>
        <v>0</v>
      </c>
      <c r="J56" s="761"/>
      <c r="K56" s="761">
        <f t="shared" si="8"/>
        <v>0</v>
      </c>
      <c r="L56" s="761"/>
      <c r="M56" s="761">
        <f t="shared" si="8"/>
        <v>0</v>
      </c>
      <c r="N56" s="761"/>
      <c r="O56" s="761">
        <f t="shared" si="8"/>
        <v>0</v>
      </c>
      <c r="P56" s="761"/>
      <c r="Q56" s="761">
        <f t="shared" si="8"/>
        <v>0</v>
      </c>
      <c r="R56" s="761"/>
      <c r="S56" s="761">
        <f t="shared" si="8"/>
        <v>0</v>
      </c>
      <c r="T56" s="761"/>
      <c r="U56" s="761">
        <f t="shared" si="8"/>
        <v>0</v>
      </c>
      <c r="V56" s="761"/>
      <c r="W56" s="761">
        <f t="shared" si="8"/>
        <v>0</v>
      </c>
      <c r="X56" s="761"/>
      <c r="Y56" s="761">
        <f t="shared" si="8"/>
        <v>0</v>
      </c>
      <c r="Z56" s="761"/>
      <c r="AA56" s="761">
        <f t="shared" si="8"/>
        <v>0</v>
      </c>
      <c r="AB56" s="761"/>
      <c r="AC56" s="761">
        <f t="shared" si="8"/>
        <v>0</v>
      </c>
      <c r="AD56" s="761"/>
      <c r="AE56" s="761">
        <f t="shared" si="8"/>
        <v>0</v>
      </c>
      <c r="AF56" s="761"/>
      <c r="AG56" s="761">
        <f t="shared" si="8"/>
        <v>0</v>
      </c>
      <c r="AH56" s="761"/>
    </row>
    <row r="57" spans="1:34" s="2" customFormat="1">
      <c r="A57" s="767"/>
      <c r="B57" s="767"/>
      <c r="C57" s="759"/>
      <c r="E57" s="768"/>
      <c r="F57" s="761"/>
      <c r="G57" s="769">
        <f t="shared" si="8"/>
        <v>0</v>
      </c>
      <c r="H57" s="761"/>
      <c r="I57" s="769">
        <f t="shared" si="8"/>
        <v>0</v>
      </c>
      <c r="J57" s="761"/>
      <c r="K57" s="769">
        <f t="shared" si="8"/>
        <v>0</v>
      </c>
      <c r="L57" s="761"/>
      <c r="M57" s="769">
        <f t="shared" si="8"/>
        <v>0</v>
      </c>
      <c r="N57" s="761"/>
      <c r="O57" s="769">
        <f t="shared" si="8"/>
        <v>0</v>
      </c>
      <c r="P57" s="761"/>
      <c r="Q57" s="769">
        <f t="shared" si="8"/>
        <v>0</v>
      </c>
      <c r="R57" s="761"/>
      <c r="S57" s="769">
        <f t="shared" si="8"/>
        <v>0</v>
      </c>
      <c r="T57" s="761"/>
      <c r="U57" s="769">
        <f t="shared" si="8"/>
        <v>0</v>
      </c>
      <c r="V57" s="761"/>
      <c r="W57" s="769">
        <f t="shared" si="8"/>
        <v>0</v>
      </c>
      <c r="X57" s="761"/>
      <c r="Y57" s="769">
        <f t="shared" si="8"/>
        <v>0</v>
      </c>
      <c r="Z57" s="761"/>
      <c r="AA57" s="769">
        <f t="shared" si="8"/>
        <v>0</v>
      </c>
      <c r="AB57" s="761"/>
      <c r="AC57" s="769">
        <f t="shared" si="8"/>
        <v>0</v>
      </c>
      <c r="AD57" s="761"/>
      <c r="AE57" s="769">
        <f t="shared" si="8"/>
        <v>0</v>
      </c>
      <c r="AF57" s="761"/>
      <c r="AG57" s="769">
        <f t="shared" si="8"/>
        <v>0</v>
      </c>
      <c r="AH57" s="761"/>
    </row>
    <row r="58" spans="1:34" s="2" customFormat="1">
      <c r="A58" s="763" t="s">
        <v>2731</v>
      </c>
      <c r="C58" s="762"/>
      <c r="E58" s="761">
        <f>SUM(E53:E57)</f>
        <v>15800</v>
      </c>
      <c r="F58" s="761"/>
      <c r="G58" s="761">
        <f>SUM(G53:G57)</f>
        <v>16353</v>
      </c>
      <c r="H58" s="761"/>
      <c r="I58" s="761">
        <f>SUM(I53:I57)</f>
        <v>16925.355</v>
      </c>
      <c r="J58" s="761"/>
      <c r="K58" s="761">
        <f>SUM(K53:K57)</f>
        <v>17517.742424999997</v>
      </c>
      <c r="L58" s="761"/>
      <c r="M58" s="761">
        <f>SUM(M53:M57)</f>
        <v>18130.863409874997</v>
      </c>
      <c r="N58" s="761"/>
      <c r="O58" s="761">
        <f>SUM(O53:O57)</f>
        <v>18765.443629220623</v>
      </c>
      <c r="P58" s="761"/>
      <c r="Q58" s="761">
        <f>SUM(Q53:Q57)</f>
        <v>19422.234156243343</v>
      </c>
      <c r="R58" s="761"/>
      <c r="S58" s="761">
        <f>SUM(S53:S57)</f>
        <v>20102.012351711863</v>
      </c>
      <c r="T58" s="761"/>
      <c r="U58" s="761">
        <f>SUM(U53:U57)</f>
        <v>20805.582784021779</v>
      </c>
      <c r="V58" s="761"/>
      <c r="W58" s="761">
        <f>SUM(W53:W57)</f>
        <v>21533.778181462541</v>
      </c>
      <c r="X58" s="761"/>
      <c r="Y58" s="761">
        <f>SUM(Y53:Y57)</f>
        <v>22287.460417813731</v>
      </c>
      <c r="Z58" s="761"/>
      <c r="AA58" s="761">
        <f>SUM(AA53:AA57)</f>
        <v>23067.521532437211</v>
      </c>
      <c r="AB58" s="761"/>
      <c r="AC58" s="761">
        <f>SUM(AC53:AC57)</f>
        <v>23874.884786072515</v>
      </c>
      <c r="AD58" s="761"/>
      <c r="AE58" s="761">
        <f>SUM(AE53:AE57)</f>
        <v>24710.50575358505</v>
      </c>
      <c r="AF58" s="761"/>
      <c r="AG58" s="761">
        <f>SUM(AG53:AG57)</f>
        <v>25575.373454960529</v>
      </c>
      <c r="AH58" s="761"/>
    </row>
    <row r="59" spans="1:34" s="2" customFormat="1" ht="12.75" customHeight="1">
      <c r="A59" s="763"/>
      <c r="C59" s="762"/>
      <c r="E59" s="761"/>
      <c r="F59" s="761"/>
      <c r="G59" s="761"/>
      <c r="H59" s="761"/>
      <c r="I59" s="761"/>
      <c r="J59" s="761"/>
      <c r="K59" s="761"/>
      <c r="L59" s="761"/>
      <c r="M59" s="761"/>
      <c r="N59" s="761"/>
      <c r="O59" s="761"/>
      <c r="P59" s="761"/>
      <c r="Q59" s="761"/>
      <c r="R59" s="761"/>
      <c r="S59" s="761"/>
      <c r="T59" s="761"/>
      <c r="U59" s="761"/>
      <c r="V59" s="761"/>
      <c r="W59" s="761"/>
      <c r="X59" s="761"/>
      <c r="Y59" s="761"/>
      <c r="Z59" s="761"/>
      <c r="AA59" s="761"/>
      <c r="AB59" s="761"/>
      <c r="AC59" s="761"/>
      <c r="AD59" s="761"/>
      <c r="AE59" s="761"/>
      <c r="AF59" s="761"/>
      <c r="AG59" s="761"/>
      <c r="AH59" s="761"/>
    </row>
    <row r="60" spans="1:34" s="763" customFormat="1">
      <c r="A60" s="763" t="s">
        <v>2732</v>
      </c>
      <c r="C60" s="770"/>
      <c r="E60" s="763">
        <f>E45-E58</f>
        <v>183136.39999999991</v>
      </c>
      <c r="G60" s="763">
        <f>G45-G58</f>
        <v>217566.81499999971</v>
      </c>
      <c r="I60" s="763">
        <f>I45-I58</f>
        <v>252668.28897499942</v>
      </c>
      <c r="K60" s="763">
        <f>K45-K58</f>
        <v>288449.91517137439</v>
      </c>
      <c r="M60" s="763">
        <f>M45-M58</f>
        <v>324920.72438009869</v>
      </c>
      <c r="O60" s="763">
        <f>O45-O58</f>
        <v>362089.67281535966</v>
      </c>
      <c r="Q60" s="763">
        <f>Q45-Q58</f>
        <v>399965.62931218831</v>
      </c>
      <c r="S60" s="763">
        <f>S45-S58</f>
        <v>438557.36181268271</v>
      </c>
      <c r="U60" s="763">
        <f>U45-U58</f>
        <v>477873.52310918056</v>
      </c>
      <c r="W60" s="763">
        <f>W45-W58</f>
        <v>517922.63581143529</v>
      </c>
      <c r="Y60" s="763">
        <f>Y45-Y58</f>
        <v>558713.07650355005</v>
      </c>
      <c r="AA60" s="763">
        <f>AA45-AA58</f>
        <v>600253.05905500974</v>
      </c>
      <c r="AC60" s="763">
        <f>AC45-AC58</f>
        <v>642550.61704875331</v>
      </c>
      <c r="AE60" s="763">
        <f>AE45-AE58</f>
        <v>685613.58528770728</v>
      </c>
      <c r="AG60" s="763">
        <f>AG45-AG58</f>
        <v>729449.58033968648</v>
      </c>
    </row>
    <row r="61" spans="1:34" s="2" customFormat="1" ht="8.25" customHeight="1">
      <c r="C61" s="762"/>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c r="AF61" s="761"/>
      <c r="AG61" s="761"/>
      <c r="AH61" s="761"/>
    </row>
    <row r="62" spans="1:34" s="763" customFormat="1">
      <c r="A62" s="763" t="s">
        <v>2733</v>
      </c>
      <c r="C62" s="760">
        <v>1</v>
      </c>
      <c r="E62" s="765">
        <f>E60*$C$62</f>
        <v>183136.39999999991</v>
      </c>
      <c r="G62" s="763">
        <f>G60*$C$62</f>
        <v>217566.81499999971</v>
      </c>
      <c r="I62" s="763">
        <f>I60*$C$62</f>
        <v>252668.28897499942</v>
      </c>
      <c r="K62" s="763">
        <f>K60*$C$62</f>
        <v>288449.91517137439</v>
      </c>
      <c r="M62" s="763">
        <f>M60*$C$62</f>
        <v>324920.72438009869</v>
      </c>
      <c r="O62" s="763">
        <f>O60*$C$62</f>
        <v>362089.67281535966</v>
      </c>
      <c r="Q62" s="763">
        <f>Q60*$C$62</f>
        <v>399965.62931218831</v>
      </c>
      <c r="S62" s="763">
        <f>S60*$C$62</f>
        <v>438557.36181268271</v>
      </c>
      <c r="U62" s="763">
        <f>U60*$C$62</f>
        <v>477873.52310918056</v>
      </c>
      <c r="W62" s="763">
        <f>W60*$C$62</f>
        <v>517922.63581143529</v>
      </c>
      <c r="Y62" s="763">
        <f>Y60*$C$62</f>
        <v>558713.07650355005</v>
      </c>
      <c r="AA62" s="763">
        <f>AA60*$C$62</f>
        <v>600253.05905500974</v>
      </c>
      <c r="AC62" s="763">
        <f>AC60*$C$62</f>
        <v>642550.61704875331</v>
      </c>
      <c r="AE62" s="763">
        <v>502603</v>
      </c>
    </row>
    <row r="63" spans="1:34" s="763" customFormat="1">
      <c r="A63" s="2620" t="s">
        <v>1028</v>
      </c>
      <c r="B63" s="2620"/>
      <c r="C63" s="2620"/>
    </row>
    <row r="64" spans="1:34" s="2" customFormat="1" ht="8.25" customHeight="1">
      <c r="C64" s="762"/>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row>
    <row r="65" spans="1:34" s="2" customFormat="1">
      <c r="A65" s="2" t="s">
        <v>2734</v>
      </c>
      <c r="C65" s="760"/>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row>
    <row r="66" spans="1:34" s="763" customFormat="1">
      <c r="A66" s="765" t="s">
        <v>2735</v>
      </c>
      <c r="B66" s="765"/>
      <c r="C66" s="764">
        <v>0.9</v>
      </c>
      <c r="E66" s="765">
        <f>$E60*$C$65</f>
        <v>0</v>
      </c>
      <c r="G66" s="761">
        <f>G60*$C$65</f>
        <v>0</v>
      </c>
      <c r="I66" s="761">
        <f>I60*$C$65</f>
        <v>0</v>
      </c>
      <c r="K66" s="761">
        <f>K60*$C$65</f>
        <v>0</v>
      </c>
      <c r="M66" s="761">
        <f>M60*$C$65</f>
        <v>0</v>
      </c>
      <c r="O66" s="761">
        <f>O60*$C$65</f>
        <v>0</v>
      </c>
      <c r="Q66" s="761">
        <f>Q60*$C$65</f>
        <v>0</v>
      </c>
      <c r="S66" s="761">
        <f>S60*$C$65</f>
        <v>0</v>
      </c>
      <c r="U66" s="761">
        <f>U60*$C$65</f>
        <v>0</v>
      </c>
      <c r="W66" s="761">
        <f>W60*$C$65</f>
        <v>0</v>
      </c>
      <c r="Y66" s="761">
        <f>Y60*$C$65</f>
        <v>0</v>
      </c>
      <c r="AA66" s="761">
        <f>AA60*$C$65</f>
        <v>0</v>
      </c>
      <c r="AC66" s="761">
        <f>AC60*$C$65</f>
        <v>0</v>
      </c>
      <c r="AE66" s="761">
        <f>183011*0.900000546</f>
        <v>164709.999924006</v>
      </c>
      <c r="AG66" s="761">
        <f>AG60*$C$66</f>
        <v>656504.6223057179</v>
      </c>
    </row>
    <row r="67" spans="1:34" s="761" customFormat="1">
      <c r="A67" s="766" t="s">
        <v>2736</v>
      </c>
      <c r="B67" s="766"/>
      <c r="C67" s="771">
        <v>1</v>
      </c>
      <c r="E67" s="765">
        <f>$E60*$C$65</f>
        <v>0</v>
      </c>
      <c r="G67" s="761">
        <f>G60*$C$65</f>
        <v>0</v>
      </c>
      <c r="I67" s="761">
        <f>I60*$C$65</f>
        <v>0</v>
      </c>
      <c r="K67" s="761">
        <f>K60*$C$65</f>
        <v>0</v>
      </c>
      <c r="M67" s="761">
        <f>M60*$C$65</f>
        <v>0</v>
      </c>
      <c r="O67" s="761">
        <f>O60*$C$65</f>
        <v>0</v>
      </c>
      <c r="Q67" s="761">
        <f>Q60*$C$65</f>
        <v>0</v>
      </c>
      <c r="S67" s="761">
        <f>S60*$C$65</f>
        <v>0</v>
      </c>
      <c r="U67" s="761">
        <f>U60*$C$65</f>
        <v>0</v>
      </c>
      <c r="W67" s="761">
        <f>W60*$C$65</f>
        <v>0</v>
      </c>
      <c r="Y67" s="761">
        <f>Y60*$C$65</f>
        <v>0</v>
      </c>
      <c r="AA67" s="761">
        <f>AA60*$C$65</f>
        <v>0</v>
      </c>
      <c r="AC67" s="761">
        <f>AC60*$C$65</f>
        <v>0</v>
      </c>
      <c r="AE67" s="761">
        <f>AE60-AE62-AE66</f>
        <v>18300.585363701277</v>
      </c>
      <c r="AG67" s="761">
        <f t="shared" ref="AG67" si="9">AG60-AG62-AG66</f>
        <v>72944.958033968578</v>
      </c>
    </row>
    <row r="68" spans="1:34" s="761" customFormat="1">
      <c r="A68" s="766"/>
      <c r="B68" s="766"/>
      <c r="C68" s="771"/>
      <c r="E68" s="766"/>
      <c r="G68" s="761">
        <f t="shared" ref="G68:AG69" si="10">E68*$C$66</f>
        <v>0</v>
      </c>
      <c r="I68" s="761">
        <f t="shared" si="10"/>
        <v>0</v>
      </c>
      <c r="K68" s="761">
        <f t="shared" si="10"/>
        <v>0</v>
      </c>
      <c r="M68" s="761">
        <f t="shared" si="10"/>
        <v>0</v>
      </c>
      <c r="O68" s="761">
        <f t="shared" si="10"/>
        <v>0</v>
      </c>
      <c r="Q68" s="761">
        <f t="shared" si="10"/>
        <v>0</v>
      </c>
      <c r="S68" s="761">
        <f t="shared" si="10"/>
        <v>0</v>
      </c>
      <c r="U68" s="761">
        <f t="shared" si="10"/>
        <v>0</v>
      </c>
      <c r="W68" s="761">
        <f t="shared" si="10"/>
        <v>0</v>
      </c>
      <c r="Y68" s="761">
        <f t="shared" si="10"/>
        <v>0</v>
      </c>
      <c r="AA68" s="761">
        <f t="shared" si="10"/>
        <v>0</v>
      </c>
      <c r="AC68" s="761">
        <f t="shared" si="10"/>
        <v>0</v>
      </c>
      <c r="AE68" s="761">
        <f t="shared" si="10"/>
        <v>0</v>
      </c>
      <c r="AG68" s="761">
        <f t="shared" si="10"/>
        <v>0</v>
      </c>
    </row>
    <row r="69" spans="1:34" s="761" customFormat="1">
      <c r="A69" s="766"/>
      <c r="B69" s="766"/>
      <c r="C69" s="771"/>
      <c r="E69" s="768"/>
      <c r="G69" s="769">
        <f t="shared" si="10"/>
        <v>0</v>
      </c>
      <c r="I69" s="769">
        <f t="shared" si="10"/>
        <v>0</v>
      </c>
      <c r="K69" s="769">
        <f t="shared" si="10"/>
        <v>0</v>
      </c>
      <c r="M69" s="769">
        <f t="shared" si="10"/>
        <v>0</v>
      </c>
      <c r="O69" s="769">
        <f t="shared" si="10"/>
        <v>0</v>
      </c>
      <c r="Q69" s="769">
        <f t="shared" si="10"/>
        <v>0</v>
      </c>
      <c r="S69" s="769">
        <f t="shared" si="10"/>
        <v>0</v>
      </c>
      <c r="U69" s="769">
        <f t="shared" si="10"/>
        <v>0</v>
      </c>
      <c r="W69" s="769">
        <f t="shared" si="10"/>
        <v>0</v>
      </c>
      <c r="Y69" s="769">
        <f t="shared" si="10"/>
        <v>0</v>
      </c>
      <c r="AA69" s="769">
        <f t="shared" si="10"/>
        <v>0</v>
      </c>
      <c r="AC69" s="769">
        <f t="shared" si="10"/>
        <v>0</v>
      </c>
      <c r="AE69" s="769">
        <f t="shared" si="10"/>
        <v>0</v>
      </c>
      <c r="AG69" s="769">
        <f t="shared" si="10"/>
        <v>0</v>
      </c>
    </row>
    <row r="70" spans="1:34" s="761" customFormat="1">
      <c r="A70" s="763" t="s">
        <v>2731</v>
      </c>
      <c r="C70" s="771"/>
      <c r="E70" s="761">
        <f>SUM(E66:E69)</f>
        <v>0</v>
      </c>
      <c r="G70" s="761">
        <f>SUM(G66:G69)</f>
        <v>0</v>
      </c>
      <c r="I70" s="761">
        <f>SUM(I66:I69)</f>
        <v>0</v>
      </c>
      <c r="K70" s="761">
        <f>SUM(K66:K69)</f>
        <v>0</v>
      </c>
      <c r="M70" s="761">
        <f>SUM(M66:M69)</f>
        <v>0</v>
      </c>
      <c r="O70" s="761">
        <f>SUM(O66:O69)</f>
        <v>0</v>
      </c>
      <c r="Q70" s="761">
        <f>SUM(Q66:Q69)</f>
        <v>0</v>
      </c>
      <c r="S70" s="761">
        <f>SUM(S66:S69)</f>
        <v>0</v>
      </c>
      <c r="U70" s="761">
        <f>SUM(U66:U69)</f>
        <v>0</v>
      </c>
      <c r="W70" s="761">
        <f>SUM(W66:W69)</f>
        <v>0</v>
      </c>
      <c r="Y70" s="761">
        <f>SUM(Y66:Y69)</f>
        <v>0</v>
      </c>
      <c r="AA70" s="761">
        <f>SUM(AA66:AA69)</f>
        <v>0</v>
      </c>
      <c r="AC70" s="761">
        <f>SUM(AC66:AC69)</f>
        <v>0</v>
      </c>
      <c r="AE70" s="761">
        <f>SUM(AE66:AE69)</f>
        <v>183010.58528770728</v>
      </c>
      <c r="AG70" s="761">
        <f>SUM(AG66:AG69)</f>
        <v>729449.58033968648</v>
      </c>
    </row>
    <row r="71" spans="1:34" s="761" customFormat="1">
      <c r="A71" s="763"/>
      <c r="C71" s="771"/>
    </row>
    <row r="72" spans="1:34" s="761" customFormat="1">
      <c r="A72" s="763" t="s">
        <v>2737</v>
      </c>
      <c r="C72" s="771"/>
      <c r="E72" s="763">
        <f>E60-E62-E70</f>
        <v>0</v>
      </c>
      <c r="G72" s="763">
        <f>G60-G62-G70</f>
        <v>0</v>
      </c>
      <c r="I72" s="763">
        <f>I60-I62-I70</f>
        <v>0</v>
      </c>
      <c r="K72" s="763">
        <f>K60-K62-K70</f>
        <v>0</v>
      </c>
      <c r="M72" s="763">
        <f>M60-M62-M70</f>
        <v>0</v>
      </c>
      <c r="O72" s="763">
        <f>O60-O62-O70</f>
        <v>0</v>
      </c>
      <c r="Q72" s="763">
        <f>Q60-Q62-Q70</f>
        <v>0</v>
      </c>
      <c r="S72" s="763">
        <f>S60-S62-S70</f>
        <v>0</v>
      </c>
      <c r="U72" s="763">
        <f>U60-U62-U70</f>
        <v>0</v>
      </c>
      <c r="W72" s="763">
        <f>W60-W62-W70</f>
        <v>0</v>
      </c>
      <c r="Y72" s="763">
        <f>Y60-Y62-Y70</f>
        <v>0</v>
      </c>
      <c r="AA72" s="763">
        <f>AA60-AA62-AA70</f>
        <v>0</v>
      </c>
      <c r="AC72" s="763">
        <f>AC60-AC62-AC70</f>
        <v>0</v>
      </c>
      <c r="AE72" s="763">
        <f>AE60-AE62-AE70</f>
        <v>0</v>
      </c>
      <c r="AG72" s="763">
        <f>AG60-AG62-AG70</f>
        <v>0</v>
      </c>
    </row>
    <row r="73" spans="1:34" s="761" customFormat="1">
      <c r="A73" s="378"/>
      <c r="C73" s="771"/>
    </row>
    <row r="74" spans="1:34" s="123" customFormat="1">
      <c r="A74" s="378"/>
      <c r="B74" s="761"/>
      <c r="C74" s="77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row>
    <row r="75" spans="1:34" s="123" customFormat="1">
      <c r="A75" s="761" t="s">
        <v>2738</v>
      </c>
      <c r="B75" s="761"/>
      <c r="C75" s="77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row>
    <row r="76" spans="1:34" s="123" customFormat="1">
      <c r="A76" s="761"/>
      <c r="B76" s="761"/>
      <c r="C76" s="77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row>
    <row r="77" spans="1:34" s="139" customFormat="1" ht="30" customHeight="1">
      <c r="A77" s="2619" t="s">
        <v>2739</v>
      </c>
      <c r="B77" s="2619"/>
      <c r="C77" s="2619"/>
      <c r="D77" s="2619"/>
      <c r="E77" s="2619"/>
      <c r="F77" s="2619"/>
      <c r="G77" s="2619"/>
      <c r="H77" s="2619"/>
      <c r="I77" s="2619"/>
      <c r="J77" s="2619"/>
      <c r="K77" s="2619"/>
      <c r="L77" s="2619"/>
      <c r="M77" s="2619"/>
      <c r="N77" s="2619"/>
      <c r="O77" s="2619"/>
      <c r="P77" s="2619"/>
      <c r="Q77" s="2619"/>
      <c r="R77" s="2619"/>
      <c r="S77" s="2619"/>
      <c r="T77" s="2619"/>
      <c r="U77" s="2619"/>
      <c r="V77" s="2619"/>
      <c r="W77" s="2619"/>
      <c r="X77" s="2619"/>
      <c r="Y77" s="2619"/>
      <c r="Z77" s="2619"/>
      <c r="AA77" s="2619"/>
      <c r="AB77" s="2619"/>
      <c r="AC77" s="2619"/>
      <c r="AD77" s="2619"/>
      <c r="AE77" s="2619"/>
      <c r="AF77" s="2619"/>
      <c r="AG77" s="2619"/>
      <c r="AH77" s="110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19" workbookViewId="0"/>
  </sheetViews>
  <sheetFormatPr defaultColWidth="9.33203125" defaultRowHeight="13.2" zeroHeight="1"/>
  <cols>
    <col min="1" max="1" width="35.6640625" style="113" customWidth="1"/>
    <col min="2" max="4" width="14.6640625" style="113" customWidth="1"/>
    <col min="5" max="5" width="50.6640625" style="113" customWidth="1"/>
    <col min="6" max="253" width="9.33203125" style="113" customWidth="1"/>
    <col min="254" max="16384" width="9.33203125" style="113"/>
  </cols>
  <sheetData>
    <row r="1" spans="1:6" s="162" customFormat="1" ht="18" customHeight="1">
      <c r="A1" s="364" t="s">
        <v>2740</v>
      </c>
      <c r="D1" s="167"/>
    </row>
    <row r="2" spans="1:6" s="162" customFormat="1">
      <c r="A2" s="146" t="s">
        <v>2741</v>
      </c>
      <c r="B2" s="148"/>
      <c r="C2" s="148"/>
      <c r="D2" s="145"/>
      <c r="E2" s="149"/>
      <c r="F2" s="148"/>
    </row>
    <row r="3" spans="1:6" s="225" customFormat="1" ht="80.25" customHeight="1">
      <c r="A3" s="164"/>
      <c r="B3" s="150" t="s">
        <v>2742</v>
      </c>
      <c r="C3" s="150" t="s">
        <v>2743</v>
      </c>
      <c r="D3" s="150" t="s">
        <v>2744</v>
      </c>
      <c r="E3" s="147" t="s">
        <v>2745</v>
      </c>
      <c r="F3" s="147"/>
    </row>
    <row r="4" spans="1:6" s="226" customFormat="1">
      <c r="A4" s="151" t="s">
        <v>1755</v>
      </c>
      <c r="B4" s="151"/>
      <c r="C4" s="151"/>
      <c r="D4" s="151"/>
      <c r="E4" s="169"/>
      <c r="F4" s="151"/>
    </row>
    <row r="5" spans="1:6" s="226" customFormat="1">
      <c r="A5" s="237" t="s">
        <v>1756</v>
      </c>
      <c r="B5" s="153">
        <f>'Sources and Uses Budget'!$C4</f>
        <v>0</v>
      </c>
      <c r="C5" s="153">
        <f>'Sources and Uses Budget'!$C4</f>
        <v>0</v>
      </c>
      <c r="D5" s="157">
        <f>C5-B5</f>
        <v>0</v>
      </c>
      <c r="E5" s="155"/>
      <c r="F5" s="154"/>
    </row>
    <row r="6" spans="1:6" s="226" customFormat="1">
      <c r="A6" s="237" t="s">
        <v>690</v>
      </c>
      <c r="B6" s="153">
        <f>'Sources and Uses Budget'!$C5</f>
        <v>100000</v>
      </c>
      <c r="C6" s="153">
        <f>'Sources and Uses Budget'!$C5</f>
        <v>100000</v>
      </c>
      <c r="D6" s="157">
        <f t="shared" ref="D6:D77" si="0">C6-B6</f>
        <v>0</v>
      </c>
      <c r="E6" s="155"/>
      <c r="F6" s="154"/>
    </row>
    <row r="7" spans="1:6" s="226" customFormat="1">
      <c r="A7" s="237" t="s">
        <v>1757</v>
      </c>
      <c r="B7" s="153">
        <f>'Sources and Uses Budget'!$C6</f>
        <v>0</v>
      </c>
      <c r="C7" s="153">
        <f>'Sources and Uses Budget'!$C6</f>
        <v>0</v>
      </c>
      <c r="D7" s="157">
        <f t="shared" si="0"/>
        <v>0</v>
      </c>
      <c r="E7" s="155"/>
      <c r="F7" s="154"/>
    </row>
    <row r="8" spans="1:6" s="226" customFormat="1">
      <c r="A8" s="237" t="s">
        <v>1758</v>
      </c>
      <c r="B8" s="153">
        <f>'Sources and Uses Budget'!$C7</f>
        <v>0</v>
      </c>
      <c r="C8" s="153">
        <f>'Sources and Uses Budget'!$C7</f>
        <v>0</v>
      </c>
      <c r="D8" s="157">
        <f t="shared" si="0"/>
        <v>0</v>
      </c>
      <c r="E8" s="155"/>
      <c r="F8" s="154"/>
    </row>
    <row r="9" spans="1:6" s="226" customFormat="1">
      <c r="A9" s="238" t="s">
        <v>1759</v>
      </c>
      <c r="B9" s="157">
        <f>SUM(B5:B8)</f>
        <v>100000</v>
      </c>
      <c r="C9" s="157">
        <f>SUM(C5:C8)</f>
        <v>100000</v>
      </c>
      <c r="D9" s="157">
        <f t="shared" si="0"/>
        <v>0</v>
      </c>
      <c r="E9" s="155"/>
      <c r="F9" s="154"/>
    </row>
    <row r="10" spans="1:6" s="226" customFormat="1">
      <c r="A10" s="237" t="s">
        <v>1760</v>
      </c>
      <c r="B10" s="153">
        <f>'Sources and Uses Budget'!$C9</f>
        <v>0</v>
      </c>
      <c r="C10" s="153">
        <f>'Sources and Uses Budget'!$C9</f>
        <v>0</v>
      </c>
      <c r="D10" s="157">
        <f t="shared" si="0"/>
        <v>0</v>
      </c>
      <c r="E10" s="155"/>
      <c r="F10" s="154"/>
    </row>
    <row r="11" spans="1:6" s="226" customFormat="1">
      <c r="A11" s="237" t="s">
        <v>1761</v>
      </c>
      <c r="B11" s="153">
        <f>'Sources and Uses Budget'!$C10</f>
        <v>500000</v>
      </c>
      <c r="C11" s="153">
        <f>'Sources and Uses Budget'!$C10</f>
        <v>500000</v>
      </c>
      <c r="D11" s="157">
        <f t="shared" si="0"/>
        <v>0</v>
      </c>
      <c r="E11" s="155"/>
      <c r="F11" s="154"/>
    </row>
    <row r="12" spans="1:6" s="226" customFormat="1">
      <c r="A12" s="238" t="s">
        <v>1762</v>
      </c>
      <c r="B12" s="157">
        <f>SUM(B10:B11)</f>
        <v>500000</v>
      </c>
      <c r="C12" s="157">
        <f>SUM(C10:C11)</f>
        <v>500000</v>
      </c>
      <c r="D12" s="157">
        <f t="shared" si="0"/>
        <v>0</v>
      </c>
      <c r="E12" s="155"/>
      <c r="F12" s="154"/>
    </row>
    <row r="13" spans="1:6" s="226" customFormat="1">
      <c r="A13" s="238" t="s">
        <v>1763</v>
      </c>
      <c r="B13" s="157">
        <f>SUM(B9+B12)</f>
        <v>600000</v>
      </c>
      <c r="C13" s="157">
        <f>SUM(C9+C12)</f>
        <v>600000</v>
      </c>
      <c r="D13" s="157">
        <f t="shared" si="0"/>
        <v>0</v>
      </c>
      <c r="E13" s="155"/>
      <c r="F13" s="154"/>
    </row>
    <row r="14" spans="1:6" s="226" customFormat="1">
      <c r="A14" s="239" t="s">
        <v>1764</v>
      </c>
      <c r="B14" s="153">
        <f>'Sources and Uses Budget'!$C13</f>
        <v>0</v>
      </c>
      <c r="C14" s="153">
        <f>'Sources and Uses Budget'!$C13</f>
        <v>0</v>
      </c>
      <c r="D14" s="157">
        <f t="shared" si="0"/>
        <v>0</v>
      </c>
      <c r="E14" s="155"/>
      <c r="F14" s="154"/>
    </row>
    <row r="15" spans="1:6" s="226" customFormat="1" ht="22.8">
      <c r="A15" s="237" t="s">
        <v>1884</v>
      </c>
      <c r="B15" s="153">
        <f>'Sources and Uses Budget'!$C14</f>
        <v>0</v>
      </c>
      <c r="C15" s="153">
        <f>'Sources and Uses Budget'!$C14</f>
        <v>0</v>
      </c>
      <c r="D15" s="157">
        <f t="shared" si="0"/>
        <v>0</v>
      </c>
      <c r="E15" s="155"/>
      <c r="F15" s="154"/>
    </row>
    <row r="16" spans="1:6" s="226" customFormat="1">
      <c r="A16" s="237" t="s">
        <v>1766</v>
      </c>
      <c r="B16" s="153">
        <f>'Sources and Uses Budget'!$C15</f>
        <v>0</v>
      </c>
      <c r="C16" s="153">
        <f>'Sources and Uses Budget'!$C15</f>
        <v>0</v>
      </c>
      <c r="D16" s="157">
        <f t="shared" si="0"/>
        <v>0</v>
      </c>
      <c r="E16" s="155"/>
      <c r="F16" s="154"/>
    </row>
    <row r="17" spans="1:6" s="226" customFormat="1">
      <c r="A17" s="151" t="s">
        <v>1767</v>
      </c>
      <c r="B17" s="151"/>
      <c r="C17" s="151"/>
      <c r="D17" s="151"/>
      <c r="E17" s="169"/>
      <c r="F17" s="151"/>
    </row>
    <row r="18" spans="1:6" s="226" customFormat="1">
      <c r="A18" s="170" t="s">
        <v>1768</v>
      </c>
      <c r="B18" s="153">
        <f>'Sources and Uses Budget'!$C17</f>
        <v>0</v>
      </c>
      <c r="C18" s="153">
        <f>'Sources and Uses Budget'!$C17</f>
        <v>0</v>
      </c>
      <c r="D18" s="157">
        <f t="shared" si="0"/>
        <v>0</v>
      </c>
      <c r="E18" s="155"/>
      <c r="F18" s="154"/>
    </row>
    <row r="19" spans="1:6" s="226" customFormat="1">
      <c r="A19" s="170" t="s">
        <v>1769</v>
      </c>
      <c r="B19" s="153">
        <f>'Sources and Uses Budget'!$C18</f>
        <v>0</v>
      </c>
      <c r="C19" s="153">
        <f>'Sources and Uses Budget'!$C18</f>
        <v>0</v>
      </c>
      <c r="D19" s="157">
        <f t="shared" si="0"/>
        <v>0</v>
      </c>
      <c r="E19" s="155"/>
      <c r="F19" s="154"/>
    </row>
    <row r="20" spans="1:6" s="226" customFormat="1">
      <c r="A20" s="170" t="s">
        <v>1770</v>
      </c>
      <c r="B20" s="153">
        <f>'Sources and Uses Budget'!$C19</f>
        <v>0</v>
      </c>
      <c r="C20" s="153">
        <f>'Sources and Uses Budget'!$C19</f>
        <v>0</v>
      </c>
      <c r="D20" s="157">
        <f t="shared" si="0"/>
        <v>0</v>
      </c>
      <c r="E20" s="155"/>
      <c r="F20" s="154"/>
    </row>
    <row r="21" spans="1:6" s="226" customFormat="1">
      <c r="A21" s="170" t="s">
        <v>1771</v>
      </c>
      <c r="B21" s="153">
        <f>'Sources and Uses Budget'!$C20</f>
        <v>0</v>
      </c>
      <c r="C21" s="153">
        <f>'Sources and Uses Budget'!$C20</f>
        <v>0</v>
      </c>
      <c r="D21" s="157">
        <f t="shared" si="0"/>
        <v>0</v>
      </c>
      <c r="E21" s="155"/>
      <c r="F21" s="154"/>
    </row>
    <row r="22" spans="1:6" s="226" customFormat="1">
      <c r="A22" s="170" t="s">
        <v>1772</v>
      </c>
      <c r="B22" s="153">
        <f>'Sources and Uses Budget'!$C21</f>
        <v>0</v>
      </c>
      <c r="C22" s="153">
        <f>'Sources and Uses Budget'!$C21</f>
        <v>0</v>
      </c>
      <c r="D22" s="157">
        <f t="shared" si="0"/>
        <v>0</v>
      </c>
      <c r="E22" s="155"/>
      <c r="F22" s="154"/>
    </row>
    <row r="23" spans="1:6" s="226" customFormat="1">
      <c r="A23" s="170" t="s">
        <v>1773</v>
      </c>
      <c r="B23" s="153">
        <f>'Sources and Uses Budget'!$C22</f>
        <v>0</v>
      </c>
      <c r="C23" s="153">
        <f>'Sources and Uses Budget'!$C22</f>
        <v>0</v>
      </c>
      <c r="D23" s="157">
        <f t="shared" si="0"/>
        <v>0</v>
      </c>
      <c r="E23" s="155"/>
      <c r="F23" s="154"/>
    </row>
    <row r="24" spans="1:6" s="226" customFormat="1">
      <c r="A24" s="170" t="s">
        <v>1774</v>
      </c>
      <c r="B24" s="153">
        <f>'Sources and Uses Budget'!$C23</f>
        <v>0</v>
      </c>
      <c r="C24" s="153">
        <f>'Sources and Uses Budget'!$C23</f>
        <v>0</v>
      </c>
      <c r="D24" s="157">
        <f t="shared" si="0"/>
        <v>0</v>
      </c>
      <c r="E24" s="155"/>
      <c r="F24" s="154"/>
    </row>
    <row r="25" spans="1:6" s="226" customFormat="1">
      <c r="A25" s="360" t="s">
        <v>1775</v>
      </c>
      <c r="B25" s="153">
        <f>'Sources and Uses Budget'!$C24</f>
        <v>0</v>
      </c>
      <c r="C25" s="153">
        <f>'Sources and Uses Budget'!$C24</f>
        <v>0</v>
      </c>
      <c r="D25" s="157">
        <f t="shared" si="0"/>
        <v>0</v>
      </c>
      <c r="E25" s="155"/>
      <c r="F25" s="154"/>
    </row>
    <row r="26" spans="1:6" s="226" customFormat="1">
      <c r="A26" s="360" t="str">
        <f>'Sources and Uses Budget'!A25</f>
        <v>Other: (Specify)</v>
      </c>
      <c r="B26" s="153">
        <f>'Sources and Uses Budget'!$C25</f>
        <v>0</v>
      </c>
      <c r="C26" s="153">
        <f>'Sources and Uses Budget'!$C25</f>
        <v>0</v>
      </c>
      <c r="D26" s="157">
        <f t="shared" si="0"/>
        <v>0</v>
      </c>
      <c r="E26" s="155"/>
      <c r="F26" s="154"/>
    </row>
    <row r="27" spans="1:6" s="226" customFormat="1">
      <c r="A27" s="807" t="s">
        <v>1777</v>
      </c>
      <c r="B27" s="157">
        <f>SUM(B18:B26)</f>
        <v>0</v>
      </c>
      <c r="C27" s="157">
        <f>SUM(C18:C26)</f>
        <v>0</v>
      </c>
      <c r="D27" s="157">
        <f>SUM(D18:D26)</f>
        <v>0</v>
      </c>
      <c r="E27" s="155"/>
      <c r="F27" s="154"/>
    </row>
    <row r="28" spans="1:6" s="226" customFormat="1">
      <c r="A28" s="158" t="s">
        <v>1778</v>
      </c>
      <c r="B28" s="153">
        <f>'Sources and Uses Budget'!$C$27</f>
        <v>0</v>
      </c>
      <c r="C28" s="153">
        <f>'Sources and Uses Budget'!$C$27</f>
        <v>0</v>
      </c>
      <c r="D28" s="157">
        <f t="shared" si="0"/>
        <v>0</v>
      </c>
      <c r="E28" s="155"/>
      <c r="F28" s="154"/>
    </row>
    <row r="29" spans="1:6" s="226" customFormat="1">
      <c r="A29" s="151" t="s">
        <v>1779</v>
      </c>
      <c r="B29" s="151"/>
      <c r="C29" s="151"/>
      <c r="D29" s="151"/>
      <c r="E29" s="169"/>
      <c r="F29" s="151"/>
    </row>
    <row r="30" spans="1:6" s="226" customFormat="1">
      <c r="A30" s="170" t="s">
        <v>1768</v>
      </c>
      <c r="B30" s="153">
        <f>'Sources and Uses Budget'!$C29</f>
        <v>1000000</v>
      </c>
      <c r="C30" s="153">
        <f>'Sources and Uses Budget'!$C29</f>
        <v>1000000</v>
      </c>
      <c r="D30" s="157">
        <f t="shared" si="0"/>
        <v>0</v>
      </c>
      <c r="E30" s="155"/>
      <c r="F30" s="154"/>
    </row>
    <row r="31" spans="1:6" s="226" customFormat="1">
      <c r="A31" s="170" t="s">
        <v>1769</v>
      </c>
      <c r="B31" s="153">
        <f>'Sources and Uses Budget'!$C30</f>
        <v>41541855</v>
      </c>
      <c r="C31" s="153">
        <f>'Sources and Uses Budget'!$C30</f>
        <v>41541855</v>
      </c>
      <c r="D31" s="157">
        <f t="shared" si="0"/>
        <v>0</v>
      </c>
      <c r="E31" s="155"/>
      <c r="F31" s="154"/>
    </row>
    <row r="32" spans="1:6" s="226" customFormat="1">
      <c r="A32" s="170" t="s">
        <v>1770</v>
      </c>
      <c r="B32" s="153">
        <f>'Sources and Uses Budget'!$C31</f>
        <v>2582511</v>
      </c>
      <c r="C32" s="153">
        <f>'Sources and Uses Budget'!$C31</f>
        <v>2582511</v>
      </c>
      <c r="D32" s="157">
        <f t="shared" si="0"/>
        <v>0</v>
      </c>
      <c r="E32" s="155"/>
      <c r="F32" s="154"/>
    </row>
    <row r="33" spans="1:6" s="226" customFormat="1">
      <c r="A33" s="170" t="s">
        <v>1771</v>
      </c>
      <c r="B33" s="153">
        <f>'Sources and Uses Budget'!$C32</f>
        <v>1721674</v>
      </c>
      <c r="C33" s="153">
        <f>'Sources and Uses Budget'!$C32</f>
        <v>1721674</v>
      </c>
      <c r="D33" s="157">
        <f t="shared" si="0"/>
        <v>0</v>
      </c>
      <c r="E33" s="155"/>
      <c r="F33" s="154"/>
    </row>
    <row r="34" spans="1:6" s="226" customFormat="1">
      <c r="A34" s="170" t="s">
        <v>1772</v>
      </c>
      <c r="B34" s="153">
        <f>'Sources and Uses Budget'!$C33</f>
        <v>1721674</v>
      </c>
      <c r="C34" s="153">
        <f>'Sources and Uses Budget'!$C33</f>
        <v>1721674</v>
      </c>
      <c r="D34" s="157">
        <f t="shared" si="0"/>
        <v>0</v>
      </c>
      <c r="E34" s="155"/>
      <c r="F34" s="154"/>
    </row>
    <row r="35" spans="1:6" s="226" customFormat="1">
      <c r="A35" s="170" t="s">
        <v>1773</v>
      </c>
      <c r="B35" s="153">
        <f>'Sources and Uses Budget'!$C34</f>
        <v>0</v>
      </c>
      <c r="C35" s="153">
        <f>'Sources and Uses Budget'!$C34</f>
        <v>0</v>
      </c>
      <c r="D35" s="157">
        <f t="shared" si="0"/>
        <v>0</v>
      </c>
      <c r="E35" s="155"/>
      <c r="F35" s="154"/>
    </row>
    <row r="36" spans="1:6" s="226" customFormat="1">
      <c r="A36" s="170" t="s">
        <v>1774</v>
      </c>
      <c r="B36" s="153">
        <f>'Sources and Uses Budget'!$C35</f>
        <v>490677</v>
      </c>
      <c r="C36" s="153">
        <f>'Sources and Uses Budget'!$C35</f>
        <v>490677</v>
      </c>
      <c r="D36" s="157">
        <f t="shared" si="0"/>
        <v>0</v>
      </c>
      <c r="E36" s="155"/>
      <c r="F36" s="154"/>
    </row>
    <row r="37" spans="1:6" s="226" customFormat="1">
      <c r="A37" s="170" t="s">
        <v>1775</v>
      </c>
      <c r="B37" s="153">
        <f>'Sources and Uses Budget'!$C36</f>
        <v>0</v>
      </c>
      <c r="C37" s="153">
        <f>'Sources and Uses Budget'!$C36</f>
        <v>0</v>
      </c>
      <c r="D37" s="157"/>
      <c r="E37" s="155"/>
      <c r="F37" s="154"/>
    </row>
    <row r="38" spans="1:6" s="226" customFormat="1">
      <c r="A38" s="360" t="str">
        <f>'Sources and Uses Budget'!A37</f>
        <v>Other: (Specify)</v>
      </c>
      <c r="B38" s="153">
        <f>'Sources and Uses Budget'!$C37</f>
        <v>0</v>
      </c>
      <c r="C38" s="153">
        <f>'Sources and Uses Budget'!$C37</f>
        <v>0</v>
      </c>
      <c r="D38" s="157">
        <f t="shared" si="0"/>
        <v>0</v>
      </c>
      <c r="E38" s="155"/>
      <c r="F38" s="154"/>
    </row>
    <row r="39" spans="1:6" s="226" customFormat="1">
      <c r="A39" s="158" t="s">
        <v>1780</v>
      </c>
      <c r="B39" s="157">
        <f>SUM(B30:B38)</f>
        <v>49058391</v>
      </c>
      <c r="C39" s="157">
        <f>SUM(C30:C38)</f>
        <v>49058391</v>
      </c>
      <c r="D39" s="157">
        <f t="shared" si="0"/>
        <v>0</v>
      </c>
      <c r="E39" s="155"/>
      <c r="F39" s="154"/>
    </row>
    <row r="40" spans="1:6" s="226" customFormat="1">
      <c r="A40" s="151" t="s">
        <v>1781</v>
      </c>
      <c r="B40" s="151"/>
      <c r="C40" s="151"/>
      <c r="D40" s="151"/>
      <c r="E40" s="169"/>
      <c r="F40" s="151"/>
    </row>
    <row r="41" spans="1:6" s="226" customFormat="1">
      <c r="A41" s="156" t="s">
        <v>1782</v>
      </c>
      <c r="B41" s="153">
        <f>'Sources and Uses Budget'!$C40</f>
        <v>2000000</v>
      </c>
      <c r="C41" s="153">
        <f>'Sources and Uses Budget'!$C40</f>
        <v>2000000</v>
      </c>
      <c r="D41" s="157">
        <f t="shared" si="0"/>
        <v>0</v>
      </c>
      <c r="E41" s="155"/>
      <c r="F41" s="154"/>
    </row>
    <row r="42" spans="1:6" s="226" customFormat="1">
      <c r="A42" s="156" t="s">
        <v>1783</v>
      </c>
      <c r="B42" s="153">
        <f>'Sources and Uses Budget'!$C41</f>
        <v>0</v>
      </c>
      <c r="C42" s="153">
        <f>'Sources and Uses Budget'!$C41</f>
        <v>0</v>
      </c>
      <c r="D42" s="157">
        <f t="shared" si="0"/>
        <v>0</v>
      </c>
      <c r="E42" s="155"/>
      <c r="F42" s="154"/>
    </row>
    <row r="43" spans="1:6" s="226" customFormat="1">
      <c r="A43" s="158" t="s">
        <v>1784</v>
      </c>
      <c r="B43" s="157">
        <f>SUM(B41:B42)</f>
        <v>2000000</v>
      </c>
      <c r="C43" s="157">
        <f>SUM(C41:C42)</f>
        <v>2000000</v>
      </c>
      <c r="D43" s="157">
        <f t="shared" si="0"/>
        <v>0</v>
      </c>
      <c r="E43" s="155"/>
      <c r="F43" s="154"/>
    </row>
    <row r="44" spans="1:6" s="226" customFormat="1">
      <c r="A44" s="158" t="s">
        <v>1785</v>
      </c>
      <c r="B44" s="153">
        <f>'Sources and Uses Budget'!$C43</f>
        <v>650000</v>
      </c>
      <c r="C44" s="153">
        <f>'Sources and Uses Budget'!$C43</f>
        <v>650000</v>
      </c>
      <c r="D44" s="157">
        <f t="shared" si="0"/>
        <v>0</v>
      </c>
      <c r="E44" s="155"/>
      <c r="F44" s="154"/>
    </row>
    <row r="45" spans="1:6" s="226" customFormat="1" ht="12" customHeight="1">
      <c r="A45" s="151" t="s">
        <v>1786</v>
      </c>
      <c r="B45" s="151"/>
      <c r="C45" s="151"/>
      <c r="D45" s="151"/>
      <c r="E45" s="169"/>
      <c r="F45" s="151"/>
    </row>
    <row r="46" spans="1:6" s="226" customFormat="1">
      <c r="A46" s="170" t="s">
        <v>1787</v>
      </c>
      <c r="B46" s="153">
        <f>'Sources and Uses Budget'!$C45</f>
        <v>4476800</v>
      </c>
      <c r="C46" s="153">
        <f>'Sources and Uses Budget'!$C45</f>
        <v>4476800</v>
      </c>
      <c r="D46" s="157">
        <f t="shared" si="0"/>
        <v>0</v>
      </c>
      <c r="E46" s="155"/>
      <c r="F46" s="154"/>
    </row>
    <row r="47" spans="1:6" s="226" customFormat="1">
      <c r="A47" s="170" t="s">
        <v>1788</v>
      </c>
      <c r="B47" s="153">
        <f>'Sources and Uses Budget'!$C46</f>
        <v>390885</v>
      </c>
      <c r="C47" s="153">
        <f>'Sources and Uses Budget'!$C46</f>
        <v>390885</v>
      </c>
      <c r="D47" s="157">
        <f t="shared" si="0"/>
        <v>0</v>
      </c>
      <c r="E47" s="155"/>
      <c r="F47" s="154"/>
    </row>
    <row r="48" spans="1:6" s="226" customFormat="1" ht="12" customHeight="1">
      <c r="A48" s="1090" t="s">
        <v>1789</v>
      </c>
      <c r="B48" s="153">
        <f>'Sources and Uses Budget'!$C47</f>
        <v>15000</v>
      </c>
      <c r="C48" s="153">
        <f>'Sources and Uses Budget'!$C47</f>
        <v>15000</v>
      </c>
      <c r="D48" s="157">
        <f t="shared" si="0"/>
        <v>0</v>
      </c>
      <c r="E48" s="155"/>
      <c r="F48" s="154"/>
    </row>
    <row r="49" spans="1:6" s="226" customFormat="1">
      <c r="A49" s="170" t="s">
        <v>1790</v>
      </c>
      <c r="B49" s="153">
        <f>'Sources and Uses Budget'!$C48</f>
        <v>441609</v>
      </c>
      <c r="C49" s="153">
        <f>'Sources and Uses Budget'!$C48</f>
        <v>441609</v>
      </c>
      <c r="D49" s="157">
        <f t="shared" si="0"/>
        <v>0</v>
      </c>
      <c r="E49" s="155"/>
      <c r="F49" s="154"/>
    </row>
    <row r="50" spans="1:6" s="226" customFormat="1">
      <c r="A50" s="170" t="s">
        <v>1791</v>
      </c>
      <c r="B50" s="153">
        <f>'Sources and Uses Budget'!$C49</f>
        <v>97721</v>
      </c>
      <c r="C50" s="153">
        <f>'Sources and Uses Budget'!$C49</f>
        <v>97721</v>
      </c>
      <c r="D50" s="157">
        <f t="shared" si="0"/>
        <v>0</v>
      </c>
      <c r="E50" s="155"/>
      <c r="F50" s="154"/>
    </row>
    <row r="51" spans="1:6" s="226" customFormat="1">
      <c r="A51" s="170" t="s">
        <v>1792</v>
      </c>
      <c r="B51" s="153">
        <f>'Sources and Uses Budget'!$C50</f>
        <v>100000</v>
      </c>
      <c r="C51" s="153">
        <f>'Sources and Uses Budget'!$C50</f>
        <v>100000</v>
      </c>
      <c r="D51" s="157">
        <f t="shared" si="0"/>
        <v>0</v>
      </c>
      <c r="E51" s="155"/>
      <c r="F51" s="154"/>
    </row>
    <row r="52" spans="1:6" s="226" customFormat="1">
      <c r="A52" s="170" t="s">
        <v>1793</v>
      </c>
      <c r="B52" s="153">
        <f>'Sources and Uses Budget'!$C51</f>
        <v>105000</v>
      </c>
      <c r="C52" s="153">
        <f>'Sources and Uses Budget'!$C51</f>
        <v>105000</v>
      </c>
      <c r="D52" s="157">
        <f t="shared" si="0"/>
        <v>0</v>
      </c>
      <c r="E52" s="155"/>
      <c r="F52" s="154"/>
    </row>
    <row r="53" spans="1:6" s="226" customFormat="1">
      <c r="A53" s="170" t="s">
        <v>1794</v>
      </c>
      <c r="B53" s="153">
        <f>'Sources and Uses Budget'!$C52</f>
        <v>750000</v>
      </c>
      <c r="C53" s="153">
        <f>'Sources and Uses Budget'!$C52</f>
        <v>750000</v>
      </c>
      <c r="D53" s="157">
        <f t="shared" si="0"/>
        <v>0</v>
      </c>
      <c r="E53" s="155"/>
      <c r="F53" s="154"/>
    </row>
    <row r="54" spans="1:6" s="226" customFormat="1">
      <c r="A54" s="360" t="str">
        <f>'Sources and Uses Budget'!A53</f>
        <v>Other: Employmrnt Reporting</v>
      </c>
      <c r="B54" s="153">
        <f>'Sources and Uses Budget'!$C53</f>
        <v>25000</v>
      </c>
      <c r="C54" s="153">
        <f>'Sources and Uses Budget'!$C53</f>
        <v>25000</v>
      </c>
      <c r="D54" s="157">
        <f t="shared" si="0"/>
        <v>0</v>
      </c>
      <c r="E54" s="155"/>
      <c r="F54" s="154"/>
    </row>
    <row r="55" spans="1:6" s="227" customFormat="1">
      <c r="A55" s="158" t="s">
        <v>1796</v>
      </c>
      <c r="B55" s="160">
        <f>SUM(B46:B54)</f>
        <v>6402015</v>
      </c>
      <c r="C55" s="160">
        <f>SUM(C46:C54)</f>
        <v>6402015</v>
      </c>
      <c r="D55" s="157">
        <f t="shared" si="0"/>
        <v>0</v>
      </c>
      <c r="E55" s="155"/>
      <c r="F55" s="154"/>
    </row>
    <row r="56" spans="1:6" s="226" customFormat="1">
      <c r="A56" s="151" t="s">
        <v>1351</v>
      </c>
      <c r="B56" s="151"/>
      <c r="C56" s="151"/>
      <c r="D56" s="151"/>
      <c r="E56" s="169"/>
      <c r="F56" s="151"/>
    </row>
    <row r="57" spans="1:6" s="226" customFormat="1">
      <c r="A57" s="156" t="s">
        <v>1797</v>
      </c>
      <c r="B57" s="153">
        <f>'Sources and Uses Budget'!$C56</f>
        <v>0</v>
      </c>
      <c r="C57" s="153">
        <f>'Sources and Uses Budget'!$C56</f>
        <v>0</v>
      </c>
      <c r="D57" s="157">
        <f t="shared" si="0"/>
        <v>0</v>
      </c>
      <c r="E57" s="155"/>
      <c r="F57" s="154"/>
    </row>
    <row r="58" spans="1:6" s="226" customFormat="1" ht="12" customHeight="1">
      <c r="A58" s="156" t="s">
        <v>1789</v>
      </c>
      <c r="B58" s="153">
        <f>'Sources and Uses Budget'!$C57</f>
        <v>0</v>
      </c>
      <c r="C58" s="153">
        <f>'Sources and Uses Budget'!$C57</f>
        <v>0</v>
      </c>
      <c r="D58" s="157">
        <f t="shared" si="0"/>
        <v>0</v>
      </c>
      <c r="E58" s="155"/>
      <c r="F58" s="154"/>
    </row>
    <row r="59" spans="1:6" s="226" customFormat="1">
      <c r="A59" s="156" t="s">
        <v>1792</v>
      </c>
      <c r="B59" s="153">
        <f>'Sources and Uses Budget'!$C58</f>
        <v>10000</v>
      </c>
      <c r="C59" s="153">
        <f>'Sources and Uses Budget'!$C58</f>
        <v>10000</v>
      </c>
      <c r="D59" s="157">
        <f t="shared" si="0"/>
        <v>0</v>
      </c>
      <c r="E59" s="155"/>
      <c r="F59" s="154"/>
    </row>
    <row r="60" spans="1:6" s="226" customFormat="1">
      <c r="A60" s="156" t="s">
        <v>1793</v>
      </c>
      <c r="B60" s="153">
        <f>'Sources and Uses Budget'!$C59</f>
        <v>0</v>
      </c>
      <c r="C60" s="153">
        <f>'Sources and Uses Budget'!$C59</f>
        <v>0</v>
      </c>
      <c r="D60" s="157">
        <f t="shared" si="0"/>
        <v>0</v>
      </c>
      <c r="E60" s="155"/>
      <c r="F60" s="154"/>
    </row>
    <row r="61" spans="1:6" s="226" customFormat="1">
      <c r="A61" s="156" t="s">
        <v>1794</v>
      </c>
      <c r="B61" s="153">
        <f>'Sources and Uses Budget'!$C60</f>
        <v>0</v>
      </c>
      <c r="C61" s="153">
        <f>'Sources and Uses Budget'!$C60</f>
        <v>0</v>
      </c>
      <c r="D61" s="157">
        <f t="shared" si="0"/>
        <v>0</v>
      </c>
      <c r="E61" s="155"/>
      <c r="F61" s="154"/>
    </row>
    <row r="62" spans="1:6" s="226" customFormat="1">
      <c r="A62" s="808" t="str">
        <f>'Sources and Uses Budget'!A61</f>
        <v>Other: Legal for Perm Loan</v>
      </c>
      <c r="B62" s="153">
        <f>'Sources and Uses Budget'!$C61</f>
        <v>15000</v>
      </c>
      <c r="C62" s="153">
        <f>'Sources and Uses Budget'!$C61</f>
        <v>15000</v>
      </c>
      <c r="D62" s="157">
        <f t="shared" si="0"/>
        <v>0</v>
      </c>
      <c r="E62" s="155"/>
      <c r="F62" s="154"/>
    </row>
    <row r="63" spans="1:6" s="226" customFormat="1" ht="13.95" customHeight="1">
      <c r="A63" s="158" t="s">
        <v>1799</v>
      </c>
      <c r="B63" s="157">
        <f>SUM(B57:B62)</f>
        <v>25000</v>
      </c>
      <c r="C63" s="157">
        <f>SUM(C57:C62)</f>
        <v>25000</v>
      </c>
      <c r="D63" s="157">
        <f t="shared" si="0"/>
        <v>0</v>
      </c>
      <c r="E63" s="155"/>
      <c r="F63" s="154"/>
    </row>
    <row r="64" spans="1:6" s="226" customFormat="1">
      <c r="A64" s="161" t="s">
        <v>1800</v>
      </c>
      <c r="B64" s="157">
        <f>SUM(B9+B12+B14+B15+B17+B26+B28+B39+B43+B44+B55+B63)</f>
        <v>58735406</v>
      </c>
      <c r="C64" s="157">
        <f>SUM(C9+C12+C14+C15+C17+C26+C28+C39+C43+C44+C55+C63)</f>
        <v>58735406</v>
      </c>
      <c r="D64" s="157">
        <f t="shared" si="0"/>
        <v>0</v>
      </c>
      <c r="E64" s="155"/>
      <c r="F64" s="154"/>
    </row>
    <row r="65" spans="1:6" s="226" customFormat="1" ht="22.8">
      <c r="A65" s="82" t="s">
        <v>1801</v>
      </c>
      <c r="B65" s="151"/>
      <c r="C65" s="151"/>
      <c r="D65" s="151"/>
      <c r="E65" s="169"/>
      <c r="F65" s="151"/>
    </row>
    <row r="66" spans="1:6" s="226" customFormat="1">
      <c r="A66" s="170" t="s">
        <v>1802</v>
      </c>
      <c r="B66" s="153">
        <f>'Sources and Uses Budget'!$C65</f>
        <v>100000</v>
      </c>
      <c r="C66" s="153">
        <f>'Sources and Uses Budget'!$C65</f>
        <v>100000</v>
      </c>
      <c r="D66" s="157">
        <f t="shared" si="0"/>
        <v>0</v>
      </c>
      <c r="E66" s="155"/>
      <c r="F66" s="154"/>
    </row>
    <row r="67" spans="1:6" s="226" customFormat="1" ht="22.8">
      <c r="A67" s="170" t="s">
        <v>1803</v>
      </c>
      <c r="B67" s="153">
        <f>'Sources and Uses Budget'!$C66</f>
        <v>0</v>
      </c>
      <c r="C67" s="153">
        <f>'Sources and Uses Budget'!$C66</f>
        <v>0</v>
      </c>
      <c r="D67" s="157"/>
      <c r="E67" s="155"/>
      <c r="F67" s="154"/>
    </row>
    <row r="68" spans="1:6" s="226" customFormat="1" ht="22.8">
      <c r="A68" s="170" t="s">
        <v>1804</v>
      </c>
      <c r="B68" s="153">
        <f>'Sources and Uses Budget'!$C67</f>
        <v>0</v>
      </c>
      <c r="C68" s="153">
        <f>'Sources and Uses Budget'!$C67</f>
        <v>0</v>
      </c>
      <c r="D68" s="157"/>
      <c r="E68" s="155"/>
      <c r="F68" s="154"/>
    </row>
    <row r="69" spans="1:6" s="226" customFormat="1">
      <c r="A69" s="170" t="s">
        <v>1805</v>
      </c>
      <c r="B69" s="153">
        <f>'Sources and Uses Budget'!$C68</f>
        <v>0</v>
      </c>
      <c r="C69" s="153">
        <f>'Sources and Uses Budget'!$C68</f>
        <v>0</v>
      </c>
      <c r="D69" s="157"/>
      <c r="E69" s="155"/>
      <c r="F69" s="154"/>
    </row>
    <row r="70" spans="1:6" s="226" customFormat="1" ht="22.8">
      <c r="A70" s="360" t="str">
        <f>'Sources and Uses Budget'!A69</f>
        <v>Other: Lender Legal+Investor Legal+Bond Issuer Legal+MGP Legal</v>
      </c>
      <c r="B70" s="153">
        <f>'Sources and Uses Budget'!$C69</f>
        <v>225000</v>
      </c>
      <c r="C70" s="153">
        <f>'Sources and Uses Budget'!$C69</f>
        <v>225000</v>
      </c>
      <c r="D70" s="157">
        <f t="shared" si="0"/>
        <v>0</v>
      </c>
      <c r="E70" s="155"/>
      <c r="F70" s="154"/>
    </row>
    <row r="71" spans="1:6" s="226" customFormat="1">
      <c r="A71" s="84" t="s">
        <v>1807</v>
      </c>
      <c r="B71" s="157">
        <f>SUM(B66:B70)</f>
        <v>325000</v>
      </c>
      <c r="C71" s="157">
        <f>SUM(C66:C70)</f>
        <v>325000</v>
      </c>
      <c r="D71" s="157">
        <f t="shared" si="0"/>
        <v>0</v>
      </c>
      <c r="E71" s="155"/>
      <c r="F71" s="154"/>
    </row>
    <row r="72" spans="1:6" s="226" customFormat="1">
      <c r="A72" s="151" t="s">
        <v>1808</v>
      </c>
      <c r="B72" s="151"/>
      <c r="C72" s="151"/>
      <c r="D72" s="151"/>
      <c r="E72" s="169"/>
      <c r="F72" s="151"/>
    </row>
    <row r="73" spans="1:6" s="226" customFormat="1">
      <c r="A73" s="156" t="s">
        <v>1809</v>
      </c>
      <c r="B73" s="153">
        <f>'Sources and Uses Budget'!$C72</f>
        <v>0</v>
      </c>
      <c r="C73" s="153">
        <f>'Sources and Uses Budget'!$C72</f>
        <v>0</v>
      </c>
      <c r="D73" s="157">
        <f t="shared" si="0"/>
        <v>0</v>
      </c>
      <c r="E73" s="155"/>
      <c r="F73" s="154"/>
    </row>
    <row r="74" spans="1:6" s="226" customFormat="1">
      <c r="A74" s="156" t="s">
        <v>1810</v>
      </c>
      <c r="B74" s="153">
        <f>'Sources and Uses Budget'!$C73</f>
        <v>0</v>
      </c>
      <c r="C74" s="153">
        <f>'Sources and Uses Budget'!$C73</f>
        <v>0</v>
      </c>
      <c r="D74" s="157">
        <f t="shared" si="0"/>
        <v>0</v>
      </c>
      <c r="E74" s="155"/>
      <c r="F74" s="154"/>
    </row>
    <row r="75" spans="1:6" s="226" customFormat="1">
      <c r="A75" s="172" t="s">
        <v>1811</v>
      </c>
      <c r="B75" s="153">
        <f>'Sources and Uses Budget'!$C74</f>
        <v>0</v>
      </c>
      <c r="C75" s="153">
        <f>'Sources and Uses Budget'!$C74</f>
        <v>0</v>
      </c>
      <c r="D75" s="157">
        <f t="shared" si="0"/>
        <v>0</v>
      </c>
      <c r="E75" s="155"/>
      <c r="F75" s="154"/>
    </row>
    <row r="76" spans="1:6" s="226" customFormat="1">
      <c r="A76" s="156" t="s">
        <v>1812</v>
      </c>
      <c r="B76" s="153">
        <f>'Sources and Uses Budget'!$C75</f>
        <v>693007</v>
      </c>
      <c r="C76" s="153">
        <f>'Sources and Uses Budget'!$C75</f>
        <v>693007</v>
      </c>
      <c r="D76" s="157">
        <f t="shared" si="0"/>
        <v>0</v>
      </c>
      <c r="E76" s="155"/>
      <c r="F76" s="154"/>
    </row>
    <row r="77" spans="1:6" s="226" customFormat="1">
      <c r="A77" s="159" t="s">
        <v>1776</v>
      </c>
      <c r="B77" s="153">
        <f>'Sources and Uses Budget'!$C76</f>
        <v>0</v>
      </c>
      <c r="C77" s="153">
        <f>'Sources and Uses Budget'!$C76</f>
        <v>0</v>
      </c>
      <c r="D77" s="157">
        <f t="shared" si="0"/>
        <v>0</v>
      </c>
      <c r="E77" s="155"/>
      <c r="F77" s="154"/>
    </row>
    <row r="78" spans="1:6" s="226" customFormat="1">
      <c r="A78" s="158" t="s">
        <v>1813</v>
      </c>
      <c r="B78" s="157">
        <f>SUM(B73:B77)</f>
        <v>693007</v>
      </c>
      <c r="C78" s="157">
        <f>SUM(C73:C77)</f>
        <v>693007</v>
      </c>
      <c r="D78" s="157">
        <f t="shared" ref="D78:D106" si="1">C78-B78</f>
        <v>0</v>
      </c>
      <c r="E78" s="155"/>
      <c r="F78" s="154"/>
    </row>
    <row r="79" spans="1:6" s="226" customFormat="1">
      <c r="A79" s="151" t="s">
        <v>1814</v>
      </c>
      <c r="B79" s="151"/>
      <c r="C79" s="151"/>
      <c r="D79" s="151"/>
      <c r="E79" s="169"/>
      <c r="F79" s="151"/>
    </row>
    <row r="80" spans="1:6" s="226" customFormat="1">
      <c r="A80" s="361" t="s">
        <v>1815</v>
      </c>
      <c r="B80" s="153">
        <f>'Sources and Uses Budget'!$C79</f>
        <v>2505000</v>
      </c>
      <c r="C80" s="153">
        <f>'Sources and Uses Budget'!$C79</f>
        <v>2505000</v>
      </c>
      <c r="D80" s="157">
        <f t="shared" si="1"/>
        <v>0</v>
      </c>
      <c r="E80" s="155"/>
      <c r="F80" s="154"/>
    </row>
    <row r="81" spans="1:6" s="226" customFormat="1">
      <c r="A81" s="361" t="s">
        <v>1816</v>
      </c>
      <c r="B81" s="153">
        <f>'Sources and Uses Budget'!$C80</f>
        <v>593840</v>
      </c>
      <c r="C81" s="153">
        <f>'Sources and Uses Budget'!$C80</f>
        <v>593840</v>
      </c>
      <c r="D81" s="157">
        <f>C81-B81</f>
        <v>0</v>
      </c>
      <c r="E81" s="155"/>
      <c r="F81" s="154"/>
    </row>
    <row r="82" spans="1:6" s="226" customFormat="1">
      <c r="A82" s="158" t="s">
        <v>1817</v>
      </c>
      <c r="B82" s="157">
        <f>SUM(B80:B81)</f>
        <v>3098840</v>
      </c>
      <c r="C82" s="157">
        <f>SUM(C80:C81)</f>
        <v>3098840</v>
      </c>
      <c r="D82" s="157">
        <f t="shared" si="1"/>
        <v>0</v>
      </c>
      <c r="E82" s="155"/>
      <c r="F82" s="154"/>
    </row>
    <row r="83" spans="1:6" s="226" customFormat="1">
      <c r="A83" s="151" t="s">
        <v>1818</v>
      </c>
      <c r="B83" s="151"/>
      <c r="C83" s="151"/>
      <c r="D83" s="151"/>
      <c r="E83" s="169"/>
      <c r="F83" s="151"/>
    </row>
    <row r="84" spans="1:6" s="226" customFormat="1" ht="13.95" customHeight="1">
      <c r="A84" s="156" t="s">
        <v>2746</v>
      </c>
      <c r="B84" s="153">
        <f>'Sources and Uses Budget'!$C83</f>
        <v>109775</v>
      </c>
      <c r="C84" s="153">
        <f>'Sources and Uses Budget'!$C83</f>
        <v>109775</v>
      </c>
      <c r="D84" s="157">
        <f t="shared" si="1"/>
        <v>0</v>
      </c>
      <c r="E84" s="155"/>
      <c r="F84" s="154"/>
    </row>
    <row r="85" spans="1:6" s="226" customFormat="1">
      <c r="A85" s="156" t="s">
        <v>1820</v>
      </c>
      <c r="B85" s="153">
        <f>'Sources and Uses Budget'!$C84</f>
        <v>50000</v>
      </c>
      <c r="C85" s="153">
        <f>'Sources and Uses Budget'!$C84</f>
        <v>50000</v>
      </c>
      <c r="D85" s="157">
        <f t="shared" si="1"/>
        <v>0</v>
      </c>
      <c r="E85" s="155"/>
      <c r="F85" s="154"/>
    </row>
    <row r="86" spans="1:6" s="226" customFormat="1">
      <c r="A86" s="156" t="s">
        <v>1821</v>
      </c>
      <c r="B86" s="153">
        <f>'Sources and Uses Budget'!$C85</f>
        <v>1021813</v>
      </c>
      <c r="C86" s="153">
        <f>'Sources and Uses Budget'!$C85</f>
        <v>1021813</v>
      </c>
      <c r="D86" s="157">
        <f t="shared" si="1"/>
        <v>0</v>
      </c>
      <c r="E86" s="155"/>
      <c r="F86" s="154"/>
    </row>
    <row r="87" spans="1:6" s="226" customFormat="1">
      <c r="A87" s="156" t="s">
        <v>1822</v>
      </c>
      <c r="B87" s="153">
        <f>'Sources and Uses Budget'!$C86</f>
        <v>2478187</v>
      </c>
      <c r="C87" s="153">
        <f>'Sources and Uses Budget'!$C86</f>
        <v>2478187</v>
      </c>
      <c r="D87" s="157">
        <f t="shared" si="1"/>
        <v>0</v>
      </c>
      <c r="E87" s="155"/>
      <c r="F87" s="154"/>
    </row>
    <row r="88" spans="1:6" s="226" customFormat="1">
      <c r="A88" s="156" t="s">
        <v>1823</v>
      </c>
      <c r="B88" s="153">
        <f>'Sources and Uses Budget'!$C87</f>
        <v>0</v>
      </c>
      <c r="C88" s="153">
        <f>'Sources and Uses Budget'!$C87</f>
        <v>0</v>
      </c>
      <c r="D88" s="157">
        <f t="shared" si="1"/>
        <v>0</v>
      </c>
      <c r="E88" s="155"/>
      <c r="F88" s="154"/>
    </row>
    <row r="89" spans="1:6" s="226" customFormat="1">
      <c r="A89" s="156" t="s">
        <v>1824</v>
      </c>
      <c r="B89" s="153">
        <f>'Sources and Uses Budget'!$C88</f>
        <v>150000</v>
      </c>
      <c r="C89" s="153">
        <f>'Sources and Uses Budget'!$C88</f>
        <v>150000</v>
      </c>
      <c r="D89" s="157">
        <f t="shared" si="1"/>
        <v>0</v>
      </c>
      <c r="E89" s="155"/>
      <c r="F89" s="154"/>
    </row>
    <row r="90" spans="1:6" s="226" customFormat="1">
      <c r="A90" s="156" t="s">
        <v>1825</v>
      </c>
      <c r="B90" s="153">
        <f>'Sources and Uses Budget'!$C89</f>
        <v>150000</v>
      </c>
      <c r="C90" s="153">
        <f>'Sources and Uses Budget'!$C89</f>
        <v>150000</v>
      </c>
      <c r="D90" s="157">
        <f t="shared" si="1"/>
        <v>0</v>
      </c>
      <c r="E90" s="155"/>
      <c r="F90" s="154"/>
    </row>
    <row r="91" spans="1:6" s="226" customFormat="1">
      <c r="A91" s="156" t="s">
        <v>1826</v>
      </c>
      <c r="B91" s="153">
        <f>'Sources and Uses Budget'!$C90</f>
        <v>15000</v>
      </c>
      <c r="C91" s="153">
        <f>'Sources and Uses Budget'!$C90</f>
        <v>15000</v>
      </c>
      <c r="D91" s="157">
        <f t="shared" si="1"/>
        <v>0</v>
      </c>
      <c r="E91" s="155"/>
      <c r="F91" s="154"/>
    </row>
    <row r="92" spans="1:6" s="226" customFormat="1">
      <c r="A92" s="156" t="s">
        <v>1827</v>
      </c>
      <c r="B92" s="153">
        <f>'Sources and Uses Budget'!$C91</f>
        <v>50000</v>
      </c>
      <c r="C92" s="153">
        <f>'Sources and Uses Budget'!$C91</f>
        <v>50000</v>
      </c>
      <c r="D92" s="157">
        <f t="shared" si="1"/>
        <v>0</v>
      </c>
      <c r="E92" s="155"/>
      <c r="F92" s="154"/>
    </row>
    <row r="93" spans="1:6" s="226" customFormat="1">
      <c r="A93" s="361" t="s">
        <v>1828</v>
      </c>
      <c r="B93" s="153">
        <f>'Sources and Uses Budget'!$C92</f>
        <v>20000</v>
      </c>
      <c r="C93" s="153">
        <f>'Sources and Uses Budget'!$C92</f>
        <v>20000</v>
      </c>
      <c r="D93" s="157">
        <f t="shared" si="1"/>
        <v>0</v>
      </c>
      <c r="E93" s="155"/>
      <c r="F93" s="154"/>
    </row>
    <row r="94" spans="1:6" s="226" customFormat="1">
      <c r="A94" s="159" t="s">
        <v>1776</v>
      </c>
      <c r="B94" s="153">
        <f>'Sources and Uses Budget'!$C93</f>
        <v>113225</v>
      </c>
      <c r="C94" s="153">
        <f>'Sources and Uses Budget'!$C93</f>
        <v>113225</v>
      </c>
      <c r="D94" s="157">
        <f t="shared" si="1"/>
        <v>0</v>
      </c>
      <c r="E94" s="155"/>
      <c r="F94" s="154"/>
    </row>
    <row r="95" spans="1:6" s="226" customFormat="1">
      <c r="A95" s="159" t="s">
        <v>1776</v>
      </c>
      <c r="B95" s="153">
        <f>'Sources and Uses Budget'!$C94</f>
        <v>42000</v>
      </c>
      <c r="C95" s="153">
        <f>'Sources and Uses Budget'!$C94</f>
        <v>42000</v>
      </c>
      <c r="D95" s="157">
        <f t="shared" si="1"/>
        <v>0</v>
      </c>
      <c r="E95" s="155"/>
      <c r="F95" s="154"/>
    </row>
    <row r="96" spans="1:6" s="226" customFormat="1">
      <c r="A96" s="159" t="s">
        <v>1776</v>
      </c>
      <c r="B96" s="153">
        <f>'Sources and Uses Budget'!$C95</f>
        <v>450000</v>
      </c>
      <c r="C96" s="153">
        <f>'Sources and Uses Budget'!$C95</f>
        <v>450000</v>
      </c>
      <c r="D96" s="157">
        <f t="shared" si="1"/>
        <v>0</v>
      </c>
      <c r="E96" s="155"/>
      <c r="F96" s="154"/>
    </row>
    <row r="97" spans="1:6" s="226" customFormat="1">
      <c r="A97" s="158" t="s">
        <v>1832</v>
      </c>
      <c r="B97" s="157">
        <f>SUM(B84:B96)</f>
        <v>4650000</v>
      </c>
      <c r="C97" s="157">
        <f>SUM(C84:C96)</f>
        <v>4650000</v>
      </c>
      <c r="D97" s="157">
        <f t="shared" si="1"/>
        <v>0</v>
      </c>
      <c r="E97" s="155"/>
      <c r="F97" s="154"/>
    </row>
    <row r="98" spans="1:6" s="226" customFormat="1">
      <c r="A98" s="158" t="s">
        <v>1833</v>
      </c>
      <c r="B98" s="157">
        <f>SUM(B64+B71+B78+B82+B97)</f>
        <v>67502253</v>
      </c>
      <c r="C98" s="157">
        <f>SUM(C64+C71+C78+C82+C97)</f>
        <v>67502253</v>
      </c>
      <c r="D98" s="157">
        <f t="shared" si="1"/>
        <v>0</v>
      </c>
      <c r="E98" s="155"/>
      <c r="F98" s="154"/>
    </row>
    <row r="99" spans="1:6" s="226" customFormat="1">
      <c r="A99" s="151" t="s">
        <v>1834</v>
      </c>
      <c r="B99" s="151"/>
      <c r="C99" s="151"/>
      <c r="D99" s="151"/>
      <c r="E99" s="169"/>
      <c r="F99" s="151"/>
    </row>
    <row r="100" spans="1:6" s="226" customFormat="1">
      <c r="A100" s="170" t="s">
        <v>1835</v>
      </c>
      <c r="B100" s="153">
        <f>'Sources and Uses Budget'!$C99</f>
        <v>9650909</v>
      </c>
      <c r="C100" s="153">
        <f>'Sources and Uses Budget'!$C99</f>
        <v>9650909</v>
      </c>
      <c r="D100" s="157">
        <f t="shared" si="1"/>
        <v>0</v>
      </c>
      <c r="E100" s="155"/>
      <c r="F100" s="154"/>
    </row>
    <row r="101" spans="1:6" s="226" customFormat="1">
      <c r="A101" s="170" t="s">
        <v>1836</v>
      </c>
      <c r="B101" s="153">
        <f>'Sources and Uses Budget'!$C100</f>
        <v>0</v>
      </c>
      <c r="C101" s="153">
        <f>'Sources and Uses Budget'!$C100</f>
        <v>0</v>
      </c>
      <c r="D101" s="157">
        <f t="shared" si="1"/>
        <v>0</v>
      </c>
      <c r="E101" s="155"/>
      <c r="F101" s="154"/>
    </row>
    <row r="102" spans="1:6" s="226" customFormat="1">
      <c r="A102" s="170" t="s">
        <v>1837</v>
      </c>
      <c r="B102" s="153">
        <f>'Sources and Uses Budget'!$C101</f>
        <v>0</v>
      </c>
      <c r="C102" s="153">
        <f>'Sources and Uses Budget'!$C101</f>
        <v>0</v>
      </c>
      <c r="D102" s="157">
        <f t="shared" si="1"/>
        <v>0</v>
      </c>
      <c r="E102" s="155"/>
      <c r="F102" s="154"/>
    </row>
    <row r="103" spans="1:6" s="226" customFormat="1" ht="12" customHeight="1">
      <c r="A103" s="170" t="s">
        <v>1838</v>
      </c>
      <c r="B103" s="153">
        <f>'Sources and Uses Budget'!$C102</f>
        <v>0</v>
      </c>
      <c r="C103" s="153">
        <f>'Sources and Uses Budget'!$C102</f>
        <v>0</v>
      </c>
      <c r="D103" s="157">
        <f t="shared" si="1"/>
        <v>0</v>
      </c>
      <c r="E103" s="155"/>
      <c r="F103" s="154"/>
    </row>
    <row r="104" spans="1:6" s="226" customFormat="1">
      <c r="A104" s="808" t="str">
        <f>'Sources and Uses Budget'!A103</f>
        <v>Other: (Specify)</v>
      </c>
      <c r="B104" s="153">
        <f>'Sources and Uses Budget'!$C103</f>
        <v>0</v>
      </c>
      <c r="C104" s="153">
        <f>'Sources and Uses Budget'!$C103</f>
        <v>0</v>
      </c>
      <c r="D104" s="157">
        <f t="shared" si="1"/>
        <v>0</v>
      </c>
      <c r="E104" s="155"/>
      <c r="F104" s="154"/>
    </row>
    <row r="105" spans="1:6" s="226" customFormat="1">
      <c r="A105" s="158" t="s">
        <v>1839</v>
      </c>
      <c r="B105" s="157">
        <f>SUM(B100:B104)</f>
        <v>9650909</v>
      </c>
      <c r="C105" s="157">
        <f>SUM(C100:C104)</f>
        <v>9650909</v>
      </c>
      <c r="D105" s="157">
        <f t="shared" si="1"/>
        <v>0</v>
      </c>
      <c r="E105" s="155"/>
      <c r="F105" s="154"/>
    </row>
    <row r="106" spans="1:6" s="226" customFormat="1">
      <c r="A106" s="158" t="s">
        <v>1840</v>
      </c>
      <c r="B106" s="160">
        <f>SUM(B98+B105)</f>
        <v>77153162</v>
      </c>
      <c r="C106" s="160">
        <f>SUM(C98+C105)</f>
        <v>77153162</v>
      </c>
      <c r="D106" s="157">
        <f t="shared" si="1"/>
        <v>0</v>
      </c>
      <c r="E106" s="155"/>
      <c r="F106" s="154"/>
    </row>
    <row r="107" spans="1:6" s="226" customFormat="1">
      <c r="A107" s="164" t="s">
        <v>2747</v>
      </c>
      <c r="B107" s="165"/>
      <c r="C107" s="166"/>
      <c r="D107" s="168"/>
      <c r="E107" s="152"/>
      <c r="F107" s="163"/>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272" customWidth="1"/>
    <col min="11" max="16384" width="8.6640625" style="272" hidden="1"/>
  </cols>
  <sheetData>
    <row r="1" spans="1:10" ht="15.6">
      <c r="A1" s="1238" t="s">
        <v>293</v>
      </c>
      <c r="B1" s="1239"/>
      <c r="C1" s="1239"/>
      <c r="D1" s="1239"/>
      <c r="E1" s="1239"/>
      <c r="F1" s="1239"/>
      <c r="G1" s="1239"/>
      <c r="H1" s="1239"/>
      <c r="I1" s="1239"/>
      <c r="J1" s="1239"/>
    </row>
    <row r="2" spans="1:10" ht="15">
      <c r="A2" s="1242" t="s">
        <v>294</v>
      </c>
      <c r="B2" s="1243"/>
      <c r="C2" s="1243"/>
      <c r="D2" s="1243"/>
      <c r="E2" s="1243"/>
      <c r="F2" s="1243"/>
      <c r="G2" s="1243"/>
      <c r="H2" s="1243"/>
      <c r="I2" s="1243"/>
      <c r="J2" s="1243"/>
    </row>
    <row r="3" spans="1:10" ht="13.2"/>
    <row r="4" spans="1:10" ht="12.75" customHeight="1">
      <c r="A4" s="1240" t="s">
        <v>295</v>
      </c>
      <c r="B4" s="1240"/>
      <c r="C4" s="1240"/>
      <c r="D4" s="1240"/>
      <c r="E4" s="1240"/>
      <c r="F4" s="1240"/>
      <c r="G4" s="1240"/>
      <c r="H4" s="1240"/>
      <c r="I4" s="1240"/>
      <c r="J4" s="1240"/>
    </row>
    <row r="5" spans="1:10" ht="13.2">
      <c r="A5" s="1240"/>
      <c r="B5" s="1240"/>
      <c r="C5" s="1240"/>
      <c r="D5" s="1240"/>
      <c r="E5" s="1240"/>
      <c r="F5" s="1240"/>
      <c r="G5" s="1240"/>
      <c r="H5" s="1240"/>
      <c r="I5" s="1240"/>
      <c r="J5" s="1240"/>
    </row>
    <row r="6" spans="1:10" ht="30" customHeight="1">
      <c r="A6" s="1240"/>
      <c r="B6" s="1240"/>
      <c r="C6" s="1240"/>
      <c r="D6" s="1240"/>
      <c r="E6" s="1240"/>
      <c r="F6" s="1240"/>
      <c r="G6" s="1240"/>
      <c r="H6" s="1240"/>
      <c r="I6" s="1240"/>
      <c r="J6" s="1240"/>
    </row>
    <row r="7" spans="1:10" ht="13.2">
      <c r="A7" s="1120"/>
      <c r="B7" s="1120"/>
      <c r="C7" s="1120"/>
      <c r="D7" s="1120"/>
      <c r="E7" s="1120"/>
      <c r="F7" s="1120"/>
      <c r="G7" s="1120"/>
      <c r="H7" s="1120"/>
      <c r="I7" s="1120"/>
      <c r="J7" s="1120"/>
    </row>
    <row r="8" spans="1:10" ht="12.75" customHeight="1">
      <c r="A8" s="272" t="s">
        <v>296</v>
      </c>
      <c r="B8" s="1120"/>
      <c r="C8" s="1120"/>
      <c r="D8" s="1120"/>
      <c r="E8" s="1120"/>
      <c r="F8" s="1120"/>
      <c r="G8" s="1120"/>
      <c r="H8" s="1120"/>
      <c r="I8" s="1120"/>
      <c r="J8" s="1120"/>
    </row>
    <row r="9" spans="1:10" ht="13.2"/>
    <row r="10" spans="1:10" ht="12.75" customHeight="1">
      <c r="A10" s="1244" t="s">
        <v>297</v>
      </c>
      <c r="B10" s="1244"/>
      <c r="C10" s="1244"/>
      <c r="D10" s="1244"/>
      <c r="E10" s="1244"/>
      <c r="F10" s="1244"/>
      <c r="G10" s="1244"/>
      <c r="H10" s="1244"/>
      <c r="I10" s="1244"/>
      <c r="J10" s="1244"/>
    </row>
    <row r="11" spans="1:10" ht="13.2">
      <c r="A11" s="1244"/>
      <c r="B11" s="1244"/>
      <c r="C11" s="1244"/>
      <c r="D11" s="1244"/>
      <c r="E11" s="1244"/>
      <c r="F11" s="1244"/>
      <c r="G11" s="1244"/>
      <c r="H11" s="1244"/>
      <c r="I11" s="1244"/>
      <c r="J11" s="1244"/>
    </row>
    <row r="12" spans="1:10" ht="13.2">
      <c r="A12" s="1244"/>
      <c r="B12" s="1244"/>
      <c r="C12" s="1244"/>
      <c r="D12" s="1244"/>
      <c r="E12" s="1244"/>
      <c r="F12" s="1244"/>
      <c r="G12" s="1244"/>
      <c r="H12" s="1244"/>
      <c r="I12" s="1244"/>
      <c r="J12" s="1244"/>
    </row>
    <row r="13" spans="1:10" ht="13.2">
      <c r="A13" s="1244"/>
      <c r="B13" s="1244"/>
      <c r="C13" s="1244"/>
      <c r="D13" s="1244"/>
      <c r="E13" s="1244"/>
      <c r="F13" s="1244"/>
      <c r="G13" s="1244"/>
      <c r="H13" s="1244"/>
      <c r="I13" s="1244"/>
      <c r="J13" s="1244"/>
    </row>
    <row r="14" spans="1:10" ht="13.2">
      <c r="A14" s="1244"/>
      <c r="B14" s="1244"/>
      <c r="C14" s="1244"/>
      <c r="D14" s="1244"/>
      <c r="E14" s="1244"/>
      <c r="F14" s="1244"/>
      <c r="G14" s="1244"/>
      <c r="H14" s="1244"/>
      <c r="I14" s="1244"/>
      <c r="J14" s="1244"/>
    </row>
    <row r="15" spans="1:10" ht="13.2">
      <c r="A15" s="1244"/>
      <c r="B15" s="1244"/>
      <c r="C15" s="1244"/>
      <c r="D15" s="1244"/>
      <c r="E15" s="1244"/>
      <c r="F15" s="1244"/>
      <c r="G15" s="1244"/>
      <c r="H15" s="1244"/>
      <c r="I15" s="1244"/>
      <c r="J15" s="1244"/>
    </row>
    <row r="16" spans="1:10" ht="13.2">
      <c r="A16" s="1121"/>
      <c r="B16" s="1121"/>
      <c r="C16" s="1121"/>
      <c r="D16" s="1121"/>
      <c r="E16" s="1121"/>
      <c r="F16" s="1121"/>
      <c r="G16" s="1121"/>
      <c r="H16" s="1121"/>
      <c r="I16" s="1121"/>
      <c r="J16" s="1121"/>
    </row>
    <row r="17" spans="1:10" ht="13.2">
      <c r="A17" s="332" t="s">
        <v>298</v>
      </c>
      <c r="B17" s="1120"/>
      <c r="C17" s="1120"/>
      <c r="D17" s="1120"/>
      <c r="E17" s="1120"/>
      <c r="F17" s="1120"/>
      <c r="G17" s="1120"/>
      <c r="H17" s="1120"/>
      <c r="I17" s="1120"/>
      <c r="J17" s="1120"/>
    </row>
    <row r="18" spans="1:10" ht="13.2">
      <c r="A18" s="1120" t="s">
        <v>254</v>
      </c>
      <c r="B18" s="1120"/>
      <c r="C18" s="1120"/>
      <c r="D18" s="1120"/>
      <c r="E18" s="1120"/>
      <c r="F18" s="1120"/>
      <c r="G18" s="1120"/>
      <c r="H18" s="1120"/>
      <c r="I18" s="1120"/>
      <c r="J18" s="1120"/>
    </row>
    <row r="19" spans="1:10" ht="13.2">
      <c r="A19" s="1243" t="s">
        <v>299</v>
      </c>
      <c r="B19" s="1243"/>
      <c r="C19" s="1243"/>
      <c r="D19" s="1243"/>
      <c r="E19" s="1243"/>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40" t="s">
        <v>300</v>
      </c>
      <c r="B56" s="1240"/>
      <c r="C56" s="1240"/>
      <c r="D56" s="1240"/>
      <c r="E56" s="1240"/>
      <c r="F56" s="1240"/>
      <c r="G56" s="1240"/>
      <c r="H56" s="1240"/>
      <c r="I56" s="1240"/>
      <c r="J56" s="1240"/>
    </row>
    <row r="57" spans="1:10" ht="13.2">
      <c r="A57" s="1240"/>
      <c r="B57" s="1240"/>
      <c r="C57" s="1240"/>
      <c r="D57" s="1240"/>
      <c r="E57" s="1240"/>
      <c r="F57" s="1240"/>
      <c r="G57" s="1240"/>
      <c r="H57" s="1240"/>
      <c r="I57" s="1240"/>
      <c r="J57" s="1240"/>
    </row>
    <row r="58" spans="1:10" ht="13.2">
      <c r="A58" s="1240"/>
      <c r="B58" s="1240"/>
      <c r="C58" s="1240"/>
      <c r="D58" s="1240"/>
      <c r="E58" s="1240"/>
      <c r="F58" s="1240"/>
      <c r="G58" s="1240"/>
      <c r="H58" s="1240"/>
      <c r="I58" s="1240"/>
      <c r="J58" s="1240"/>
    </row>
    <row r="59" spans="1:10" ht="13.2"/>
    <row r="60" spans="1:10" ht="13.2">
      <c r="A60" s="272" t="s">
        <v>299</v>
      </c>
    </row>
    <row r="61" spans="1:10" ht="13.2"/>
    <row r="62" spans="1:10" ht="13.2"/>
    <row r="63" spans="1:10" ht="13.2"/>
    <row r="64" spans="1:10" ht="13.2"/>
    <row r="65" spans="1:9" ht="13.2"/>
    <row r="66" spans="1:9" ht="13.2"/>
    <row r="67" spans="1:9" ht="13.2"/>
    <row r="68" spans="1:9" ht="13.2"/>
    <row r="69" spans="1:9" ht="13.2"/>
    <row r="70" spans="1:9" ht="13.2"/>
    <row r="71" spans="1:9" ht="13.2">
      <c r="A71" s="1241" t="s">
        <v>301</v>
      </c>
      <c r="B71" s="1241"/>
      <c r="C71" s="1241"/>
      <c r="D71" s="1241"/>
      <c r="E71" s="1241"/>
      <c r="F71" s="1241"/>
      <c r="G71" s="1241"/>
      <c r="H71" s="1241"/>
      <c r="I71" s="1241"/>
    </row>
    <row r="72" spans="1:9" ht="13.2">
      <c r="A72" s="1231" t="s">
        <v>14</v>
      </c>
      <c r="B72" s="1231"/>
      <c r="C72" s="1231"/>
      <c r="D72" s="1231"/>
      <c r="E72" s="1231"/>
    </row>
    <row r="73" spans="1:9" ht="13.2">
      <c r="A73" s="1231" t="s">
        <v>15</v>
      </c>
      <c r="B73" s="1231"/>
      <c r="C73" s="1231"/>
      <c r="D73" s="1231"/>
      <c r="E73" s="1231"/>
    </row>
    <row r="74" spans="1:9" ht="13.2">
      <c r="A74" s="1231" t="s">
        <v>302</v>
      </c>
      <c r="B74" s="1231"/>
      <c r="C74" s="1231"/>
      <c r="D74" s="1231"/>
      <c r="E74" s="1231"/>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01" zoomScale="70" zoomScaleNormal="70" workbookViewId="0">
      <selection activeCell="B250" sqref="B250"/>
    </sheetView>
  </sheetViews>
  <sheetFormatPr defaultColWidth="0" defaultRowHeight="13.2" zeroHeight="1"/>
  <cols>
    <col min="1" max="1" width="3.6640625" style="335" customWidth="1"/>
    <col min="2" max="2" width="13.6640625" style="335" customWidth="1"/>
    <col min="3" max="3" width="2.6640625" style="335" customWidth="1"/>
    <col min="4" max="5" width="3.6640625" style="272" customWidth="1"/>
    <col min="6" max="6" width="65.6640625" style="272" customWidth="1"/>
    <col min="7" max="7" width="1.6640625" style="272" customWidth="1"/>
    <col min="8" max="8" width="3.6640625" style="272" customWidth="1"/>
    <col min="9" max="9" width="9.33203125" style="274" customWidth="1"/>
    <col min="10" max="10" width="8.6640625" style="272" hidden="1" customWidth="1"/>
    <col min="11" max="16384" width="8.6640625" style="272" hidden="1"/>
  </cols>
  <sheetData>
    <row r="1" spans="1:13"/>
    <row r="2" spans="1:13">
      <c r="A2" s="1245" t="s">
        <v>303</v>
      </c>
      <c r="B2" s="1245"/>
      <c r="C2" s="1245"/>
      <c r="D2" s="1245"/>
      <c r="E2" s="1245"/>
      <c r="F2" s="1245"/>
      <c r="G2" s="1245"/>
      <c r="H2" s="1245"/>
      <c r="I2" s="1245"/>
    </row>
    <row r="3" spans="1:13">
      <c r="A3" s="1246" t="s">
        <v>304</v>
      </c>
      <c r="B3" s="1246"/>
      <c r="C3" s="1246"/>
      <c r="D3" s="1246"/>
      <c r="E3" s="1246"/>
      <c r="F3" s="1246"/>
      <c r="G3" s="1246"/>
      <c r="H3" s="1246"/>
      <c r="I3" s="1246"/>
    </row>
    <row r="4" spans="1:13">
      <c r="A4" s="1246"/>
      <c r="B4" s="1246"/>
      <c r="C4" s="1243"/>
      <c r="D4" s="1243"/>
      <c r="E4" s="1243"/>
      <c r="F4" s="1243"/>
      <c r="G4" s="1243"/>
    </row>
    <row r="5" spans="1:13">
      <c r="A5" s="1246"/>
      <c r="B5" s="1246"/>
      <c r="C5" s="1243"/>
      <c r="D5" s="1243"/>
      <c r="E5" s="1243"/>
      <c r="F5" s="1243"/>
      <c r="G5" s="1243"/>
    </row>
    <row r="6" spans="1:13" ht="12.75" customHeight="1">
      <c r="A6" s="1270" t="s">
        <v>305</v>
      </c>
      <c r="B6" s="1270"/>
      <c r="C6" s="1270"/>
      <c r="D6" s="1270"/>
      <c r="E6" s="1270"/>
      <c r="F6" s="1270"/>
      <c r="G6" s="1270"/>
      <c r="I6" s="1123"/>
    </row>
    <row r="7" spans="1:13">
      <c r="A7" s="1270"/>
      <c r="B7" s="1270"/>
      <c r="C7" s="1270"/>
      <c r="D7" s="1270"/>
      <c r="E7" s="1270"/>
      <c r="F7" s="1270"/>
      <c r="G7" s="1270"/>
      <c r="I7" s="1123"/>
    </row>
    <row r="8" spans="1:13">
      <c r="A8" s="1128"/>
      <c r="B8" s="1128"/>
      <c r="C8" s="1122"/>
      <c r="D8" s="1122"/>
      <c r="E8" s="1122"/>
      <c r="F8" s="1122"/>
    </row>
    <row r="9" spans="1:13">
      <c r="A9" s="1250" t="s">
        <v>306</v>
      </c>
      <c r="B9" s="1250"/>
      <c r="C9" s="1250"/>
      <c r="D9" s="1250"/>
      <c r="E9" s="1250"/>
      <c r="F9" s="1250"/>
      <c r="G9" s="1250"/>
      <c r="H9" s="815"/>
      <c r="I9" s="816"/>
    </row>
    <row r="10" spans="1:13">
      <c r="A10" s="1122"/>
      <c r="B10" s="1122"/>
      <c r="E10" s="274"/>
    </row>
    <row r="11" spans="1:13" ht="13.95" customHeight="1">
      <c r="C11" s="1122"/>
      <c r="D11" s="1269" t="s">
        <v>307</v>
      </c>
      <c r="E11" s="1269"/>
      <c r="F11" s="1269"/>
    </row>
    <row r="12" spans="1:13">
      <c r="C12" s="1122"/>
      <c r="D12" s="1269"/>
      <c r="E12" s="1269"/>
      <c r="F12" s="1269"/>
    </row>
    <row r="13" spans="1:13">
      <c r="A13" s="336"/>
      <c r="B13" s="336"/>
      <c r="C13" s="336"/>
      <c r="D13" s="1248" t="s">
        <v>308</v>
      </c>
      <c r="E13" s="1248"/>
      <c r="F13" s="1248"/>
      <c r="M13" s="55"/>
    </row>
    <row r="14" spans="1:13">
      <c r="A14" s="336"/>
      <c r="B14" s="336"/>
      <c r="C14" s="336"/>
      <c r="D14" s="332"/>
      <c r="L14" s="1133"/>
    </row>
    <row r="15" spans="1:13" ht="14.4">
      <c r="A15" s="337"/>
      <c r="B15" s="338" t="s">
        <v>309</v>
      </c>
      <c r="C15" s="336"/>
      <c r="D15" s="1247" t="s">
        <v>310</v>
      </c>
      <c r="E15" s="1247"/>
      <c r="F15" s="1247"/>
      <c r="I15" s="1123"/>
    </row>
    <row r="16" spans="1:13">
      <c r="A16" s="336"/>
      <c r="B16" s="336"/>
      <c r="C16" s="336"/>
      <c r="D16" s="1247"/>
      <c r="E16" s="1247"/>
      <c r="F16" s="1247"/>
      <c r="I16" s="1123"/>
    </row>
    <row r="17" spans="1:9">
      <c r="A17" s="336"/>
      <c r="B17" s="336"/>
      <c r="C17" s="336"/>
      <c r="D17" s="1247"/>
      <c r="E17" s="1247"/>
      <c r="F17" s="1247"/>
      <c r="I17" s="1123"/>
    </row>
    <row r="18" spans="1:9">
      <c r="A18" s="336"/>
      <c r="B18" s="336"/>
      <c r="C18" s="336"/>
      <c r="D18" s="1124"/>
      <c r="E18" s="1133" t="s">
        <v>311</v>
      </c>
      <c r="F18" s="1124"/>
      <c r="I18" s="1123"/>
    </row>
    <row r="19" spans="1:9">
      <c r="A19" s="336"/>
      <c r="B19" s="336"/>
      <c r="C19" s="336"/>
      <c r="I19" s="1123"/>
    </row>
    <row r="20" spans="1:9" ht="14.4">
      <c r="A20" s="337"/>
      <c r="B20" s="338" t="s">
        <v>309</v>
      </c>
      <c r="D20" s="1247" t="s">
        <v>312</v>
      </c>
      <c r="E20" s="1247"/>
      <c r="F20" s="1247"/>
      <c r="I20" s="1123"/>
    </row>
    <row r="21" spans="1:9" ht="14.4">
      <c r="A21" s="337"/>
      <c r="D21" s="1247"/>
      <c r="E21" s="1247"/>
      <c r="F21" s="1247"/>
      <c r="I21" s="1123"/>
    </row>
    <row r="22" spans="1:9" ht="14.4">
      <c r="A22" s="337"/>
      <c r="D22" s="1127"/>
      <c r="E22" s="55" t="s">
        <v>313</v>
      </c>
      <c r="F22" s="1127"/>
      <c r="I22" s="1123"/>
    </row>
    <row r="23" spans="1:9" ht="14.4">
      <c r="A23" s="337"/>
      <c r="B23" s="337"/>
      <c r="D23" s="1125"/>
      <c r="I23" s="1123"/>
    </row>
    <row r="24" spans="1:9" ht="14.4">
      <c r="A24" s="337"/>
      <c r="B24" s="338" t="s">
        <v>314</v>
      </c>
      <c r="D24" s="1247" t="s">
        <v>315</v>
      </c>
      <c r="E24" s="1247"/>
      <c r="F24" s="1247"/>
      <c r="I24" s="1123"/>
    </row>
    <row r="25" spans="1:9" ht="14.4">
      <c r="A25" s="337"/>
      <c r="B25" s="337"/>
      <c r="D25" s="1247"/>
      <c r="E25" s="1247"/>
      <c r="F25" s="1247"/>
      <c r="I25" s="1123"/>
    </row>
    <row r="26" spans="1:9">
      <c r="I26" s="1123"/>
    </row>
    <row r="27" spans="1:9" ht="14.4">
      <c r="A27" s="337"/>
      <c r="B27" s="338" t="s">
        <v>309</v>
      </c>
      <c r="D27" s="1247" t="s">
        <v>316</v>
      </c>
      <c r="E27" s="1247"/>
      <c r="F27" s="1247"/>
      <c r="I27" s="1123"/>
    </row>
    <row r="28" spans="1:9">
      <c r="D28" s="1247"/>
      <c r="E28" s="1247"/>
      <c r="F28" s="1247"/>
      <c r="I28" s="1123"/>
    </row>
    <row r="29" spans="1:9">
      <c r="D29" s="1247"/>
      <c r="E29" s="1247"/>
      <c r="F29" s="1247"/>
      <c r="I29" s="1123"/>
    </row>
    <row r="30" spans="1:9">
      <c r="D30" s="1247"/>
      <c r="E30" s="1247"/>
      <c r="F30" s="1247"/>
      <c r="I30" s="1123"/>
    </row>
    <row r="31" spans="1:9">
      <c r="D31" s="1247"/>
      <c r="E31" s="1247"/>
      <c r="F31" s="1247"/>
      <c r="I31" s="1123"/>
    </row>
    <row r="32" spans="1:9">
      <c r="D32" s="1130"/>
      <c r="I32" s="1123"/>
    </row>
    <row r="33" spans="1:9">
      <c r="B33" s="338" t="s">
        <v>314</v>
      </c>
      <c r="D33" s="1247" t="s">
        <v>317</v>
      </c>
      <c r="E33" s="1247"/>
      <c r="F33" s="1247"/>
      <c r="I33" s="1123"/>
    </row>
    <row r="34" spans="1:9">
      <c r="D34" s="1247"/>
      <c r="E34" s="1247"/>
      <c r="F34" s="1247"/>
      <c r="I34" s="1123"/>
    </row>
    <row r="35" spans="1:9" ht="14.4">
      <c r="A35" s="337"/>
      <c r="B35" s="337"/>
      <c r="D35" s="1130"/>
      <c r="I35" s="1123"/>
    </row>
    <row r="36" spans="1:9" ht="14.7" customHeight="1">
      <c r="A36" s="337"/>
      <c r="B36" s="338" t="s">
        <v>309</v>
      </c>
      <c r="D36" s="1247" t="s">
        <v>318</v>
      </c>
      <c r="E36" s="1247"/>
      <c r="F36" s="1247"/>
      <c r="I36" s="1123"/>
    </row>
    <row r="37" spans="1:9" ht="14.4">
      <c r="A37" s="337"/>
      <c r="B37" s="337"/>
      <c r="D37" s="1247"/>
      <c r="E37" s="1247"/>
      <c r="F37" s="1247"/>
      <c r="I37" s="1123"/>
    </row>
    <row r="38" spans="1:9" ht="14.4">
      <c r="A38" s="337"/>
      <c r="B38" s="337"/>
      <c r="D38" s="1247"/>
      <c r="E38" s="1247"/>
      <c r="F38" s="1247"/>
      <c r="I38" s="1123"/>
    </row>
    <row r="39" spans="1:9" ht="14.4">
      <c r="A39" s="337"/>
      <c r="B39" s="337"/>
      <c r="D39" s="1247"/>
      <c r="E39" s="1247"/>
      <c r="F39" s="1247"/>
      <c r="I39" s="1123"/>
    </row>
    <row r="40" spans="1:9" ht="14.4">
      <c r="A40" s="337"/>
      <c r="B40" s="337"/>
      <c r="I40" s="1123"/>
    </row>
    <row r="41" spans="1:9" ht="14.4">
      <c r="A41" s="337"/>
      <c r="B41" s="338" t="s">
        <v>314</v>
      </c>
      <c r="D41" s="1247" t="s">
        <v>319</v>
      </c>
      <c r="E41" s="1247"/>
      <c r="F41" s="1247"/>
      <c r="I41" s="1123"/>
    </row>
    <row r="42" spans="1:9" ht="14.4">
      <c r="A42" s="337"/>
      <c r="B42" s="337"/>
      <c r="D42" s="1247"/>
      <c r="E42" s="1247"/>
      <c r="F42" s="1247"/>
      <c r="I42" s="1123"/>
    </row>
    <row r="43" spans="1:9" ht="14.4">
      <c r="A43" s="337"/>
      <c r="B43" s="337"/>
      <c r="D43" s="1247"/>
      <c r="E43" s="1247"/>
      <c r="F43" s="1247"/>
      <c r="I43" s="1123"/>
    </row>
    <row r="44" spans="1:9" ht="14.4">
      <c r="A44" s="337"/>
      <c r="B44" s="337"/>
      <c r="D44" s="1247"/>
      <c r="E44" s="1247"/>
      <c r="F44" s="1247"/>
      <c r="I44" s="1123"/>
    </row>
    <row r="45" spans="1:9" ht="14.4">
      <c r="A45" s="337"/>
      <c r="B45" s="337"/>
      <c r="D45" s="1247"/>
      <c r="E45" s="1247"/>
      <c r="F45" s="1247"/>
      <c r="I45" s="1123"/>
    </row>
    <row r="46" spans="1:9" ht="14.4">
      <c r="A46" s="337"/>
      <c r="B46" s="337"/>
      <c r="D46" s="1124"/>
      <c r="E46" s="1124"/>
      <c r="F46" s="1124"/>
      <c r="I46" s="1123"/>
    </row>
    <row r="47" spans="1:9" ht="14.4">
      <c r="A47" s="337"/>
      <c r="B47" s="338" t="s">
        <v>309</v>
      </c>
      <c r="D47" s="1247" t="s">
        <v>320</v>
      </c>
      <c r="E47" s="1247"/>
      <c r="F47" s="1247"/>
      <c r="I47" s="1123"/>
    </row>
    <row r="48" spans="1:9" ht="14.4">
      <c r="A48" s="337"/>
      <c r="B48" s="337"/>
      <c r="D48" s="1247"/>
      <c r="E48" s="1247"/>
      <c r="F48" s="1247"/>
      <c r="I48" s="1123"/>
    </row>
    <row r="49" spans="1:9" ht="14.4">
      <c r="A49" s="337"/>
      <c r="B49" s="337"/>
      <c r="D49" s="1247"/>
      <c r="E49" s="1247"/>
      <c r="F49" s="1247"/>
      <c r="I49" s="1123"/>
    </row>
    <row r="50" spans="1:9" ht="23.25" customHeight="1">
      <c r="A50" s="337"/>
      <c r="B50" s="337"/>
      <c r="D50" s="1247"/>
      <c r="E50" s="1247"/>
      <c r="F50" s="1247"/>
      <c r="I50" s="1123"/>
    </row>
    <row r="51" spans="1:9" ht="14.4">
      <c r="A51" s="337"/>
      <c r="B51" s="337"/>
      <c r="D51" s="1125"/>
      <c r="I51" s="1123"/>
    </row>
    <row r="52" spans="1:9" ht="14.7" customHeight="1">
      <c r="A52" s="337"/>
      <c r="B52" s="338" t="s">
        <v>314</v>
      </c>
      <c r="D52" s="1247" t="s">
        <v>321</v>
      </c>
      <c r="E52" s="1247"/>
      <c r="F52" s="1247"/>
      <c r="I52" s="1123"/>
    </row>
    <row r="53" spans="1:9" ht="14.4">
      <c r="A53" s="337"/>
      <c r="B53" s="337"/>
      <c r="D53" s="1247"/>
      <c r="E53" s="1247"/>
      <c r="F53" s="1247"/>
      <c r="I53" s="1123"/>
    </row>
    <row r="54" spans="1:9" ht="14.4">
      <c r="A54" s="337"/>
      <c r="B54" s="337"/>
      <c r="D54" s="1247"/>
      <c r="E54" s="1247"/>
      <c r="F54" s="1247"/>
      <c r="I54" s="1123"/>
    </row>
    <row r="55" spans="1:9" ht="14.4">
      <c r="A55" s="337"/>
      <c r="B55" s="337"/>
      <c r="I55" s="1123"/>
    </row>
    <row r="56" spans="1:9" ht="14.4">
      <c r="A56" s="337"/>
      <c r="B56" s="338" t="s">
        <v>309</v>
      </c>
      <c r="D56" s="1271" t="s">
        <v>322</v>
      </c>
      <c r="E56" s="1271"/>
      <c r="F56" s="1271"/>
      <c r="I56" s="1123"/>
    </row>
    <row r="57" spans="1:9" ht="14.4">
      <c r="A57" s="337"/>
      <c r="B57" s="337"/>
      <c r="D57" s="1271"/>
      <c r="E57" s="1271"/>
      <c r="F57" s="1271"/>
      <c r="I57" s="1123"/>
    </row>
    <row r="58" spans="1:9" ht="14.4">
      <c r="A58" s="337"/>
      <c r="B58" s="337"/>
      <c r="D58" s="1127" t="s">
        <v>323</v>
      </c>
      <c r="E58" s="1124"/>
      <c r="F58" s="1124"/>
      <c r="I58" s="1123"/>
    </row>
    <row r="59" spans="1:9" ht="14.4">
      <c r="A59" s="337"/>
      <c r="B59" s="337"/>
      <c r="D59" s="1124"/>
      <c r="E59" s="1133" t="s">
        <v>311</v>
      </c>
      <c r="F59" s="1124"/>
      <c r="I59" s="1123"/>
    </row>
    <row r="60" spans="1:9">
      <c r="D60" s="1130"/>
      <c r="I60" s="1123"/>
    </row>
    <row r="61" spans="1:9" ht="14.4">
      <c r="A61" s="337"/>
      <c r="B61" s="338" t="s">
        <v>314</v>
      </c>
      <c r="D61" s="1247" t="s">
        <v>324</v>
      </c>
      <c r="E61" s="1247"/>
      <c r="F61" s="1247"/>
      <c r="I61" s="1123"/>
    </row>
    <row r="62" spans="1:9">
      <c r="D62" s="1247"/>
      <c r="E62" s="1247"/>
      <c r="F62" s="1247"/>
      <c r="I62" s="1123"/>
    </row>
    <row r="63" spans="1:9">
      <c r="D63" s="1247"/>
      <c r="E63" s="1247"/>
      <c r="F63" s="1247"/>
      <c r="I63" s="1123"/>
    </row>
    <row r="64" spans="1:9">
      <c r="I64" s="1123"/>
    </row>
    <row r="65" spans="1:9" ht="14.4">
      <c r="A65" s="337"/>
      <c r="B65" s="338" t="s">
        <v>314</v>
      </c>
      <c r="D65" s="1247" t="s">
        <v>325</v>
      </c>
      <c r="E65" s="1247"/>
      <c r="F65" s="1247"/>
      <c r="I65" s="1123"/>
    </row>
    <row r="66" spans="1:9">
      <c r="D66" s="1247"/>
      <c r="E66" s="1247"/>
      <c r="F66" s="1247"/>
      <c r="I66" s="1123"/>
    </row>
    <row r="67" spans="1:9">
      <c r="I67" s="1123"/>
    </row>
    <row r="68" spans="1:9" ht="14.4">
      <c r="A68" s="337"/>
      <c r="B68" s="338" t="s">
        <v>309</v>
      </c>
      <c r="D68" s="1247" t="s">
        <v>326</v>
      </c>
      <c r="E68" s="1247"/>
      <c r="F68" s="1247"/>
      <c r="I68" s="1123"/>
    </row>
    <row r="69" spans="1:9">
      <c r="D69" s="1247"/>
      <c r="E69" s="1247"/>
      <c r="F69" s="1247"/>
      <c r="I69" s="1123"/>
    </row>
    <row r="70" spans="1:9">
      <c r="D70" s="1247"/>
      <c r="E70" s="1247"/>
      <c r="F70" s="1247"/>
      <c r="I70" s="1123"/>
    </row>
    <row r="71" spans="1:9">
      <c r="I71" s="1123"/>
    </row>
    <row r="72" spans="1:9" ht="14.4">
      <c r="A72" s="337"/>
      <c r="B72" s="338" t="s">
        <v>314</v>
      </c>
      <c r="D72" s="1247" t="s">
        <v>327</v>
      </c>
      <c r="E72" s="1247"/>
      <c r="F72" s="1247"/>
      <c r="I72" s="1123"/>
    </row>
    <row r="73" spans="1:9">
      <c r="D73" s="1247"/>
      <c r="E73" s="1247"/>
      <c r="F73" s="1247"/>
      <c r="I73" s="1123"/>
    </row>
    <row r="74" spans="1:9" ht="14.4">
      <c r="A74" s="337"/>
      <c r="B74" s="337"/>
      <c r="D74" s="1125"/>
      <c r="I74" s="1123"/>
    </row>
    <row r="75" spans="1:9">
      <c r="A75" s="1250" t="s">
        <v>328</v>
      </c>
      <c r="B75" s="1250"/>
      <c r="C75" s="1250"/>
      <c r="D75" s="1250"/>
      <c r="E75" s="1250"/>
      <c r="F75" s="1250"/>
      <c r="G75" s="1250"/>
      <c r="H75" s="815"/>
      <c r="I75" s="935"/>
    </row>
    <row r="76" spans="1:9">
      <c r="I76" s="1123"/>
    </row>
    <row r="77" spans="1:9">
      <c r="C77" s="339"/>
      <c r="D77" s="1249" t="s">
        <v>329</v>
      </c>
      <c r="E77" s="1249"/>
      <c r="F77" s="1249"/>
      <c r="I77" s="1123"/>
    </row>
    <row r="78" spans="1:9">
      <c r="A78" s="1125"/>
      <c r="B78" s="1125"/>
      <c r="D78" s="1247" t="s">
        <v>330</v>
      </c>
      <c r="E78" s="1247"/>
      <c r="F78" s="1247"/>
      <c r="I78" s="1123"/>
    </row>
    <row r="79" spans="1:9">
      <c r="A79" s="1125"/>
      <c r="B79" s="1125"/>
      <c r="I79" s="1123"/>
    </row>
    <row r="80" spans="1:9" ht="13.95" customHeight="1">
      <c r="A80" s="337"/>
      <c r="B80" s="338" t="s">
        <v>309</v>
      </c>
      <c r="D80" s="1247" t="s">
        <v>331</v>
      </c>
      <c r="E80" s="1247"/>
      <c r="F80" s="1247"/>
      <c r="I80" s="1123"/>
    </row>
    <row r="81" spans="1:9" ht="14.4">
      <c r="A81" s="337"/>
      <c r="B81" s="337"/>
      <c r="D81" s="1247"/>
      <c r="E81" s="1247"/>
      <c r="F81" s="1247"/>
      <c r="I81" s="1123"/>
    </row>
    <row r="82" spans="1:9" ht="14.4">
      <c r="A82" s="337"/>
      <c r="B82" s="337"/>
      <c r="D82" s="1247"/>
      <c r="E82" s="1247"/>
      <c r="F82" s="1247"/>
      <c r="I82" s="1123"/>
    </row>
    <row r="83" spans="1:9" ht="14.4">
      <c r="A83" s="337"/>
      <c r="B83" s="337"/>
      <c r="D83" s="1247"/>
      <c r="E83" s="1247"/>
      <c r="F83" s="1247"/>
      <c r="I83" s="1123"/>
    </row>
    <row r="84" spans="1:9" ht="14.4">
      <c r="A84" s="337"/>
      <c r="B84" s="337"/>
      <c r="D84" s="1247"/>
      <c r="E84" s="1247"/>
      <c r="F84" s="1247"/>
      <c r="I84" s="1123"/>
    </row>
    <row r="85" spans="1:9" ht="14.4">
      <c r="A85" s="337"/>
      <c r="B85" s="337"/>
      <c r="D85" s="1247"/>
      <c r="E85" s="1247"/>
      <c r="F85" s="1247"/>
      <c r="I85" s="1123"/>
    </row>
    <row r="86" spans="1:9" ht="14.4">
      <c r="A86" s="337"/>
      <c r="B86" s="337"/>
      <c r="D86" s="1247"/>
      <c r="E86" s="1247"/>
      <c r="F86" s="1247"/>
      <c r="I86" s="1123"/>
    </row>
    <row r="87" spans="1:9" ht="14.4">
      <c r="A87" s="337"/>
      <c r="B87" s="337"/>
      <c r="D87" s="1247"/>
      <c r="E87" s="1247"/>
      <c r="F87" s="1247"/>
      <c r="I87" s="1123"/>
    </row>
    <row r="88" spans="1:9" ht="14.4">
      <c r="A88" s="337"/>
      <c r="B88" s="337"/>
      <c r="D88" s="1135"/>
      <c r="E88" s="1135"/>
      <c r="F88" s="1135"/>
      <c r="I88" s="1123"/>
    </row>
    <row r="89" spans="1:9" ht="15" customHeight="1">
      <c r="A89" s="337"/>
      <c r="B89" s="338" t="s">
        <v>309</v>
      </c>
      <c r="D89" s="1247" t="s">
        <v>332</v>
      </c>
      <c r="E89" s="1247"/>
      <c r="F89" s="1247"/>
      <c r="I89" s="1123"/>
    </row>
    <row r="90" spans="1:9" ht="14.4">
      <c r="A90" s="337"/>
      <c r="B90" s="337"/>
      <c r="D90" s="1247"/>
      <c r="E90" s="1247"/>
      <c r="F90" s="1247"/>
      <c r="I90" s="1123"/>
    </row>
    <row r="91" spans="1:9" ht="14.4">
      <c r="A91" s="337"/>
      <c r="B91" s="337"/>
      <c r="D91" s="1124"/>
      <c r="E91" s="1124"/>
      <c r="F91" s="1124"/>
      <c r="I91" s="1123"/>
    </row>
    <row r="92" spans="1:9" ht="14.4">
      <c r="A92" s="337"/>
      <c r="B92" s="338" t="s">
        <v>309</v>
      </c>
      <c r="D92" s="1247" t="s">
        <v>333</v>
      </c>
      <c r="E92" s="1247"/>
      <c r="F92" s="1247"/>
      <c r="I92" s="1123"/>
    </row>
    <row r="93" spans="1:9" ht="14.4">
      <c r="A93" s="337"/>
      <c r="B93" s="337"/>
      <c r="D93" s="1247"/>
      <c r="E93" s="1247"/>
      <c r="F93" s="1247"/>
      <c r="I93" s="1123"/>
    </row>
    <row r="94" spans="1:9" ht="14.4">
      <c r="A94" s="337"/>
      <c r="B94" s="337"/>
      <c r="D94" s="1247"/>
      <c r="E94" s="1247"/>
      <c r="F94" s="1247"/>
      <c r="I94" s="1123"/>
    </row>
    <row r="95" spans="1:9" ht="14.4">
      <c r="A95" s="337"/>
      <c r="B95" s="337"/>
      <c r="D95" s="1124"/>
      <c r="E95" s="1124"/>
      <c r="F95" s="1124"/>
      <c r="I95" s="1123"/>
    </row>
    <row r="96" spans="1:9" ht="14.4">
      <c r="A96" s="337"/>
      <c r="B96" s="338" t="s">
        <v>309</v>
      </c>
      <c r="D96" s="1247" t="s">
        <v>334</v>
      </c>
      <c r="E96" s="1247"/>
      <c r="F96" s="1247"/>
      <c r="I96" s="1123"/>
    </row>
    <row r="97" spans="1:9" s="783" customFormat="1" ht="14.4">
      <c r="A97" s="781"/>
      <c r="B97" s="781"/>
      <c r="C97" s="782"/>
      <c r="D97" s="1247"/>
      <c r="E97" s="1247"/>
      <c r="F97" s="1247"/>
      <c r="I97" s="936"/>
    </row>
    <row r="98" spans="1:9" ht="14.4">
      <c r="A98" s="337"/>
      <c r="B98" s="337"/>
      <c r="D98" s="1127"/>
      <c r="E98" s="1133" t="s">
        <v>335</v>
      </c>
      <c r="F98" s="1124"/>
      <c r="I98" s="1123"/>
    </row>
    <row r="99" spans="1:9" ht="14.4">
      <c r="A99" s="337"/>
      <c r="B99" s="337"/>
      <c r="D99" s="1135"/>
      <c r="E99" s="1135"/>
      <c r="F99" s="1135"/>
      <c r="I99" s="1123"/>
    </row>
    <row r="100" spans="1:9" ht="14.4">
      <c r="A100" s="337"/>
      <c r="B100" s="338" t="s">
        <v>314</v>
      </c>
      <c r="D100" s="1247" t="s">
        <v>336</v>
      </c>
      <c r="E100" s="1247"/>
      <c r="F100" s="1247"/>
      <c r="I100" s="1123"/>
    </row>
    <row r="101" spans="1:9" ht="14.4">
      <c r="A101" s="337"/>
      <c r="B101" s="337"/>
      <c r="D101" s="1247"/>
      <c r="E101" s="1247"/>
      <c r="F101" s="1247"/>
      <c r="I101" s="1123"/>
    </row>
    <row r="102" spans="1:9" ht="14.4">
      <c r="A102" s="337"/>
      <c r="B102" s="337"/>
      <c r="D102" s="1124"/>
      <c r="E102" s="1124"/>
      <c r="F102" s="1124"/>
      <c r="I102" s="1123"/>
    </row>
    <row r="103" spans="1:9" ht="14.7" customHeight="1">
      <c r="A103" s="337"/>
      <c r="B103" s="338" t="s">
        <v>314</v>
      </c>
      <c r="D103" s="1247" t="s">
        <v>337</v>
      </c>
      <c r="E103" s="1247"/>
      <c r="F103" s="1247"/>
      <c r="I103" s="1123"/>
    </row>
    <row r="104" spans="1:9" ht="14.4">
      <c r="A104" s="337"/>
      <c r="B104" s="337"/>
      <c r="D104" s="1247"/>
      <c r="E104" s="1247"/>
      <c r="F104" s="1247"/>
      <c r="I104" s="1123"/>
    </row>
    <row r="105" spans="1:9" ht="14.4">
      <c r="A105" s="337"/>
      <c r="B105" s="337"/>
      <c r="D105" s="1247"/>
      <c r="E105" s="1247"/>
      <c r="F105" s="1247"/>
      <c r="I105" s="1123"/>
    </row>
    <row r="106" spans="1:9" ht="14.4">
      <c r="A106" s="337"/>
      <c r="B106" s="337"/>
      <c r="D106" s="1247"/>
      <c r="E106" s="1247"/>
      <c r="F106" s="1247"/>
      <c r="I106" s="1123"/>
    </row>
    <row r="107" spans="1:9" ht="14.4">
      <c r="A107" s="337"/>
      <c r="B107" s="337"/>
      <c r="D107" s="1247"/>
      <c r="E107" s="1247"/>
      <c r="F107" s="1247"/>
      <c r="I107" s="1123"/>
    </row>
    <row r="108" spans="1:9" ht="14.4">
      <c r="A108" s="337"/>
      <c r="B108" s="337"/>
      <c r="D108" s="1247"/>
      <c r="E108" s="1247"/>
      <c r="F108" s="1247"/>
      <c r="I108" s="1123"/>
    </row>
    <row r="109" spans="1:9" ht="14.4">
      <c r="A109" s="337"/>
      <c r="B109" s="337"/>
      <c r="D109" s="1247"/>
      <c r="E109" s="1247"/>
      <c r="F109" s="1247"/>
      <c r="I109" s="1123"/>
    </row>
    <row r="110" spans="1:9" ht="14.4">
      <c r="A110" s="337"/>
      <c r="B110" s="337"/>
      <c r="D110" s="1247"/>
      <c r="E110" s="1247"/>
      <c r="F110" s="1247"/>
      <c r="I110" s="1123"/>
    </row>
    <row r="111" spans="1:9" ht="14.4">
      <c r="A111" s="337"/>
      <c r="B111" s="337"/>
      <c r="D111" s="1247"/>
      <c r="E111" s="1247"/>
      <c r="F111" s="1247"/>
      <c r="I111" s="1123"/>
    </row>
    <row r="112" spans="1:9" ht="14.4">
      <c r="A112" s="337"/>
      <c r="B112" s="337"/>
      <c r="D112" s="1247"/>
      <c r="E112" s="1247"/>
      <c r="F112" s="1247"/>
      <c r="I112" s="1123"/>
    </row>
    <row r="113" spans="1:9" ht="14.4">
      <c r="A113" s="337"/>
      <c r="B113" s="337"/>
      <c r="D113" s="1247"/>
      <c r="E113" s="1247"/>
      <c r="F113" s="1247"/>
      <c r="I113" s="1123"/>
    </row>
    <row r="114" spans="1:9" ht="14.4">
      <c r="A114" s="337"/>
      <c r="B114" s="337"/>
      <c r="D114" s="1247"/>
      <c r="E114" s="1247"/>
      <c r="F114" s="1247"/>
      <c r="I114" s="1123"/>
    </row>
    <row r="115" spans="1:9" ht="14.4">
      <c r="A115" s="337"/>
      <c r="B115" s="337"/>
      <c r="D115" s="1247"/>
      <c r="E115" s="1247"/>
      <c r="F115" s="1247"/>
      <c r="I115" s="1123"/>
    </row>
    <row r="116" spans="1:9" ht="14.4">
      <c r="A116" s="337"/>
      <c r="B116" s="337"/>
      <c r="D116" s="1247"/>
      <c r="E116" s="1247"/>
      <c r="F116" s="1247"/>
      <c r="I116" s="1123"/>
    </row>
    <row r="117" spans="1:9" ht="14.4">
      <c r="A117" s="337"/>
      <c r="B117" s="337"/>
      <c r="D117" s="1247"/>
      <c r="E117" s="1247"/>
      <c r="F117" s="1247"/>
      <c r="I117" s="1123"/>
    </row>
    <row r="118" spans="1:9" ht="14.4">
      <c r="A118" s="337"/>
      <c r="B118" s="337"/>
      <c r="D118" s="1121"/>
      <c r="E118" s="1121"/>
      <c r="F118" s="1121"/>
      <c r="I118" s="1123"/>
    </row>
    <row r="119" spans="1:9" ht="14.25" customHeight="1">
      <c r="A119" s="337"/>
      <c r="B119" s="338" t="s">
        <v>314</v>
      </c>
      <c r="D119" s="1267" t="s">
        <v>338</v>
      </c>
      <c r="E119" s="1267"/>
      <c r="F119" s="1267"/>
      <c r="I119" s="1123"/>
    </row>
    <row r="120" spans="1:9" ht="14.4">
      <c r="A120" s="337"/>
      <c r="B120" s="337"/>
      <c r="D120" s="1267"/>
      <c r="E120" s="1267"/>
      <c r="F120" s="1267"/>
      <c r="I120" s="1123"/>
    </row>
    <row r="121" spans="1:9" ht="14.4">
      <c r="A121" s="337"/>
      <c r="B121" s="337"/>
      <c r="D121" s="1267"/>
      <c r="E121" s="1267"/>
      <c r="F121" s="1267"/>
      <c r="I121" s="1123"/>
    </row>
    <row r="122" spans="1:9" ht="14.4">
      <c r="A122" s="337"/>
      <c r="B122" s="337"/>
      <c r="D122" s="1267"/>
      <c r="E122" s="1267"/>
      <c r="F122" s="1267"/>
      <c r="I122" s="1123"/>
    </row>
    <row r="123" spans="1:9" ht="14.4">
      <c r="A123" s="337"/>
      <c r="B123" s="337"/>
      <c r="D123" s="1267"/>
      <c r="E123" s="1267"/>
      <c r="F123" s="1267"/>
      <c r="I123" s="1123"/>
    </row>
    <row r="124" spans="1:9" ht="14.4">
      <c r="A124" s="337"/>
      <c r="B124" s="337"/>
      <c r="D124" s="1267"/>
      <c r="E124" s="1267"/>
      <c r="F124" s="1267"/>
      <c r="I124" s="1123"/>
    </row>
    <row r="125" spans="1:9" ht="14.4">
      <c r="A125" s="337"/>
      <c r="B125" s="337"/>
      <c r="D125" s="1267"/>
      <c r="E125" s="1267"/>
      <c r="F125" s="1267"/>
      <c r="I125" s="1123"/>
    </row>
    <row r="126" spans="1:9" ht="14.4">
      <c r="A126" s="337"/>
      <c r="B126" s="337"/>
      <c r="D126" s="1267"/>
      <c r="E126" s="1267"/>
      <c r="F126" s="1267"/>
      <c r="I126" s="1123"/>
    </row>
    <row r="127" spans="1:9">
      <c r="C127" s="272"/>
      <c r="D127" s="374"/>
      <c r="E127" s="374"/>
      <c r="F127" s="374"/>
      <c r="I127" s="1123"/>
    </row>
    <row r="128" spans="1:9" ht="14.4">
      <c r="A128" s="337"/>
      <c r="B128" s="338" t="s">
        <v>309</v>
      </c>
      <c r="C128" s="272"/>
      <c r="D128" s="1267" t="s">
        <v>339</v>
      </c>
      <c r="E128" s="1267"/>
      <c r="F128" s="1267"/>
      <c r="I128" s="1123"/>
    </row>
    <row r="129" spans="1:9" ht="14.4">
      <c r="A129" s="337"/>
      <c r="B129" s="337"/>
      <c r="C129" s="272"/>
      <c r="D129" s="1267"/>
      <c r="E129" s="1267"/>
      <c r="F129" s="1267"/>
      <c r="I129" s="1123"/>
    </row>
    <row r="130" spans="1:9">
      <c r="I130" s="1123"/>
    </row>
    <row r="131" spans="1:9" ht="14.4">
      <c r="A131" s="337"/>
      <c r="B131" s="338" t="s">
        <v>309</v>
      </c>
      <c r="D131" s="1247" t="s">
        <v>340</v>
      </c>
      <c r="E131" s="1247"/>
      <c r="F131" s="1247"/>
      <c r="I131" s="1123"/>
    </row>
    <row r="132" spans="1:9">
      <c r="D132" s="1247"/>
      <c r="E132" s="1247"/>
      <c r="F132" s="1247"/>
      <c r="I132" s="1123"/>
    </row>
    <row r="133" spans="1:9">
      <c r="D133" s="1247"/>
      <c r="E133" s="1247"/>
      <c r="F133" s="1247"/>
      <c r="I133" s="1123"/>
    </row>
    <row r="134" spans="1:9">
      <c r="D134" s="1247"/>
      <c r="E134" s="1247"/>
      <c r="F134" s="1247"/>
      <c r="I134" s="1123"/>
    </row>
    <row r="135" spans="1:9">
      <c r="D135" s="1247"/>
      <c r="E135" s="1247"/>
      <c r="F135" s="1247"/>
      <c r="I135" s="1123"/>
    </row>
    <row r="136" spans="1:9">
      <c r="I136" s="1123"/>
    </row>
    <row r="137" spans="1:9" ht="14.4">
      <c r="A137" s="337"/>
      <c r="B137" s="338" t="s">
        <v>309</v>
      </c>
      <c r="D137" s="1247" t="s">
        <v>341</v>
      </c>
      <c r="E137" s="1247"/>
      <c r="F137" s="1247"/>
      <c r="I137" s="1123"/>
    </row>
    <row r="138" spans="1:9" s="286" customFormat="1" ht="13.95" customHeight="1">
      <c r="A138" s="341"/>
      <c r="B138" s="341"/>
      <c r="C138" s="341"/>
      <c r="D138" s="1247"/>
      <c r="E138" s="1247"/>
      <c r="F138" s="1247"/>
      <c r="I138" s="937"/>
    </row>
    <row r="139" spans="1:9" ht="13.95" customHeight="1">
      <c r="D139" s="1247"/>
      <c r="E139" s="1247"/>
      <c r="F139" s="1247"/>
      <c r="I139" s="1123"/>
    </row>
    <row r="140" spans="1:9" ht="13.95" customHeight="1">
      <c r="D140" s="1247"/>
      <c r="E140" s="1247"/>
      <c r="F140" s="1247"/>
      <c r="I140" s="1123"/>
    </row>
    <row r="141" spans="1:9" ht="13.95" customHeight="1">
      <c r="D141" s="1247"/>
      <c r="E141" s="1247"/>
      <c r="F141" s="1247"/>
      <c r="I141" s="1123"/>
    </row>
    <row r="142" spans="1:9" ht="13.95" customHeight="1">
      <c r="A142" s="342"/>
      <c r="B142" s="342"/>
      <c r="D142" s="1247"/>
      <c r="E142" s="1247"/>
      <c r="F142" s="1247"/>
      <c r="I142" s="1123"/>
    </row>
    <row r="143" spans="1:9" ht="13.95" customHeight="1">
      <c r="D143" s="1247"/>
      <c r="E143" s="1247"/>
      <c r="F143" s="1247"/>
      <c r="I143" s="1123"/>
    </row>
    <row r="144" spans="1:9" ht="13.95" customHeight="1">
      <c r="D144" s="1247"/>
      <c r="E144" s="1247"/>
      <c r="F144" s="1247"/>
      <c r="I144" s="1123"/>
    </row>
    <row r="145" spans="2:9" ht="13.95" customHeight="1">
      <c r="D145" s="1247"/>
      <c r="E145" s="1247"/>
      <c r="F145" s="1247"/>
      <c r="I145" s="1123"/>
    </row>
    <row r="146" spans="2:9" ht="13.95" customHeight="1">
      <c r="D146" s="1247"/>
      <c r="E146" s="1247"/>
      <c r="F146" s="1247"/>
      <c r="I146" s="1123"/>
    </row>
    <row r="147" spans="2:9" ht="13.95" customHeight="1">
      <c r="D147" s="1247"/>
      <c r="E147" s="1247"/>
      <c r="F147" s="1247"/>
      <c r="I147" s="1123"/>
    </row>
    <row r="148" spans="2:9" ht="13.95" customHeight="1">
      <c r="D148" s="1247"/>
      <c r="E148" s="1247"/>
      <c r="F148" s="1247"/>
      <c r="I148" s="1123"/>
    </row>
    <row r="149" spans="2:9" ht="13.95" customHeight="1">
      <c r="D149" s="1247"/>
      <c r="E149" s="1247"/>
      <c r="F149" s="1247"/>
      <c r="I149" s="1123"/>
    </row>
    <row r="150" spans="2:9" ht="13.95" customHeight="1">
      <c r="D150" s="332"/>
      <c r="E150" s="1125"/>
      <c r="F150" s="1125"/>
      <c r="I150" s="1123"/>
    </row>
    <row r="151" spans="2:9" ht="13.95" customHeight="1">
      <c r="B151" s="338" t="s">
        <v>314</v>
      </c>
      <c r="D151" s="1247" t="s">
        <v>342</v>
      </c>
      <c r="E151" s="1247"/>
      <c r="F151" s="1247"/>
      <c r="I151" s="1123"/>
    </row>
    <row r="152" spans="2:9" ht="13.95" customHeight="1">
      <c r="D152" s="1247"/>
      <c r="E152" s="1247"/>
      <c r="F152" s="1247"/>
      <c r="I152" s="1123"/>
    </row>
    <row r="153" spans="2:9" ht="13.95" customHeight="1">
      <c r="D153" s="1247"/>
      <c r="E153" s="1247"/>
      <c r="F153" s="1247"/>
      <c r="I153" s="1123"/>
    </row>
    <row r="154" spans="2:9" ht="13.95" customHeight="1">
      <c r="D154" s="1247"/>
      <c r="E154" s="1247"/>
      <c r="F154" s="1247"/>
      <c r="I154" s="1123"/>
    </row>
    <row r="155" spans="2:9" ht="13.95" customHeight="1">
      <c r="D155" s="1247"/>
      <c r="E155" s="1247"/>
      <c r="F155" s="1247"/>
      <c r="I155" s="1123"/>
    </row>
    <row r="156" spans="2:9" ht="13.95" customHeight="1">
      <c r="D156" s="1247"/>
      <c r="E156" s="1247"/>
      <c r="F156" s="1247"/>
      <c r="I156" s="1123"/>
    </row>
    <row r="157" spans="2:9" ht="13.95" customHeight="1">
      <c r="D157" s="1247"/>
      <c r="E157" s="1247"/>
      <c r="F157" s="1247"/>
      <c r="I157" s="1123"/>
    </row>
    <row r="158" spans="2:9" ht="13.95" customHeight="1">
      <c r="D158" s="1247"/>
      <c r="E158" s="1247"/>
      <c r="F158" s="1247"/>
      <c r="I158" s="1123"/>
    </row>
    <row r="159" spans="2:9" ht="13.95" customHeight="1">
      <c r="D159" s="1247"/>
      <c r="E159" s="1247"/>
      <c r="F159" s="1247"/>
      <c r="I159" s="1123"/>
    </row>
    <row r="160" spans="2:9" ht="13.95" customHeight="1">
      <c r="D160" s="1247"/>
      <c r="E160" s="1247"/>
      <c r="F160" s="1247"/>
      <c r="I160" s="1123"/>
    </row>
    <row r="161" spans="1:9" ht="13.95" customHeight="1">
      <c r="D161" s="1247"/>
      <c r="E161" s="1247"/>
      <c r="F161" s="1247"/>
      <c r="I161" s="1123"/>
    </row>
    <row r="162" spans="1:9" ht="13.95" customHeight="1">
      <c r="D162" s="1247"/>
      <c r="E162" s="1247"/>
      <c r="F162" s="1247"/>
      <c r="I162" s="1123"/>
    </row>
    <row r="163" spans="1:9" ht="13.95" customHeight="1">
      <c r="D163" s="1247"/>
      <c r="E163" s="1247"/>
      <c r="F163" s="1247"/>
      <c r="I163" s="1123"/>
    </row>
    <row r="164" spans="1:9" ht="13.95" customHeight="1">
      <c r="D164" s="1247"/>
      <c r="E164" s="1247"/>
      <c r="F164" s="1247"/>
      <c r="I164" s="1123"/>
    </row>
    <row r="165" spans="1:9" ht="13.95" customHeight="1">
      <c r="D165" s="1247"/>
      <c r="E165" s="1247"/>
      <c r="F165" s="1247"/>
      <c r="I165" s="1123"/>
    </row>
    <row r="166" spans="1:9" ht="13.95" customHeight="1">
      <c r="D166" s="1247"/>
      <c r="E166" s="1247"/>
      <c r="F166" s="1247"/>
      <c r="I166" s="1123"/>
    </row>
    <row r="167" spans="1:9" ht="13.95" customHeight="1">
      <c r="D167" s="1247"/>
      <c r="E167" s="1247"/>
      <c r="F167" s="1247"/>
      <c r="I167" s="1123"/>
    </row>
    <row r="168" spans="1:9" ht="13.95" customHeight="1">
      <c r="D168" s="1247"/>
      <c r="E168" s="1247"/>
      <c r="F168" s="1247"/>
      <c r="I168" s="1123"/>
    </row>
    <row r="169" spans="1:9" ht="13.95" customHeight="1">
      <c r="D169" s="1268" t="s">
        <v>343</v>
      </c>
      <c r="E169" s="1268"/>
      <c r="F169" s="1268"/>
      <c r="G169" s="359"/>
      <c r="I169" s="1123"/>
    </row>
    <row r="170" spans="1:9" ht="13.95" customHeight="1">
      <c r="D170" s="1259"/>
      <c r="E170" s="1259"/>
      <c r="F170" s="1259"/>
      <c r="G170" s="1259"/>
      <c r="I170" s="1123"/>
    </row>
    <row r="171" spans="1:9" ht="14.7" customHeight="1">
      <c r="A171" s="342"/>
      <c r="B171" s="338" t="s">
        <v>314</v>
      </c>
      <c r="C171" s="332"/>
      <c r="D171" s="1227" t="s">
        <v>344</v>
      </c>
      <c r="E171" s="1227"/>
      <c r="F171" s="1227"/>
      <c r="G171" s="332"/>
      <c r="I171" s="1123"/>
    </row>
    <row r="172" spans="1:9" ht="14.7" customHeight="1">
      <c r="A172" s="342"/>
      <c r="B172" s="342"/>
      <c r="C172" s="332"/>
      <c r="D172" s="1227"/>
      <c r="E172" s="1227"/>
      <c r="F172" s="1227"/>
      <c r="G172" s="332"/>
      <c r="I172" s="1123"/>
    </row>
    <row r="173" spans="1:9" ht="14.7" customHeight="1">
      <c r="A173" s="342"/>
      <c r="B173" s="342"/>
      <c r="C173" s="332"/>
      <c r="D173" s="1227"/>
      <c r="E173" s="1227"/>
      <c r="F173" s="1227"/>
      <c r="G173" s="332"/>
      <c r="I173" s="1123"/>
    </row>
    <row r="174" spans="1:9" ht="14.7" customHeight="1">
      <c r="A174" s="342"/>
      <c r="B174" s="342"/>
      <c r="C174" s="332"/>
      <c r="D174" s="1227"/>
      <c r="E174" s="1227"/>
      <c r="F174" s="1227"/>
      <c r="G174" s="332"/>
      <c r="I174" s="1123"/>
    </row>
    <row r="175" spans="1:9" ht="13.95" customHeight="1">
      <c r="A175" s="342"/>
      <c r="B175" s="342"/>
      <c r="C175" s="332"/>
      <c r="D175" s="1227"/>
      <c r="E175" s="1227"/>
      <c r="F175" s="1227"/>
      <c r="G175" s="332"/>
      <c r="I175" s="1123"/>
    </row>
    <row r="176" spans="1:9" ht="13.95" customHeight="1">
      <c r="A176" s="342"/>
      <c r="B176" s="342"/>
      <c r="C176" s="332"/>
      <c r="D176" s="332"/>
      <c r="E176" s="332"/>
      <c r="F176" s="332"/>
      <c r="G176" s="332"/>
      <c r="I176" s="1123"/>
    </row>
    <row r="177" spans="1:9" ht="13.95" customHeight="1">
      <c r="A177" s="342"/>
      <c r="B177" s="338" t="s">
        <v>314</v>
      </c>
      <c r="C177" s="332"/>
      <c r="D177" s="1227" t="s">
        <v>345</v>
      </c>
      <c r="E177" s="1227"/>
      <c r="F177" s="1227"/>
      <c r="G177" s="332"/>
      <c r="I177" s="1123"/>
    </row>
    <row r="178" spans="1:9" ht="13.95" customHeight="1">
      <c r="A178" s="342"/>
      <c r="B178" s="342"/>
      <c r="C178" s="332"/>
      <c r="D178" s="1227"/>
      <c r="E178" s="1227"/>
      <c r="F178" s="1227"/>
      <c r="G178" s="332"/>
      <c r="I178" s="1123"/>
    </row>
    <row r="179" spans="1:9" ht="13.95" customHeight="1">
      <c r="A179" s="342"/>
      <c r="B179" s="342"/>
      <c r="C179" s="332"/>
      <c r="D179" s="1227"/>
      <c r="E179" s="1227"/>
      <c r="F179" s="1227"/>
      <c r="G179" s="332"/>
      <c r="I179" s="1123"/>
    </row>
    <row r="180" spans="1:9" ht="13.95" customHeight="1">
      <c r="A180" s="342"/>
      <c r="B180" s="342"/>
      <c r="C180" s="332"/>
      <c r="D180" s="1227"/>
      <c r="E180" s="1227"/>
      <c r="F180" s="1227"/>
      <c r="G180" s="332"/>
      <c r="I180" s="1123"/>
    </row>
    <row r="181" spans="1:9" ht="13.95" customHeight="1">
      <c r="D181" s="1125"/>
      <c r="E181" s="1125"/>
      <c r="F181" s="1125"/>
      <c r="I181" s="1123"/>
    </row>
    <row r="182" spans="1:9" ht="13.95" customHeight="1">
      <c r="B182" s="338" t="s">
        <v>314</v>
      </c>
      <c r="D182" s="1251" t="s">
        <v>346</v>
      </c>
      <c r="E182" s="1251"/>
      <c r="F182" s="1251"/>
      <c r="I182" s="1123"/>
    </row>
    <row r="183" spans="1:9" ht="13.95" customHeight="1">
      <c r="D183" s="1251"/>
      <c r="E183" s="1251"/>
      <c r="F183" s="1251"/>
      <c r="I183" s="1123"/>
    </row>
    <row r="184" spans="1:9" ht="13.95" customHeight="1">
      <c r="D184" s="1251"/>
      <c r="E184" s="1251"/>
      <c r="F184" s="1251"/>
      <c r="I184" s="1123"/>
    </row>
    <row r="185" spans="1:9" ht="13.95" customHeight="1">
      <c r="A185" s="1123"/>
      <c r="B185" s="1123"/>
      <c r="E185" s="1125"/>
      <c r="F185" s="1125"/>
      <c r="I185" s="1123"/>
    </row>
    <row r="186" spans="1:9">
      <c r="A186" s="1250" t="s">
        <v>347</v>
      </c>
      <c r="B186" s="1250"/>
      <c r="C186" s="1250"/>
      <c r="D186" s="1250"/>
      <c r="E186" s="1250"/>
      <c r="F186" s="1250"/>
      <c r="G186" s="1250"/>
      <c r="H186" s="815"/>
      <c r="I186" s="935"/>
    </row>
    <row r="187" spans="1:9" ht="12" customHeight="1">
      <c r="D187" s="1125"/>
      <c r="E187" s="1125"/>
      <c r="F187" s="1125"/>
      <c r="I187" s="1123"/>
    </row>
    <row r="188" spans="1:9">
      <c r="B188" s="1253" t="s">
        <v>348</v>
      </c>
      <c r="C188" s="1253"/>
      <c r="D188" s="1253"/>
      <c r="E188" s="1253"/>
      <c r="F188" s="1253"/>
      <c r="I188" s="1123"/>
    </row>
    <row r="189" spans="1:9">
      <c r="B189" s="1127" t="s">
        <v>349</v>
      </c>
      <c r="C189" s="1127"/>
      <c r="D189" s="1127"/>
      <c r="E189" s="1127"/>
      <c r="F189" s="1127"/>
      <c r="I189" s="1123"/>
    </row>
    <row r="190" spans="1:9" ht="12" customHeight="1">
      <c r="A190" s="1122"/>
      <c r="B190" s="1122"/>
      <c r="C190" s="1122"/>
      <c r="I190" s="1123"/>
    </row>
    <row r="191" spans="1:9">
      <c r="A191" s="1250" t="s">
        <v>350</v>
      </c>
      <c r="B191" s="1250"/>
      <c r="C191" s="1250"/>
      <c r="D191" s="1250"/>
      <c r="E191" s="1250"/>
      <c r="F191" s="1250"/>
      <c r="G191" s="1250"/>
      <c r="H191" s="815"/>
      <c r="I191" s="935"/>
    </row>
    <row r="192" spans="1:9" ht="12" customHeight="1">
      <c r="A192" s="274"/>
      <c r="B192" s="274"/>
      <c r="E192" s="274"/>
      <c r="I192" s="1123"/>
    </row>
    <row r="193" spans="1:9" ht="13.95" customHeight="1">
      <c r="A193" s="274"/>
      <c r="B193" s="274"/>
      <c r="D193" s="1249" t="s">
        <v>351</v>
      </c>
      <c r="E193" s="1249"/>
      <c r="F193" s="1249"/>
      <c r="I193" s="1123"/>
    </row>
    <row r="194" spans="1:9">
      <c r="A194" s="274"/>
      <c r="B194" s="274"/>
      <c r="D194" s="1249"/>
      <c r="E194" s="1249"/>
      <c r="F194" s="1249"/>
      <c r="I194" s="1123"/>
    </row>
    <row r="195" spans="1:9">
      <c r="A195" s="274"/>
      <c r="B195" s="274"/>
      <c r="D195" s="1253" t="s">
        <v>352</v>
      </c>
      <c r="E195" s="1253"/>
      <c r="F195" s="1253"/>
      <c r="I195" s="1123"/>
    </row>
    <row r="196" spans="1:9">
      <c r="A196" s="274"/>
      <c r="B196" s="274"/>
      <c r="D196" s="1127"/>
      <c r="E196" s="1127"/>
      <c r="F196" s="1127"/>
      <c r="I196" s="1123"/>
    </row>
    <row r="197" spans="1:9">
      <c r="A197" s="274"/>
      <c r="B197" s="338" t="s">
        <v>309</v>
      </c>
      <c r="D197" s="1264" t="s">
        <v>353</v>
      </c>
      <c r="E197" s="1264"/>
      <c r="F197" s="1264"/>
      <c r="I197" s="1123"/>
    </row>
    <row r="198" spans="1:9">
      <c r="A198" s="274"/>
      <c r="B198" s="274"/>
      <c r="D198" s="1265" t="s">
        <v>354</v>
      </c>
      <c r="E198" s="1265"/>
      <c r="F198" s="1265"/>
      <c r="I198" s="1123"/>
    </row>
    <row r="199" spans="1:9">
      <c r="A199" s="274"/>
      <c r="B199" s="274"/>
      <c r="D199" s="55" t="s">
        <v>355</v>
      </c>
      <c r="E199" s="1266" t="s">
        <v>356</v>
      </c>
      <c r="F199" s="1266"/>
      <c r="I199" s="1123"/>
    </row>
    <row r="200" spans="1:9">
      <c r="A200" s="274"/>
      <c r="B200" s="274"/>
      <c r="D200" s="2"/>
      <c r="E200" s="2"/>
      <c r="F200" s="2"/>
      <c r="I200" s="1123"/>
    </row>
    <row r="201" spans="1:9">
      <c r="A201" s="274"/>
      <c r="B201" s="338" t="s">
        <v>314</v>
      </c>
      <c r="D201" s="1265" t="s">
        <v>357</v>
      </c>
      <c r="E201" s="1265"/>
      <c r="F201" s="1265"/>
      <c r="I201" s="1123"/>
    </row>
    <row r="202" spans="1:9">
      <c r="A202" s="274"/>
      <c r="B202" s="274"/>
      <c r="D202" s="1264" t="s">
        <v>354</v>
      </c>
      <c r="E202" s="1264"/>
      <c r="F202" s="1264"/>
      <c r="I202" s="1123"/>
    </row>
    <row r="203" spans="1:9">
      <c r="A203" s="274"/>
      <c r="B203" s="274"/>
      <c r="D203" s="38" t="s">
        <v>358</v>
      </c>
      <c r="E203" s="1266" t="s">
        <v>359</v>
      </c>
      <c r="F203" s="1266"/>
      <c r="I203" s="1123"/>
    </row>
    <row r="204" spans="1:9">
      <c r="A204" s="274"/>
      <c r="B204" s="274"/>
      <c r="D204" s="2"/>
      <c r="E204" s="2"/>
      <c r="F204" s="2"/>
      <c r="I204" s="1123"/>
    </row>
    <row r="205" spans="1:9">
      <c r="A205" s="274"/>
      <c r="B205" s="338" t="s">
        <v>314</v>
      </c>
      <c r="D205" s="1265" t="s">
        <v>360</v>
      </c>
      <c r="E205" s="1265"/>
      <c r="F205" s="1265"/>
      <c r="I205" s="1123"/>
    </row>
    <row r="206" spans="1:9">
      <c r="A206" s="274"/>
      <c r="B206" s="274"/>
      <c r="D206" s="1264" t="s">
        <v>354</v>
      </c>
      <c r="E206" s="1264"/>
      <c r="F206" s="1264"/>
      <c r="I206" s="1123"/>
    </row>
    <row r="207" spans="1:9">
      <c r="A207" s="274"/>
      <c r="B207" s="274"/>
      <c r="D207" s="38" t="s">
        <v>355</v>
      </c>
      <c r="E207" s="1266" t="s">
        <v>361</v>
      </c>
      <c r="F207" s="1266"/>
      <c r="I207" s="1123"/>
    </row>
    <row r="208" spans="1:9">
      <c r="A208" s="274"/>
      <c r="B208" s="274"/>
      <c r="D208" s="1127"/>
      <c r="E208" s="1127"/>
      <c r="F208" s="1127"/>
      <c r="I208" s="1123"/>
    </row>
    <row r="209" spans="1:9" ht="14.25" customHeight="1">
      <c r="A209" s="337"/>
      <c r="B209" s="338" t="s">
        <v>314</v>
      </c>
      <c r="D209" s="258" t="s">
        <v>362</v>
      </c>
      <c r="E209" s="1135"/>
      <c r="F209" s="1135"/>
      <c r="I209" s="1123"/>
    </row>
    <row r="210" spans="1:9" ht="14.4">
      <c r="A210" s="337"/>
      <c r="B210" s="337"/>
      <c r="D210" s="1264" t="s">
        <v>354</v>
      </c>
      <c r="E210" s="1264"/>
      <c r="F210" s="1264"/>
      <c r="I210" s="1123"/>
    </row>
    <row r="211" spans="1:9">
      <c r="D211" s="1135"/>
      <c r="E211" s="1266" t="s">
        <v>363</v>
      </c>
      <c r="F211" s="1266"/>
      <c r="I211" s="1123"/>
    </row>
    <row r="212" spans="1:9">
      <c r="D212" s="1130"/>
      <c r="I212" s="1123"/>
    </row>
    <row r="213" spans="1:9">
      <c r="B213" s="338" t="s">
        <v>314</v>
      </c>
      <c r="D213" s="1265" t="s">
        <v>364</v>
      </c>
      <c r="E213" s="1265"/>
      <c r="F213" s="1265"/>
      <c r="I213" s="1123"/>
    </row>
    <row r="214" spans="1:9">
      <c r="D214" s="1264" t="s">
        <v>354</v>
      </c>
      <c r="E214" s="1264"/>
      <c r="F214" s="1264"/>
      <c r="I214" s="1123"/>
    </row>
    <row r="215" spans="1:9">
      <c r="D215" s="38" t="s">
        <v>355</v>
      </c>
      <c r="E215" s="1266" t="s">
        <v>365</v>
      </c>
      <c r="F215" s="1266"/>
      <c r="I215" s="1123"/>
    </row>
    <row r="216" spans="1:9">
      <c r="D216" s="1115"/>
      <c r="E216" s="1115"/>
      <c r="F216" s="1115"/>
      <c r="I216" s="1123"/>
    </row>
    <row r="217" spans="1:9" ht="14.4">
      <c r="A217" s="337"/>
      <c r="B217" s="338" t="s">
        <v>314</v>
      </c>
      <c r="D217" s="1247" t="s">
        <v>366</v>
      </c>
      <c r="E217" s="1247"/>
      <c r="F217" s="1247"/>
      <c r="I217" s="1123"/>
    </row>
    <row r="218" spans="1:9" ht="14.7" customHeight="1">
      <c r="A218" s="337"/>
      <c r="B218" s="272"/>
      <c r="D218" s="1247"/>
      <c r="E218" s="1247"/>
      <c r="F218" s="1247"/>
      <c r="I218" s="1123"/>
    </row>
    <row r="219" spans="1:9" ht="14.4">
      <c r="A219" s="337"/>
      <c r="D219" s="1247"/>
      <c r="E219" s="1247"/>
      <c r="F219" s="1247"/>
      <c r="I219" s="1123"/>
    </row>
    <row r="220" spans="1:9" ht="14.4">
      <c r="A220" s="337"/>
      <c r="D220" s="1247"/>
      <c r="E220" s="1247"/>
      <c r="F220" s="1247"/>
      <c r="I220" s="1123"/>
    </row>
    <row r="221" spans="1:9">
      <c r="D221" s="1115"/>
      <c r="E221" s="1115"/>
      <c r="F221" s="1115"/>
      <c r="I221" s="1123"/>
    </row>
    <row r="222" spans="1:9">
      <c r="A222" s="1250" t="s">
        <v>367</v>
      </c>
      <c r="B222" s="1250"/>
      <c r="C222" s="1250"/>
      <c r="D222" s="1250"/>
      <c r="E222" s="1250"/>
      <c r="F222" s="1250"/>
      <c r="G222" s="1250"/>
      <c r="H222" s="815"/>
      <c r="I222" s="935"/>
    </row>
    <row r="223" spans="1:9" ht="12" customHeight="1">
      <c r="D223" s="1125"/>
      <c r="E223" s="1125"/>
      <c r="F223" s="1125"/>
      <c r="I223" s="1123"/>
    </row>
    <row r="224" spans="1:9">
      <c r="C224" s="339"/>
      <c r="D224" s="1255" t="s">
        <v>368</v>
      </c>
      <c r="E224" s="1255"/>
      <c r="F224" s="1255"/>
      <c r="I224" s="1123"/>
    </row>
    <row r="225" spans="1:9">
      <c r="A225" s="1122"/>
      <c r="B225" s="1122"/>
      <c r="C225" s="1122"/>
      <c r="D225" s="1248" t="s">
        <v>369</v>
      </c>
      <c r="E225" s="1248"/>
      <c r="F225" s="1248"/>
      <c r="I225" s="1123"/>
    </row>
    <row r="226" spans="1:9" ht="12" customHeight="1">
      <c r="A226" s="1123"/>
      <c r="B226" s="1123"/>
      <c r="C226" s="1123"/>
      <c r="I226" s="1123"/>
    </row>
    <row r="227" spans="1:9" ht="13.95" customHeight="1">
      <c r="A227" s="1123"/>
      <c r="C227" s="1123"/>
      <c r="D227" s="1255" t="s">
        <v>370</v>
      </c>
      <c r="E227" s="1255"/>
      <c r="F227" s="1255"/>
      <c r="I227" s="1123"/>
    </row>
    <row r="228" spans="1:9" ht="14.4">
      <c r="A228" s="337"/>
      <c r="B228" s="338" t="s">
        <v>309</v>
      </c>
      <c r="D228" s="1247" t="s">
        <v>371</v>
      </c>
      <c r="E228" s="1247"/>
      <c r="F228" s="1247"/>
      <c r="I228" s="1123"/>
    </row>
    <row r="229" spans="1:9" ht="14.25" customHeight="1">
      <c r="A229" s="337"/>
      <c r="B229" s="337"/>
      <c r="D229" s="1247"/>
      <c r="E229" s="1247"/>
      <c r="F229" s="1247"/>
      <c r="I229" s="1123"/>
    </row>
    <row r="230" spans="1:9" ht="14.25" customHeight="1">
      <c r="A230" s="337"/>
      <c r="B230" s="337"/>
      <c r="D230" s="1247"/>
      <c r="E230" s="1247"/>
      <c r="F230" s="1247"/>
      <c r="I230" s="1123"/>
    </row>
    <row r="231" spans="1:9" ht="14.4">
      <c r="A231" s="337"/>
      <c r="B231" s="337"/>
      <c r="D231" s="1247"/>
      <c r="E231" s="1247"/>
      <c r="F231" s="1247"/>
      <c r="I231" s="1123"/>
    </row>
    <row r="232" spans="1:9" ht="14.4">
      <c r="A232" s="337"/>
      <c r="B232" s="337"/>
      <c r="D232" s="1124"/>
      <c r="E232" s="1124"/>
      <c r="F232" s="1124"/>
      <c r="I232" s="1123"/>
    </row>
    <row r="233" spans="1:9" ht="14.4">
      <c r="A233" s="337"/>
      <c r="B233" s="338" t="s">
        <v>309</v>
      </c>
      <c r="D233" s="1247" t="s">
        <v>372</v>
      </c>
      <c r="E233" s="1247"/>
      <c r="F233" s="1247"/>
      <c r="I233" s="1123"/>
    </row>
    <row r="234" spans="1:9" ht="14.4">
      <c r="A234" s="337"/>
      <c r="B234" s="337"/>
      <c r="D234" s="1247"/>
      <c r="E234" s="1247"/>
      <c r="F234" s="1247"/>
      <c r="I234" s="1123"/>
    </row>
    <row r="235" spans="1:9" ht="14.4">
      <c r="A235" s="337"/>
      <c r="B235" s="337"/>
      <c r="D235" s="1247"/>
      <c r="E235" s="1247"/>
      <c r="F235" s="1247"/>
      <c r="I235" s="1123"/>
    </row>
    <row r="236" spans="1:9" ht="14.4">
      <c r="A236" s="337"/>
      <c r="B236" s="337"/>
      <c r="D236" s="1247"/>
      <c r="E236" s="1247"/>
      <c r="F236" s="1247"/>
      <c r="I236" s="1123"/>
    </row>
    <row r="237" spans="1:9" ht="14.25" customHeight="1">
      <c r="A237" s="337"/>
      <c r="B237" s="337"/>
      <c r="D237" s="1247"/>
      <c r="E237" s="1247"/>
      <c r="F237" s="1247"/>
      <c r="I237" s="1123"/>
    </row>
    <row r="238" spans="1:9" ht="14.25" customHeight="1">
      <c r="A238" s="337"/>
      <c r="B238" s="337"/>
      <c r="D238" s="1124"/>
      <c r="E238" s="1124"/>
      <c r="F238" s="1124"/>
      <c r="I238" s="1123"/>
    </row>
    <row r="239" spans="1:9" ht="14.4">
      <c r="A239" s="337"/>
      <c r="B239" s="337"/>
      <c r="D239" s="1247" t="s">
        <v>373</v>
      </c>
      <c r="E239" s="1247"/>
      <c r="F239" s="1247"/>
      <c r="I239" s="1123"/>
    </row>
    <row r="240" spans="1:9" ht="14.4">
      <c r="A240" s="337"/>
      <c r="B240" s="337"/>
      <c r="D240" s="1247"/>
      <c r="E240" s="1247"/>
      <c r="F240" s="1247"/>
      <c r="I240" s="1123"/>
    </row>
    <row r="241" spans="1:9" ht="14.4">
      <c r="A241" s="337"/>
      <c r="B241" s="337"/>
      <c r="D241" s="1247"/>
      <c r="E241" s="1247"/>
      <c r="F241" s="1247"/>
      <c r="I241" s="1123"/>
    </row>
    <row r="242" spans="1:9" ht="14.4">
      <c r="A242" s="337"/>
      <c r="B242" s="337"/>
      <c r="D242" s="1247"/>
      <c r="E242" s="1247"/>
      <c r="F242" s="1247"/>
      <c r="I242" s="1123"/>
    </row>
    <row r="243" spans="1:9" ht="14.4">
      <c r="A243" s="337"/>
      <c r="B243" s="337"/>
      <c r="D243" s="1247"/>
      <c r="E243" s="1247"/>
      <c r="F243" s="1247"/>
      <c r="I243" s="1123"/>
    </row>
    <row r="244" spans="1:9" ht="14.4">
      <c r="A244" s="337"/>
      <c r="B244" s="337"/>
      <c r="D244" s="1125"/>
      <c r="E244" s="1125"/>
      <c r="F244" s="1125"/>
      <c r="I244" s="1123"/>
    </row>
    <row r="245" spans="1:9" ht="14.4">
      <c r="A245" s="337"/>
      <c r="B245" s="338" t="s">
        <v>309</v>
      </c>
      <c r="D245" s="1247" t="s">
        <v>374</v>
      </c>
      <c r="E245" s="1247"/>
      <c r="F245" s="1247"/>
      <c r="I245" s="1123"/>
    </row>
    <row r="246" spans="1:9" ht="14.4">
      <c r="A246" s="337"/>
      <c r="B246" s="337"/>
      <c r="D246" s="1247"/>
      <c r="E246" s="1247"/>
      <c r="F246" s="1247"/>
      <c r="I246" s="1123"/>
    </row>
    <row r="247" spans="1:9" ht="14.4">
      <c r="A247" s="337"/>
      <c r="B247" s="337"/>
      <c r="D247" s="1247"/>
      <c r="E247" s="1247"/>
      <c r="F247" s="1247"/>
      <c r="I247" s="1123"/>
    </row>
    <row r="248" spans="1:9" ht="14.4">
      <c r="A248" s="337"/>
      <c r="B248" s="337"/>
      <c r="E248" s="823" t="s">
        <v>375</v>
      </c>
      <c r="I248" s="1123"/>
    </row>
    <row r="249" spans="1:9" ht="14.4">
      <c r="A249" s="337"/>
      <c r="B249" s="337"/>
      <c r="D249" s="1125"/>
      <c r="E249" s="1125"/>
      <c r="F249" s="1125"/>
      <c r="I249" s="1123"/>
    </row>
    <row r="250" spans="1:9" ht="14.7" customHeight="1">
      <c r="A250" s="337"/>
      <c r="B250" s="338" t="s">
        <v>309</v>
      </c>
      <c r="D250" s="1247" t="s">
        <v>376</v>
      </c>
      <c r="E250" s="1247"/>
      <c r="F250" s="1247"/>
      <c r="I250" s="1123"/>
    </row>
    <row r="251" spans="1:9" ht="14.4">
      <c r="A251" s="337"/>
      <c r="B251" s="337"/>
      <c r="D251" s="1247"/>
      <c r="E251" s="1247"/>
      <c r="F251" s="1247"/>
      <c r="I251" s="1123"/>
    </row>
    <row r="252" spans="1:9" ht="14.4">
      <c r="A252" s="337"/>
      <c r="B252" s="337"/>
      <c r="D252" s="1247"/>
      <c r="E252" s="1247"/>
      <c r="F252" s="1247"/>
      <c r="I252" s="1123"/>
    </row>
    <row r="253" spans="1:9" ht="14.4">
      <c r="A253" s="337"/>
      <c r="B253" s="337"/>
      <c r="D253" s="1247"/>
      <c r="E253" s="1247"/>
      <c r="F253" s="1247"/>
      <c r="I253" s="1123"/>
    </row>
    <row r="254" spans="1:9" ht="14.4">
      <c r="A254" s="337"/>
      <c r="B254" s="337"/>
      <c r="D254" s="1247"/>
      <c r="E254" s="1247"/>
      <c r="F254" s="1247"/>
      <c r="I254" s="1123"/>
    </row>
    <row r="255" spans="1:9" ht="14.4">
      <c r="A255" s="337"/>
      <c r="B255" s="337"/>
      <c r="D255" s="1124"/>
      <c r="E255" s="1124"/>
      <c r="F255" s="1124"/>
      <c r="I255" s="1123"/>
    </row>
    <row r="256" spans="1:9" ht="14.4">
      <c r="A256" s="337"/>
      <c r="B256" s="338" t="s">
        <v>309</v>
      </c>
      <c r="D256" s="1127" t="s">
        <v>377</v>
      </c>
      <c r="E256" s="1124"/>
      <c r="F256" s="1124"/>
      <c r="I256" s="1123"/>
    </row>
    <row r="257" spans="1:9" ht="14.4">
      <c r="A257" s="337"/>
      <c r="B257" s="337"/>
      <c r="E257" s="823" t="s">
        <v>378</v>
      </c>
      <c r="I257" s="1123"/>
    </row>
    <row r="258" spans="1:9">
      <c r="D258" s="1125"/>
      <c r="E258" s="1125"/>
      <c r="F258" s="1125"/>
      <c r="I258" s="1123"/>
    </row>
    <row r="259" spans="1:9" ht="14.4">
      <c r="A259" s="337"/>
      <c r="B259" s="338" t="s">
        <v>309</v>
      </c>
      <c r="D259" s="1247" t="s">
        <v>379</v>
      </c>
      <c r="E259" s="1247"/>
      <c r="F259" s="1247"/>
      <c r="I259" s="1123"/>
    </row>
    <row r="260" spans="1:9" ht="14.4">
      <c r="A260" s="337"/>
      <c r="B260" s="337"/>
      <c r="D260" s="1247"/>
      <c r="E260" s="1247"/>
      <c r="F260" s="1247"/>
      <c r="I260" s="1123"/>
    </row>
    <row r="261" spans="1:9">
      <c r="D261" s="343"/>
      <c r="I261" s="1123"/>
    </row>
    <row r="262" spans="1:9">
      <c r="A262" s="1250" t="s">
        <v>380</v>
      </c>
      <c r="B262" s="1250"/>
      <c r="C262" s="1250"/>
      <c r="D262" s="1250"/>
      <c r="E262" s="1250"/>
      <c r="F262" s="1250"/>
      <c r="G262" s="1250"/>
      <c r="H262" s="815"/>
      <c r="I262" s="935"/>
    </row>
    <row r="263" spans="1:9">
      <c r="D263" s="343"/>
      <c r="I263" s="1123"/>
    </row>
    <row r="264" spans="1:9">
      <c r="C264" s="339"/>
      <c r="D264" s="1255" t="s">
        <v>381</v>
      </c>
      <c r="E264" s="1255"/>
      <c r="F264" s="1255"/>
      <c r="I264" s="1123"/>
    </row>
    <row r="265" spans="1:9">
      <c r="A265" s="1122"/>
      <c r="B265" s="1122"/>
      <c r="C265" s="1122"/>
      <c r="D265" s="1125"/>
      <c r="E265" s="1125"/>
      <c r="F265" s="1125"/>
      <c r="I265" s="1123"/>
    </row>
    <row r="266" spans="1:9">
      <c r="A266" s="336"/>
      <c r="B266" s="336"/>
      <c r="C266" s="336"/>
      <c r="D266" s="1255" t="s">
        <v>382</v>
      </c>
      <c r="E266" s="1255"/>
      <c r="F266" s="1255"/>
      <c r="I266" s="1123"/>
    </row>
    <row r="267" spans="1:9" ht="14.7" customHeight="1">
      <c r="A267" s="337"/>
      <c r="B267" s="338" t="s">
        <v>309</v>
      </c>
      <c r="D267" s="1247" t="s">
        <v>383</v>
      </c>
      <c r="E267" s="1247"/>
      <c r="F267" s="1247"/>
      <c r="I267" s="1123"/>
    </row>
    <row r="268" spans="1:9">
      <c r="D268" s="1247"/>
      <c r="E268" s="1247"/>
      <c r="F268" s="1247"/>
      <c r="I268" s="1123"/>
    </row>
    <row r="269" spans="1:9">
      <c r="E269" s="823" t="s">
        <v>384</v>
      </c>
      <c r="I269" s="1123"/>
    </row>
    <row r="270" spans="1:9">
      <c r="D270" s="1125"/>
      <c r="E270" s="1125"/>
      <c r="F270" s="1125"/>
      <c r="I270" s="1123"/>
    </row>
    <row r="271" spans="1:9" ht="14.7" customHeight="1">
      <c r="A271" s="337"/>
      <c r="B271" s="338" t="s">
        <v>314</v>
      </c>
      <c r="D271" s="1247" t="s">
        <v>385</v>
      </c>
      <c r="E271" s="1247"/>
      <c r="F271" s="1247"/>
      <c r="I271" s="1123"/>
    </row>
    <row r="272" spans="1:9">
      <c r="D272" s="1247"/>
      <c r="E272" s="1247"/>
      <c r="F272" s="1247"/>
      <c r="I272" s="1123"/>
    </row>
    <row r="273" spans="1:9">
      <c r="D273" s="1247"/>
      <c r="E273" s="1247"/>
      <c r="F273" s="1247"/>
      <c r="I273" s="1123"/>
    </row>
    <row r="274" spans="1:9">
      <c r="D274" s="1247"/>
      <c r="E274" s="1247"/>
      <c r="F274" s="1247"/>
      <c r="I274" s="1123"/>
    </row>
    <row r="275" spans="1:9">
      <c r="D275" s="1247"/>
      <c r="E275" s="1247"/>
      <c r="F275" s="1247"/>
      <c r="I275" s="1123"/>
    </row>
    <row r="276" spans="1:9">
      <c r="D276" s="1247"/>
      <c r="E276" s="1247"/>
      <c r="F276" s="1247"/>
      <c r="I276" s="1123"/>
    </row>
    <row r="277" spans="1:9">
      <c r="D277" s="1125"/>
      <c r="E277" s="1125"/>
      <c r="F277" s="1125"/>
      <c r="I277" s="1123"/>
    </row>
    <row r="278" spans="1:9" ht="14.4">
      <c r="A278" s="337"/>
      <c r="B278" s="338" t="s">
        <v>314</v>
      </c>
      <c r="D278" s="1247" t="s">
        <v>386</v>
      </c>
      <c r="E278" s="1247"/>
      <c r="F278" s="1247"/>
      <c r="I278" s="1123"/>
    </row>
    <row r="279" spans="1:9">
      <c r="D279" s="1247"/>
      <c r="E279" s="1247"/>
      <c r="F279" s="1247"/>
      <c r="I279" s="1123"/>
    </row>
    <row r="280" spans="1:9">
      <c r="D280" s="1247"/>
      <c r="E280" s="1247"/>
      <c r="F280" s="1247"/>
      <c r="I280" s="1123"/>
    </row>
    <row r="281" spans="1:9">
      <c r="D281" s="344"/>
      <c r="E281" s="1125"/>
      <c r="F281" s="1125"/>
      <c r="I281" s="1123"/>
    </row>
    <row r="282" spans="1:9">
      <c r="A282" s="1250" t="s">
        <v>387</v>
      </c>
      <c r="B282" s="1250"/>
      <c r="C282" s="1250"/>
      <c r="D282" s="1250"/>
      <c r="E282" s="1250"/>
      <c r="F282" s="1250"/>
      <c r="G282" s="1250"/>
      <c r="H282" s="815"/>
      <c r="I282" s="935"/>
    </row>
    <row r="283" spans="1:9">
      <c r="D283" s="344"/>
      <c r="E283" s="1125"/>
      <c r="F283" s="1125"/>
      <c r="I283" s="1123"/>
    </row>
    <row r="284" spans="1:9">
      <c r="C284" s="1122"/>
      <c r="D284" s="1249" t="s">
        <v>388</v>
      </c>
      <c r="E284" s="1249"/>
      <c r="F284" s="1249"/>
      <c r="I284" s="1123"/>
    </row>
    <row r="285" spans="1:9">
      <c r="C285" s="1122"/>
      <c r="D285" s="1249"/>
      <c r="E285" s="1249"/>
      <c r="F285" s="1249"/>
      <c r="I285" s="1123"/>
    </row>
    <row r="286" spans="1:9">
      <c r="A286" s="336"/>
      <c r="B286" s="336"/>
      <c r="C286" s="336"/>
      <c r="D286" s="274"/>
      <c r="I286" s="1123"/>
    </row>
    <row r="287" spans="1:9">
      <c r="C287" s="336"/>
      <c r="D287" s="1255" t="s">
        <v>389</v>
      </c>
      <c r="E287" s="1255"/>
      <c r="F287" s="1255"/>
      <c r="I287" s="1123"/>
    </row>
    <row r="288" spans="1:9" ht="15.75" customHeight="1">
      <c r="A288" s="337"/>
      <c r="B288" s="337"/>
      <c r="D288" s="1262" t="s">
        <v>390</v>
      </c>
      <c r="E288" s="1262"/>
      <c r="F288" s="1262"/>
      <c r="I288" s="1123"/>
    </row>
    <row r="289" spans="1:9">
      <c r="E289" s="1125"/>
      <c r="F289" s="1125"/>
      <c r="I289" s="1123"/>
    </row>
    <row r="290" spans="1:9" ht="14.4">
      <c r="A290" s="337"/>
      <c r="B290" s="338" t="s">
        <v>314</v>
      </c>
      <c r="D290" s="1247" t="s">
        <v>391</v>
      </c>
      <c r="E290" s="1247"/>
      <c r="F290" s="1247"/>
      <c r="I290" s="1123"/>
    </row>
    <row r="291" spans="1:9" ht="14.4">
      <c r="A291" s="337"/>
      <c r="B291" s="337"/>
      <c r="D291" s="1247"/>
      <c r="E291" s="1247"/>
      <c r="F291" s="1247"/>
      <c r="I291" s="1123"/>
    </row>
    <row r="292" spans="1:9">
      <c r="D292" s="1125"/>
      <c r="E292" s="1125"/>
      <c r="F292" s="1125"/>
      <c r="I292" s="1123"/>
    </row>
    <row r="293" spans="1:9" ht="14.4">
      <c r="A293" s="337"/>
      <c r="B293" s="338" t="s">
        <v>314</v>
      </c>
      <c r="D293" s="1247" t="s">
        <v>392</v>
      </c>
      <c r="E293" s="1247"/>
      <c r="F293" s="1247"/>
      <c r="I293" s="1123"/>
    </row>
    <row r="294" spans="1:9" ht="14.4">
      <c r="A294" s="337"/>
      <c r="B294" s="337"/>
      <c r="D294" s="1247"/>
      <c r="E294" s="1247"/>
      <c r="F294" s="1247"/>
      <c r="I294" s="1123"/>
    </row>
    <row r="295" spans="1:9" ht="14.4">
      <c r="A295" s="337"/>
      <c r="B295" s="337"/>
      <c r="D295" s="1247"/>
      <c r="E295" s="1247"/>
      <c r="F295" s="1247"/>
      <c r="I295" s="1123"/>
    </row>
    <row r="296" spans="1:9">
      <c r="D296" s="1125"/>
      <c r="E296" s="1125"/>
      <c r="F296" s="1125"/>
      <c r="I296" s="1123"/>
    </row>
    <row r="297" spans="1:9" ht="14.4">
      <c r="A297" s="337"/>
      <c r="B297" s="338" t="s">
        <v>314</v>
      </c>
      <c r="D297" s="1247" t="s">
        <v>393</v>
      </c>
      <c r="E297" s="1247"/>
      <c r="F297" s="1247"/>
      <c r="I297" s="1123"/>
    </row>
    <row r="298" spans="1:9" ht="14.4">
      <c r="A298" s="337"/>
      <c r="B298" s="337"/>
      <c r="D298" s="1247"/>
      <c r="E298" s="1247"/>
      <c r="F298" s="1247"/>
      <c r="I298" s="1123"/>
    </row>
    <row r="299" spans="1:9">
      <c r="A299" s="1123"/>
      <c r="B299" s="1123"/>
      <c r="E299" s="1125"/>
      <c r="F299" s="1125"/>
      <c r="I299" s="1123"/>
    </row>
    <row r="300" spans="1:9">
      <c r="A300" s="1250" t="s">
        <v>394</v>
      </c>
      <c r="B300" s="1250"/>
      <c r="C300" s="1250"/>
      <c r="D300" s="1250"/>
      <c r="E300" s="1250"/>
      <c r="F300" s="1250"/>
      <c r="G300" s="1250"/>
      <c r="H300" s="815"/>
      <c r="I300" s="935"/>
    </row>
    <row r="301" spans="1:9">
      <c r="A301" s="1123"/>
      <c r="B301" s="1123"/>
      <c r="D301" s="1125"/>
      <c r="E301" s="1125"/>
      <c r="F301" s="1125"/>
      <c r="I301" s="1123"/>
    </row>
    <row r="302" spans="1:9">
      <c r="C302" s="1123"/>
      <c r="D302" s="1255" t="s">
        <v>395</v>
      </c>
      <c r="E302" s="1255"/>
      <c r="F302" s="1255"/>
      <c r="I302" s="1123"/>
    </row>
    <row r="303" spans="1:9">
      <c r="C303" s="1123"/>
      <c r="D303" s="1248" t="s">
        <v>396</v>
      </c>
      <c r="E303" s="1248"/>
      <c r="F303" s="1248"/>
      <c r="I303" s="1123"/>
    </row>
    <row r="304" spans="1:9">
      <c r="C304" s="1123"/>
      <c r="D304" s="345"/>
      <c r="I304" s="1123"/>
    </row>
    <row r="305" spans="1:9">
      <c r="B305" s="338" t="s">
        <v>314</v>
      </c>
      <c r="D305" s="1248" t="s">
        <v>397</v>
      </c>
      <c r="E305" s="1248"/>
      <c r="F305" s="1248"/>
      <c r="I305" s="1123"/>
    </row>
    <row r="306" spans="1:9" ht="14.4">
      <c r="A306" s="337"/>
      <c r="B306" s="337"/>
      <c r="D306" s="346"/>
      <c r="E306" s="347"/>
      <c r="F306" s="347"/>
      <c r="I306" s="1123"/>
    </row>
    <row r="307" spans="1:9" ht="13.95" customHeight="1">
      <c r="B307" s="338" t="s">
        <v>314</v>
      </c>
      <c r="D307" s="1257" t="s">
        <v>398</v>
      </c>
      <c r="E307" s="1257"/>
      <c r="F307" s="1257"/>
      <c r="I307" s="1123"/>
    </row>
    <row r="308" spans="1:9" ht="14.4">
      <c r="A308" s="337"/>
      <c r="B308" s="337"/>
      <c r="D308" s="1257"/>
      <c r="E308" s="1257"/>
      <c r="F308" s="1257"/>
      <c r="I308" s="1123"/>
    </row>
    <row r="309" spans="1:9" ht="14.4">
      <c r="A309" s="337"/>
      <c r="B309" s="337"/>
      <c r="D309" s="1257"/>
      <c r="E309" s="1257"/>
      <c r="F309" s="1257"/>
      <c r="I309" s="1123"/>
    </row>
    <row r="310" spans="1:9" ht="14.4">
      <c r="A310" s="337"/>
      <c r="B310" s="337"/>
      <c r="D310" s="1257"/>
      <c r="E310" s="1257"/>
      <c r="F310" s="1257"/>
      <c r="I310" s="1123"/>
    </row>
    <row r="311" spans="1:9" ht="14.4">
      <c r="A311" s="337"/>
      <c r="B311" s="337"/>
      <c r="D311" s="1257"/>
      <c r="E311" s="1257"/>
      <c r="F311" s="1257"/>
      <c r="I311" s="1123"/>
    </row>
    <row r="312" spans="1:9" ht="14.4">
      <c r="A312" s="337"/>
      <c r="B312" s="337"/>
      <c r="D312" s="346"/>
      <c r="E312" s="347"/>
      <c r="F312" s="347"/>
      <c r="I312" s="1123"/>
    </row>
    <row r="313" spans="1:9" ht="13.95" customHeight="1">
      <c r="B313" s="338" t="s">
        <v>314</v>
      </c>
      <c r="D313" s="1257" t="s">
        <v>399</v>
      </c>
      <c r="E313" s="1257"/>
      <c r="F313" s="1257"/>
      <c r="I313" s="1123"/>
    </row>
    <row r="314" spans="1:9">
      <c r="D314" s="1257"/>
      <c r="E314" s="1257"/>
      <c r="F314" s="1257"/>
      <c r="I314" s="1123"/>
    </row>
    <row r="315" spans="1:9" ht="14.4">
      <c r="A315" s="337"/>
      <c r="B315" s="337"/>
      <c r="D315" s="346"/>
      <c r="E315" s="347"/>
      <c r="F315" s="347"/>
      <c r="I315" s="1123"/>
    </row>
    <row r="316" spans="1:9">
      <c r="B316" s="338" t="s">
        <v>314</v>
      </c>
      <c r="D316" s="1248" t="s">
        <v>400</v>
      </c>
      <c r="E316" s="1248"/>
      <c r="F316" s="1248"/>
      <c r="I316" s="1123"/>
    </row>
    <row r="317" spans="1:9">
      <c r="E317" s="1125"/>
      <c r="F317" s="1125"/>
      <c r="I317" s="1123"/>
    </row>
    <row r="318" spans="1:9" ht="14.4">
      <c r="A318" s="337"/>
      <c r="B318" s="338" t="s">
        <v>314</v>
      </c>
      <c r="D318" s="1247" t="s">
        <v>401</v>
      </c>
      <c r="E318" s="1247"/>
      <c r="F318" s="1247"/>
      <c r="I318" s="1123"/>
    </row>
    <row r="319" spans="1:9" ht="14.4">
      <c r="A319" s="337"/>
      <c r="B319" s="337"/>
      <c r="D319" s="1247"/>
      <c r="E319" s="1247"/>
      <c r="F319" s="1247"/>
      <c r="I319" s="1123"/>
    </row>
    <row r="320" spans="1:9" ht="14.4">
      <c r="A320" s="337"/>
      <c r="B320" s="337"/>
      <c r="D320" s="1247"/>
      <c r="E320" s="1247"/>
      <c r="F320" s="1247"/>
      <c r="I320" s="1123"/>
    </row>
    <row r="321" spans="1:9" ht="14.4">
      <c r="A321" s="337"/>
      <c r="B321" s="337"/>
      <c r="D321" s="1247"/>
      <c r="E321" s="1247"/>
      <c r="F321" s="1247"/>
      <c r="I321" s="1123"/>
    </row>
    <row r="322" spans="1:9" ht="14.4">
      <c r="A322" s="337"/>
      <c r="B322" s="337"/>
      <c r="D322" s="1247"/>
      <c r="E322" s="1247"/>
      <c r="F322" s="1247"/>
      <c r="I322" s="1123"/>
    </row>
    <row r="323" spans="1:9" ht="14.4">
      <c r="A323" s="337"/>
      <c r="B323" s="337"/>
      <c r="D323" s="1247"/>
      <c r="E323" s="1247"/>
      <c r="F323" s="1247"/>
      <c r="I323" s="1123"/>
    </row>
    <row r="324" spans="1:9" ht="14.4">
      <c r="A324" s="337"/>
      <c r="B324" s="337"/>
      <c r="D324" s="1247"/>
      <c r="E324" s="1247"/>
      <c r="F324" s="1247"/>
      <c r="I324" s="1123"/>
    </row>
    <row r="325" spans="1:9" ht="14.4">
      <c r="A325" s="337"/>
      <c r="B325" s="337"/>
      <c r="D325" s="1247"/>
      <c r="E325" s="1247"/>
      <c r="F325" s="1247"/>
      <c r="I325" s="1123"/>
    </row>
    <row r="326" spans="1:9" ht="14.4">
      <c r="A326" s="337"/>
      <c r="B326" s="337"/>
      <c r="D326" s="1247"/>
      <c r="E326" s="1247"/>
      <c r="F326" s="1247"/>
      <c r="I326" s="1123"/>
    </row>
    <row r="327" spans="1:9" ht="14.4">
      <c r="A327" s="337"/>
      <c r="B327" s="337"/>
      <c r="D327" s="1247"/>
      <c r="E327" s="1247"/>
      <c r="F327" s="1247"/>
      <c r="I327" s="1123"/>
    </row>
    <row r="328" spans="1:9" ht="14.4">
      <c r="A328" s="337"/>
      <c r="B328" s="337"/>
      <c r="D328" s="1247"/>
      <c r="E328" s="1247"/>
      <c r="F328" s="1247"/>
      <c r="I328" s="1123"/>
    </row>
    <row r="329" spans="1:9" ht="14.4">
      <c r="A329" s="337"/>
      <c r="B329" s="337"/>
      <c r="D329" s="1247"/>
      <c r="E329" s="1247"/>
      <c r="F329" s="1247"/>
      <c r="I329" s="1123"/>
    </row>
    <row r="330" spans="1:9" ht="14.4">
      <c r="A330" s="337"/>
      <c r="B330" s="337"/>
      <c r="D330" s="1247"/>
      <c r="E330" s="1247"/>
      <c r="F330" s="1247"/>
      <c r="I330" s="1123"/>
    </row>
    <row r="331" spans="1:9" ht="14.4">
      <c r="A331" s="337"/>
      <c r="B331" s="337"/>
      <c r="D331" s="1247"/>
      <c r="E331" s="1247"/>
      <c r="F331" s="1247"/>
      <c r="I331" s="1123"/>
    </row>
    <row r="332" spans="1:9" ht="14.4">
      <c r="A332" s="337"/>
      <c r="B332" s="337"/>
      <c r="D332" s="1247"/>
      <c r="E332" s="1247"/>
      <c r="F332" s="1247"/>
      <c r="I332" s="1123"/>
    </row>
    <row r="333" spans="1:9">
      <c r="D333" s="1125"/>
      <c r="E333" s="1125"/>
      <c r="F333" s="1125"/>
      <c r="I333" s="1123"/>
    </row>
    <row r="334" spans="1:9" ht="14.4">
      <c r="A334" s="337"/>
      <c r="B334" s="338" t="s">
        <v>314</v>
      </c>
      <c r="D334" s="1247" t="s">
        <v>402</v>
      </c>
      <c r="E334" s="1247"/>
      <c r="F334" s="1247"/>
      <c r="I334" s="1123"/>
    </row>
    <row r="335" spans="1:9">
      <c r="D335" s="1247"/>
      <c r="E335" s="1247"/>
      <c r="F335" s="1247"/>
      <c r="I335" s="1123"/>
    </row>
    <row r="336" spans="1:9">
      <c r="D336" s="1247"/>
      <c r="E336" s="1247"/>
      <c r="F336" s="1247"/>
      <c r="I336" s="1123"/>
    </row>
    <row r="337" spans="1:9">
      <c r="D337" s="1247"/>
      <c r="E337" s="1247"/>
      <c r="F337" s="1247"/>
      <c r="I337" s="1123"/>
    </row>
    <row r="338" spans="1:9">
      <c r="D338" s="1247"/>
      <c r="E338" s="1247"/>
      <c r="F338" s="1247"/>
      <c r="I338" s="1123"/>
    </row>
    <row r="339" spans="1:9">
      <c r="D339" s="1247"/>
      <c r="E339" s="1247"/>
      <c r="F339" s="1247"/>
      <c r="I339" s="1123"/>
    </row>
    <row r="340" spans="1:9">
      <c r="D340" s="1247"/>
      <c r="E340" s="1247"/>
      <c r="F340" s="1247"/>
      <c r="I340" s="1123"/>
    </row>
    <row r="341" spans="1:9">
      <c r="D341" s="1247"/>
      <c r="E341" s="1247"/>
      <c r="F341" s="1247"/>
      <c r="I341" s="1123"/>
    </row>
    <row r="342" spans="1:9">
      <c r="D342" s="1247"/>
      <c r="E342" s="1247"/>
      <c r="F342" s="1247"/>
      <c r="I342" s="1123"/>
    </row>
    <row r="343" spans="1:9">
      <c r="D343" s="1125"/>
      <c r="E343" s="1125"/>
      <c r="F343" s="1125"/>
      <c r="I343" s="1123"/>
    </row>
    <row r="344" spans="1:9" ht="14.25" customHeight="1">
      <c r="A344" s="337"/>
      <c r="B344" s="338" t="s">
        <v>314</v>
      </c>
      <c r="D344" s="1247" t="s">
        <v>403</v>
      </c>
      <c r="E344" s="1247"/>
      <c r="F344" s="1247"/>
      <c r="I344" s="1123"/>
    </row>
    <row r="345" spans="1:9">
      <c r="D345" s="1247"/>
      <c r="E345" s="1247"/>
      <c r="F345" s="1247"/>
      <c r="I345" s="1123"/>
    </row>
    <row r="346" spans="1:9">
      <c r="D346" s="1247"/>
      <c r="E346" s="1247"/>
      <c r="F346" s="1247"/>
      <c r="I346" s="1123"/>
    </row>
    <row r="347" spans="1:9">
      <c r="D347" s="1247"/>
      <c r="E347" s="1247"/>
      <c r="F347" s="1247"/>
      <c r="I347" s="1123"/>
    </row>
    <row r="348" spans="1:9">
      <c r="D348" s="258" t="s">
        <v>354</v>
      </c>
      <c r="E348" s="1135"/>
      <c r="F348" s="1135"/>
      <c r="I348" s="1123"/>
    </row>
    <row r="349" spans="1:9">
      <c r="D349" s="1135"/>
      <c r="E349" s="55" t="s">
        <v>404</v>
      </c>
      <c r="G349" s="55"/>
      <c r="I349" s="1123"/>
    </row>
    <row r="350" spans="1:9">
      <c r="D350" s="1124"/>
      <c r="E350" s="1124"/>
      <c r="F350" s="1124"/>
      <c r="I350" s="1123"/>
    </row>
    <row r="351" spans="1:9" ht="13.8" thickBot="1">
      <c r="A351" s="810"/>
      <c r="B351" s="810"/>
      <c r="C351" s="810"/>
      <c r="D351" s="1260" t="s">
        <v>405</v>
      </c>
      <c r="E351" s="1260"/>
      <c r="F351" s="1260"/>
      <c r="G351" s="814"/>
      <c r="H351" s="814"/>
      <c r="I351" s="938"/>
    </row>
    <row r="352" spans="1:9" ht="13.8" thickTop="1">
      <c r="D352" s="1258" t="s">
        <v>406</v>
      </c>
      <c r="E352" s="1258"/>
      <c r="F352" s="1258"/>
      <c r="I352" s="1123"/>
    </row>
    <row r="353" spans="1:9">
      <c r="D353" s="1125"/>
      <c r="E353" s="1125"/>
      <c r="F353" s="1125"/>
      <c r="I353" s="1123"/>
    </row>
    <row r="354" spans="1:9">
      <c r="A354" s="332"/>
      <c r="B354" s="332"/>
      <c r="C354" s="332"/>
      <c r="D354" s="1130"/>
      <c r="E354" s="1130"/>
      <c r="F354" s="1125"/>
      <c r="I354" s="1123"/>
    </row>
    <row r="355" spans="1:9" ht="14.4">
      <c r="A355" s="337"/>
      <c r="B355" s="338" t="s">
        <v>314</v>
      </c>
      <c r="C355" s="340"/>
      <c r="D355" s="1248" t="s">
        <v>407</v>
      </c>
      <c r="E355" s="1248"/>
      <c r="F355" s="1248"/>
      <c r="I355" s="1123"/>
    </row>
    <row r="356" spans="1:9" ht="12.75" customHeight="1">
      <c r="D356" s="1114"/>
      <c r="E356" s="55" t="s">
        <v>408</v>
      </c>
      <c r="F356" s="1114"/>
      <c r="I356" s="1123"/>
    </row>
    <row r="357" spans="1:9">
      <c r="D357" s="1247" t="s">
        <v>409</v>
      </c>
      <c r="E357" s="1247"/>
      <c r="F357" s="1247"/>
      <c r="I357" s="1123"/>
    </row>
    <row r="358" spans="1:9">
      <c r="D358" s="1247"/>
      <c r="E358" s="1247"/>
      <c r="F358" s="1247"/>
      <c r="I358" s="1123"/>
    </row>
    <row r="359" spans="1:9">
      <c r="D359" s="1247"/>
      <c r="E359" s="1247"/>
      <c r="F359" s="1247"/>
      <c r="I359" s="1123"/>
    </row>
    <row r="360" spans="1:9" ht="14.4">
      <c r="A360" s="337"/>
      <c r="B360" s="338" t="s">
        <v>314</v>
      </c>
      <c r="C360" s="332"/>
      <c r="D360" s="1259" t="s">
        <v>410</v>
      </c>
      <c r="E360" s="1259"/>
      <c r="F360" s="1259"/>
      <c r="I360" s="335"/>
    </row>
    <row r="361" spans="1:9">
      <c r="A361" s="332"/>
      <c r="B361" s="332"/>
      <c r="C361" s="332"/>
      <c r="D361" s="1130"/>
      <c r="E361" s="1130"/>
      <c r="F361" s="1125"/>
      <c r="I361" s="1123"/>
    </row>
    <row r="362" spans="1:9">
      <c r="A362" s="332"/>
      <c r="B362" s="338" t="s">
        <v>314</v>
      </c>
      <c r="C362" s="332"/>
      <c r="D362" s="1227" t="s">
        <v>411</v>
      </c>
      <c r="E362" s="1227"/>
      <c r="F362" s="1227"/>
      <c r="I362" s="1123"/>
    </row>
    <row r="363" spans="1:9">
      <c r="A363" s="332"/>
      <c r="B363" s="332"/>
      <c r="C363" s="332"/>
      <c r="D363" s="1227"/>
      <c r="E363" s="1227"/>
      <c r="F363" s="1227"/>
      <c r="I363" s="1123"/>
    </row>
    <row r="364" spans="1:9">
      <c r="A364" s="332"/>
      <c r="B364" s="332"/>
      <c r="C364" s="332"/>
      <c r="D364" s="1227"/>
      <c r="E364" s="1227"/>
      <c r="F364" s="1227"/>
      <c r="I364" s="1123"/>
    </row>
    <row r="365" spans="1:9">
      <c r="A365" s="332"/>
      <c r="B365" s="332"/>
      <c r="C365" s="332"/>
      <c r="D365" s="1227"/>
      <c r="E365" s="1227"/>
      <c r="F365" s="1227"/>
      <c r="I365" s="1123"/>
    </row>
    <row r="366" spans="1:9">
      <c r="A366" s="332"/>
      <c r="B366" s="332"/>
      <c r="C366" s="332"/>
      <c r="D366" s="1227"/>
      <c r="E366" s="1227"/>
      <c r="F366" s="1227"/>
      <c r="I366" s="1123"/>
    </row>
    <row r="367" spans="1:9">
      <c r="A367" s="332"/>
      <c r="B367" s="332"/>
      <c r="C367" s="332"/>
      <c r="D367" s="1227"/>
      <c r="E367" s="1227"/>
      <c r="F367" s="1227"/>
      <c r="I367" s="1123"/>
    </row>
    <row r="368" spans="1:9">
      <c r="A368" s="332"/>
      <c r="B368" s="332"/>
      <c r="C368" s="332"/>
      <c r="D368" s="1227"/>
      <c r="E368" s="1227"/>
      <c r="F368" s="1227"/>
      <c r="I368" s="1123"/>
    </row>
    <row r="369" spans="1:9">
      <c r="A369" s="332"/>
      <c r="B369" s="332"/>
      <c r="C369" s="332"/>
      <c r="D369" s="1227"/>
      <c r="E369" s="1227"/>
      <c r="F369" s="1227"/>
      <c r="I369" s="1123"/>
    </row>
    <row r="370" spans="1:9">
      <c r="A370" s="332"/>
      <c r="B370" s="332"/>
      <c r="C370" s="332"/>
      <c r="D370" s="1227"/>
      <c r="E370" s="1227"/>
      <c r="F370" s="1227"/>
      <c r="I370" s="1123"/>
    </row>
    <row r="371" spans="1:9">
      <c r="A371" s="332"/>
      <c r="B371" s="332"/>
      <c r="C371" s="332"/>
      <c r="D371" s="1227"/>
      <c r="E371" s="1227"/>
      <c r="F371" s="1227"/>
      <c r="I371" s="1123"/>
    </row>
    <row r="372" spans="1:9">
      <c r="A372" s="332"/>
      <c r="B372" s="332"/>
      <c r="C372" s="332"/>
      <c r="D372" s="1227"/>
      <c r="E372" s="1227"/>
      <c r="F372" s="1227"/>
      <c r="I372" s="1123"/>
    </row>
    <row r="373" spans="1:9">
      <c r="A373" s="332"/>
      <c r="B373" s="332"/>
      <c r="C373" s="332"/>
      <c r="D373" s="1227"/>
      <c r="E373" s="1227"/>
      <c r="F373" s="1227"/>
      <c r="I373" s="1123"/>
    </row>
    <row r="374" spans="1:9">
      <c r="A374" s="332"/>
      <c r="B374" s="332"/>
      <c r="C374" s="332"/>
      <c r="D374" s="1115"/>
      <c r="E374" s="1115"/>
      <c r="F374" s="1115"/>
      <c r="I374" s="1123"/>
    </row>
    <row r="375" spans="1:9" ht="12.45" customHeight="1">
      <c r="A375" s="332"/>
      <c r="B375" s="338" t="s">
        <v>314</v>
      </c>
      <c r="C375" s="332"/>
      <c r="D375" s="1244" t="s">
        <v>412</v>
      </c>
      <c r="E375" s="1244"/>
      <c r="F375" s="1244"/>
      <c r="I375" s="1123"/>
    </row>
    <row r="376" spans="1:9">
      <c r="A376" s="332"/>
      <c r="B376" s="332"/>
      <c r="C376" s="332"/>
      <c r="D376" s="1244"/>
      <c r="E376" s="1244"/>
      <c r="F376" s="1244"/>
      <c r="I376" s="1123"/>
    </row>
    <row r="377" spans="1:9">
      <c r="A377" s="332"/>
      <c r="B377" s="332"/>
      <c r="C377" s="332"/>
      <c r="D377" s="1244"/>
      <c r="E377" s="1244"/>
      <c r="F377" s="1244"/>
      <c r="I377" s="1123"/>
    </row>
    <row r="378" spans="1:9">
      <c r="A378" s="332"/>
      <c r="B378" s="332"/>
      <c r="C378" s="332"/>
      <c r="D378" s="1244"/>
      <c r="E378" s="1244"/>
      <c r="F378" s="1244"/>
      <c r="I378" s="1123"/>
    </row>
    <row r="379" spans="1:9">
      <c r="A379" s="332"/>
      <c r="B379" s="332"/>
      <c r="C379" s="332"/>
      <c r="D379" s="1121"/>
      <c r="E379" s="1121"/>
      <c r="F379" s="1121"/>
      <c r="I379" s="1123"/>
    </row>
    <row r="380" spans="1:9">
      <c r="A380" s="332"/>
      <c r="B380" s="338" t="s">
        <v>314</v>
      </c>
      <c r="C380" s="332"/>
      <c r="D380" s="272" t="s">
        <v>413</v>
      </c>
      <c r="E380" s="1121"/>
      <c r="F380" s="1121"/>
      <c r="I380" s="1123"/>
    </row>
    <row r="381" spans="1:9">
      <c r="A381" s="332"/>
      <c r="B381" s="332"/>
      <c r="C381" s="332"/>
      <c r="D381" s="272" t="s">
        <v>414</v>
      </c>
      <c r="E381" s="1121"/>
      <c r="F381" s="1121"/>
      <c r="I381" s="1123"/>
    </row>
    <row r="382" spans="1:9">
      <c r="A382" s="332"/>
      <c r="B382" s="332"/>
      <c r="C382" s="332"/>
      <c r="D382" s="272" t="s">
        <v>415</v>
      </c>
      <c r="E382" s="1121"/>
      <c r="F382" s="1121"/>
      <c r="I382" s="1123"/>
    </row>
    <row r="383" spans="1:9">
      <c r="A383" s="332"/>
      <c r="B383" s="332"/>
      <c r="C383" s="332"/>
      <c r="D383" s="272" t="s">
        <v>416</v>
      </c>
      <c r="E383" s="1121"/>
      <c r="F383" s="1121"/>
      <c r="I383" s="1123"/>
    </row>
    <row r="384" spans="1:9">
      <c r="A384" s="332"/>
      <c r="B384" s="332"/>
      <c r="C384" s="332"/>
      <c r="D384" s="272" t="s">
        <v>417</v>
      </c>
      <c r="E384" s="1121"/>
      <c r="F384" s="1121"/>
      <c r="I384" s="1123"/>
    </row>
    <row r="385" spans="1:9">
      <c r="A385" s="332"/>
      <c r="B385" s="332"/>
      <c r="C385" s="332"/>
      <c r="D385" s="272" t="s">
        <v>418</v>
      </c>
      <c r="E385" s="1121"/>
      <c r="F385" s="1121"/>
      <c r="I385" s="1123"/>
    </row>
    <row r="386" spans="1:9">
      <c r="A386" s="332"/>
      <c r="B386" s="332"/>
      <c r="C386" s="332"/>
      <c r="E386" s="1130"/>
      <c r="F386" s="1125"/>
      <c r="I386" s="1123"/>
    </row>
    <row r="387" spans="1:9" ht="14.4">
      <c r="A387" s="337"/>
      <c r="B387" s="338" t="s">
        <v>314</v>
      </c>
      <c r="C387" s="332"/>
      <c r="D387" s="1227" t="s">
        <v>419</v>
      </c>
      <c r="E387" s="1227"/>
      <c r="F387" s="1227"/>
      <c r="I387" s="1123"/>
    </row>
    <row r="388" spans="1:9">
      <c r="A388" s="332"/>
      <c r="B388" s="332"/>
      <c r="C388" s="332"/>
      <c r="D388" s="1227"/>
      <c r="E388" s="1227"/>
      <c r="F388" s="1227"/>
      <c r="I388" s="1123"/>
    </row>
    <row r="389" spans="1:9">
      <c r="A389" s="332"/>
      <c r="B389" s="332"/>
      <c r="C389" s="332"/>
      <c r="D389" s="1227"/>
      <c r="E389" s="1227"/>
      <c r="F389" s="1227"/>
      <c r="I389" s="1123"/>
    </row>
    <row r="390" spans="1:9">
      <c r="A390" s="332"/>
      <c r="B390" s="332"/>
      <c r="C390" s="332"/>
      <c r="D390" s="1227"/>
      <c r="E390" s="1227"/>
      <c r="F390" s="1227"/>
      <c r="I390" s="1123"/>
    </row>
    <row r="391" spans="1:9">
      <c r="A391" s="332"/>
      <c r="B391" s="332"/>
      <c r="C391" s="332"/>
      <c r="D391" s="1130"/>
      <c r="E391" s="1130"/>
      <c r="F391" s="1125"/>
      <c r="I391" s="1123"/>
    </row>
    <row r="392" spans="1:9">
      <c r="A392" s="332"/>
      <c r="B392" s="332"/>
      <c r="C392" s="332"/>
      <c r="D392" s="1227" t="s">
        <v>420</v>
      </c>
      <c r="E392" s="1227"/>
      <c r="F392" s="1227"/>
      <c r="I392" s="1123"/>
    </row>
    <row r="393" spans="1:9">
      <c r="A393" s="332"/>
      <c r="B393" s="332"/>
      <c r="C393" s="332"/>
      <c r="D393" s="1227"/>
      <c r="E393" s="1227"/>
      <c r="F393" s="1227"/>
      <c r="I393" s="1123"/>
    </row>
    <row r="394" spans="1:9">
      <c r="A394" s="332"/>
      <c r="B394" s="332"/>
      <c r="C394" s="332"/>
      <c r="D394" s="1227"/>
      <c r="E394" s="1227"/>
      <c r="F394" s="1227"/>
      <c r="I394" s="1123"/>
    </row>
    <row r="395" spans="1:9">
      <c r="A395" s="332"/>
      <c r="B395" s="332"/>
      <c r="C395" s="332"/>
      <c r="D395" s="1227"/>
      <c r="E395" s="1227"/>
      <c r="F395" s="1227"/>
      <c r="I395" s="1123"/>
    </row>
    <row r="396" spans="1:9" ht="18" customHeight="1">
      <c r="A396" s="332"/>
      <c r="B396" s="332"/>
      <c r="C396" s="332"/>
      <c r="D396" s="1227"/>
      <c r="E396" s="1227"/>
      <c r="F396" s="1227"/>
      <c r="I396" s="1123"/>
    </row>
    <row r="397" spans="1:9">
      <c r="A397" s="332"/>
      <c r="B397" s="332"/>
      <c r="C397" s="332"/>
      <c r="D397" s="1227"/>
      <c r="E397" s="1227"/>
      <c r="F397" s="1227"/>
      <c r="I397" s="1123"/>
    </row>
    <row r="398" spans="1:9">
      <c r="A398" s="332"/>
      <c r="B398" s="332"/>
      <c r="C398" s="332"/>
      <c r="D398" s="1227"/>
      <c r="E398" s="1227"/>
      <c r="F398" s="1227"/>
      <c r="I398" s="1123"/>
    </row>
    <row r="399" spans="1:9">
      <c r="A399" s="332"/>
      <c r="B399" s="332"/>
      <c r="C399" s="332"/>
      <c r="D399" s="1227"/>
      <c r="E399" s="1227"/>
      <c r="F399" s="1227"/>
      <c r="I399" s="1123"/>
    </row>
    <row r="400" spans="1:9" ht="8.25" customHeight="1">
      <c r="A400" s="332"/>
      <c r="B400" s="332"/>
      <c r="C400" s="332"/>
      <c r="D400" s="1227"/>
      <c r="E400" s="1227"/>
      <c r="F400" s="1227"/>
      <c r="I400" s="1123"/>
    </row>
    <row r="401" spans="1:9" ht="13.95" customHeight="1">
      <c r="A401" s="332"/>
      <c r="B401" s="332"/>
      <c r="C401" s="332"/>
      <c r="D401" s="1227" t="s">
        <v>421</v>
      </c>
      <c r="E401" s="1227"/>
      <c r="F401" s="1227"/>
      <c r="I401" s="1123"/>
    </row>
    <row r="402" spans="1:9">
      <c r="A402" s="332"/>
      <c r="B402" s="332"/>
      <c r="C402" s="332"/>
      <c r="D402" s="1227"/>
      <c r="E402" s="1227"/>
      <c r="F402" s="1227"/>
      <c r="I402" s="1123"/>
    </row>
    <row r="403" spans="1:9">
      <c r="A403" s="332"/>
      <c r="B403" s="332"/>
      <c r="C403" s="332"/>
      <c r="D403" s="1227"/>
      <c r="E403" s="1227"/>
      <c r="F403" s="1227"/>
      <c r="I403" s="1123"/>
    </row>
    <row r="404" spans="1:9">
      <c r="A404" s="332"/>
      <c r="B404" s="332"/>
      <c r="C404" s="332"/>
      <c r="D404" s="1227"/>
      <c r="E404" s="1227"/>
      <c r="F404" s="1227"/>
      <c r="I404" s="1123"/>
    </row>
    <row r="405" spans="1:9">
      <c r="A405" s="332"/>
      <c r="B405" s="332"/>
      <c r="C405" s="332"/>
      <c r="D405" s="1227"/>
      <c r="E405" s="1227"/>
      <c r="F405" s="1227"/>
      <c r="I405" s="1123"/>
    </row>
    <row r="406" spans="1:9">
      <c r="A406" s="332"/>
      <c r="B406" s="332"/>
      <c r="C406" s="332"/>
      <c r="D406" s="1227"/>
      <c r="E406" s="1227"/>
      <c r="F406" s="1227"/>
      <c r="I406" s="1123"/>
    </row>
    <row r="407" spans="1:9">
      <c r="A407" s="332"/>
      <c r="B407" s="332"/>
      <c r="C407" s="332"/>
      <c r="D407" s="1227"/>
      <c r="E407" s="1227"/>
      <c r="F407" s="1227"/>
      <c r="I407" s="1123"/>
    </row>
    <row r="408" spans="1:9">
      <c r="A408" s="332"/>
      <c r="B408" s="332"/>
      <c r="C408" s="332"/>
      <c r="D408" s="1227"/>
      <c r="E408" s="1227"/>
      <c r="F408" s="1227"/>
      <c r="I408" s="1123"/>
    </row>
    <row r="409" spans="1:9">
      <c r="A409" s="332"/>
      <c r="B409" s="332"/>
      <c r="C409" s="332"/>
      <c r="D409" s="1227"/>
      <c r="E409" s="1227"/>
      <c r="F409" s="1227"/>
      <c r="I409" s="1123"/>
    </row>
    <row r="410" spans="1:9">
      <c r="A410" s="332"/>
      <c r="B410" s="332"/>
      <c r="C410" s="332"/>
      <c r="D410" s="1227"/>
      <c r="E410" s="1227"/>
      <c r="F410" s="1227"/>
      <c r="I410" s="1123"/>
    </row>
    <row r="411" spans="1:9">
      <c r="A411" s="332"/>
      <c r="B411" s="332"/>
      <c r="C411" s="332"/>
      <c r="D411" s="1227"/>
      <c r="E411" s="1227"/>
      <c r="F411" s="1227"/>
      <c r="I411" s="1123"/>
    </row>
    <row r="412" spans="1:9">
      <c r="A412" s="332"/>
      <c r="B412" s="332"/>
      <c r="C412" s="332"/>
      <c r="D412" s="1227"/>
      <c r="E412" s="1227"/>
      <c r="F412" s="1227"/>
      <c r="I412" s="1123"/>
    </row>
    <row r="413" spans="1:9">
      <c r="A413" s="332"/>
      <c r="B413" s="332"/>
      <c r="C413" s="348"/>
      <c r="D413" s="1227"/>
      <c r="E413" s="1227"/>
      <c r="F413" s="1227"/>
      <c r="I413" s="1123"/>
    </row>
    <row r="414" spans="1:9">
      <c r="A414" s="332"/>
      <c r="B414" s="332"/>
      <c r="C414" s="348"/>
      <c r="D414" s="1227"/>
      <c r="E414" s="1227"/>
      <c r="F414" s="1227"/>
      <c r="I414" s="1123"/>
    </row>
    <row r="415" spans="1:9">
      <c r="A415" s="332"/>
      <c r="B415" s="332"/>
      <c r="C415" s="332"/>
      <c r="D415" s="1227"/>
      <c r="E415" s="1227"/>
      <c r="F415" s="1227"/>
      <c r="I415" s="1123"/>
    </row>
    <row r="416" spans="1:9">
      <c r="A416" s="332"/>
      <c r="B416" s="332"/>
      <c r="C416" s="348"/>
      <c r="D416" s="1227"/>
      <c r="E416" s="1227"/>
      <c r="F416" s="1227"/>
      <c r="I416" s="1123"/>
    </row>
    <row r="417" spans="1:9">
      <c r="A417" s="332"/>
      <c r="B417" s="332"/>
      <c r="C417" s="348"/>
      <c r="D417" s="1227"/>
      <c r="E417" s="1227"/>
      <c r="F417" s="1227"/>
      <c r="I417" s="1123"/>
    </row>
    <row r="418" spans="1:9">
      <c r="A418" s="332"/>
      <c r="B418" s="332"/>
      <c r="C418" s="348"/>
      <c r="D418" s="1227"/>
      <c r="E418" s="1227"/>
      <c r="F418" s="1227"/>
      <c r="I418" s="1123"/>
    </row>
    <row r="419" spans="1:9">
      <c r="A419" s="332"/>
      <c r="B419" s="332"/>
      <c r="C419" s="332"/>
      <c r="D419" s="1130"/>
      <c r="E419" s="1130"/>
      <c r="F419" s="1125"/>
      <c r="I419" s="1123"/>
    </row>
    <row r="420" spans="1:9">
      <c r="A420" s="332"/>
      <c r="B420" s="338" t="s">
        <v>314</v>
      </c>
      <c r="C420" s="332"/>
      <c r="D420" s="1227" t="s">
        <v>422</v>
      </c>
      <c r="E420" s="1227"/>
      <c r="F420" s="1227"/>
      <c r="I420" s="1123"/>
    </row>
    <row r="421" spans="1:9">
      <c r="A421" s="332"/>
      <c r="B421" s="332"/>
      <c r="C421" s="332"/>
      <c r="D421" s="1227"/>
      <c r="E421" s="1227"/>
      <c r="F421" s="1227"/>
      <c r="I421" s="1123"/>
    </row>
    <row r="422" spans="1:9">
      <c r="A422" s="332"/>
      <c r="B422" s="332"/>
      <c r="C422" s="332"/>
      <c r="D422" s="1115"/>
      <c r="E422" s="1115"/>
      <c r="F422" s="1115"/>
      <c r="I422" s="1123"/>
    </row>
    <row r="423" spans="1:9" ht="14.7" customHeight="1">
      <c r="A423" s="337"/>
      <c r="B423" s="338" t="s">
        <v>314</v>
      </c>
      <c r="D423" s="1227" t="s">
        <v>423</v>
      </c>
      <c r="E423" s="1227"/>
      <c r="F423" s="1227"/>
      <c r="I423" s="1123"/>
    </row>
    <row r="424" spans="1:9" ht="14.7" customHeight="1">
      <c r="A424" s="337"/>
      <c r="D424" s="1227"/>
      <c r="E424" s="1227"/>
      <c r="F424" s="1227"/>
      <c r="I424" s="1123"/>
    </row>
    <row r="425" spans="1:9" ht="14.7" customHeight="1">
      <c r="A425" s="337"/>
      <c r="D425" s="1227"/>
      <c r="E425" s="1227"/>
      <c r="F425" s="1227"/>
      <c r="I425" s="1123"/>
    </row>
    <row r="426" spans="1:9" ht="14.7" customHeight="1">
      <c r="A426" s="337"/>
      <c r="D426" s="1227"/>
      <c r="E426" s="1227"/>
      <c r="F426" s="1227"/>
      <c r="I426" s="1123"/>
    </row>
    <row r="427" spans="1:9" ht="14.7" customHeight="1">
      <c r="A427" s="337"/>
      <c r="D427" s="1227"/>
      <c r="E427" s="1227"/>
      <c r="F427" s="1227"/>
      <c r="I427" s="1123"/>
    </row>
    <row r="428" spans="1:9" ht="14.7" customHeight="1">
      <c r="A428" s="337"/>
      <c r="D428" s="1135"/>
      <c r="E428" s="1135"/>
      <c r="F428" s="1135"/>
      <c r="I428" s="1123"/>
    </row>
    <row r="429" spans="1:9" ht="13.95" customHeight="1">
      <c r="A429" s="337"/>
      <c r="B429" s="338" t="s">
        <v>314</v>
      </c>
      <c r="C429" s="332"/>
      <c r="D429" s="1227" t="s">
        <v>424</v>
      </c>
      <c r="E429" s="1227"/>
      <c r="F429" s="1227"/>
      <c r="I429" s="1123"/>
    </row>
    <row r="430" spans="1:9" ht="14.4">
      <c r="A430" s="349"/>
      <c r="B430" s="349"/>
      <c r="C430" s="332"/>
      <c r="D430" s="1227"/>
      <c r="E430" s="1227"/>
      <c r="F430" s="1227"/>
      <c r="I430" s="1123"/>
    </row>
    <row r="431" spans="1:9" ht="14.4">
      <c r="A431" s="349"/>
      <c r="B431" s="349"/>
      <c r="C431" s="332"/>
      <c r="D431" s="1227"/>
      <c r="E431" s="1227"/>
      <c r="F431" s="1227"/>
      <c r="I431" s="1123"/>
    </row>
    <row r="432" spans="1:9" ht="14.4">
      <c r="A432" s="349"/>
      <c r="B432" s="349"/>
      <c r="C432" s="332"/>
      <c r="D432" s="1227"/>
      <c r="E432" s="1227"/>
      <c r="F432" s="1227"/>
      <c r="I432" s="1123"/>
    </row>
    <row r="433" spans="1:9" ht="15.75" customHeight="1">
      <c r="A433" s="349"/>
      <c r="B433" s="349"/>
      <c r="C433" s="332"/>
      <c r="D433" s="1261" t="s">
        <v>425</v>
      </c>
      <c r="E433" s="1227"/>
      <c r="F433" s="1227"/>
      <c r="I433" s="1123"/>
    </row>
    <row r="434" spans="1:9">
      <c r="D434" s="1125"/>
      <c r="E434" s="1125"/>
      <c r="F434" s="1125"/>
      <c r="I434" s="1123"/>
    </row>
    <row r="435" spans="1:9" ht="14.4">
      <c r="A435" s="337"/>
      <c r="B435" s="338" t="s">
        <v>314</v>
      </c>
      <c r="C435" s="340"/>
      <c r="D435" s="1247" t="s">
        <v>426</v>
      </c>
      <c r="E435" s="1247"/>
      <c r="F435" s="1247"/>
      <c r="I435" s="1123"/>
    </row>
    <row r="436" spans="1:9" ht="14.4">
      <c r="A436" s="337"/>
      <c r="B436" s="337"/>
      <c r="D436" s="1247"/>
      <c r="E436" s="1247"/>
      <c r="F436" s="1247"/>
      <c r="I436" s="1123"/>
    </row>
    <row r="437" spans="1:9">
      <c r="D437" s="1247"/>
      <c r="E437" s="1247"/>
      <c r="F437" s="1247"/>
      <c r="I437" s="1123"/>
    </row>
    <row r="438" spans="1:9">
      <c r="D438" s="1247"/>
      <c r="E438" s="1247"/>
      <c r="F438" s="1247"/>
      <c r="I438" s="1123"/>
    </row>
    <row r="439" spans="1:9">
      <c r="D439" s="1247"/>
      <c r="E439" s="1247"/>
      <c r="F439" s="1247"/>
      <c r="I439" s="1123"/>
    </row>
    <row r="440" spans="1:9">
      <c r="D440" s="1247"/>
      <c r="E440" s="1247"/>
      <c r="F440" s="1247"/>
      <c r="I440" s="1123"/>
    </row>
    <row r="441" spans="1:9">
      <c r="D441" s="1247"/>
      <c r="E441" s="1247"/>
      <c r="F441" s="1247"/>
      <c r="I441" s="1123"/>
    </row>
    <row r="442" spans="1:9">
      <c r="D442" s="1247"/>
      <c r="E442" s="1247"/>
      <c r="F442" s="1247"/>
      <c r="I442" s="1123"/>
    </row>
    <row r="443" spans="1:9">
      <c r="D443" s="1247"/>
      <c r="E443" s="1247"/>
      <c r="F443" s="1247"/>
      <c r="I443" s="1123"/>
    </row>
    <row r="444" spans="1:9">
      <c r="D444" s="1247"/>
      <c r="E444" s="1247"/>
      <c r="F444" s="1247"/>
      <c r="I444" s="1123"/>
    </row>
    <row r="445" spans="1:9">
      <c r="D445" s="1247"/>
      <c r="E445" s="1247"/>
      <c r="F445" s="1247"/>
      <c r="I445" s="1123"/>
    </row>
    <row r="446" spans="1:9">
      <c r="D446" s="1247"/>
      <c r="E446" s="1247"/>
      <c r="F446" s="1247"/>
      <c r="I446" s="1123"/>
    </row>
    <row r="447" spans="1:9">
      <c r="D447" s="1247"/>
      <c r="E447" s="1247"/>
      <c r="F447" s="1247"/>
      <c r="I447" s="1123"/>
    </row>
    <row r="448" spans="1:9">
      <c r="A448" s="272"/>
      <c r="B448" s="272"/>
      <c r="C448" s="272"/>
      <c r="D448" s="1247"/>
      <c r="E448" s="1247"/>
      <c r="F448" s="1247"/>
      <c r="I448" s="1123"/>
    </row>
    <row r="449" spans="1:9">
      <c r="A449" s="272"/>
      <c r="B449" s="272"/>
      <c r="C449" s="272"/>
      <c r="D449" s="1247"/>
      <c r="E449" s="1247"/>
      <c r="F449" s="1247"/>
      <c r="I449" s="1123"/>
    </row>
    <row r="450" spans="1:9">
      <c r="A450" s="272"/>
      <c r="B450" s="272"/>
      <c r="C450" s="272"/>
      <c r="D450" s="1247"/>
      <c r="E450" s="1247"/>
      <c r="F450" s="1247"/>
      <c r="I450" s="1123"/>
    </row>
    <row r="451" spans="1:9">
      <c r="A451" s="272"/>
      <c r="B451" s="272"/>
      <c r="C451" s="272"/>
      <c r="D451" s="1247"/>
      <c r="E451" s="1247"/>
      <c r="F451" s="1247"/>
      <c r="I451" s="1123"/>
    </row>
    <row r="452" spans="1:9">
      <c r="A452" s="272"/>
      <c r="B452" s="272"/>
      <c r="C452" s="272"/>
      <c r="D452" s="1247"/>
      <c r="E452" s="1247"/>
      <c r="F452" s="1247"/>
      <c r="I452" s="1123"/>
    </row>
    <row r="453" spans="1:9">
      <c r="A453" s="272"/>
      <c r="B453" s="272"/>
      <c r="C453" s="272"/>
      <c r="D453" s="1247"/>
      <c r="E453" s="1247"/>
      <c r="F453" s="1247"/>
      <c r="I453" s="1123"/>
    </row>
    <row r="454" spans="1:9">
      <c r="A454" s="272"/>
      <c r="B454" s="272"/>
      <c r="C454" s="272"/>
      <c r="D454" s="1247"/>
      <c r="E454" s="1247"/>
      <c r="F454" s="1247"/>
      <c r="I454" s="1123"/>
    </row>
    <row r="455" spans="1:9">
      <c r="A455" s="272"/>
      <c r="B455" s="272"/>
      <c r="C455" s="272"/>
      <c r="D455" s="1247"/>
      <c r="E455" s="1247"/>
      <c r="F455" s="1247"/>
      <c r="I455" s="1123"/>
    </row>
    <row r="456" spans="1:9">
      <c r="A456" s="272"/>
      <c r="B456" s="272"/>
      <c r="C456" s="272"/>
      <c r="D456" s="1247"/>
      <c r="E456" s="1247"/>
      <c r="F456" s="1247"/>
      <c r="I456" s="1123"/>
    </row>
    <row r="457" spans="1:9">
      <c r="A457" s="272"/>
      <c r="B457" s="272"/>
      <c r="C457" s="272"/>
      <c r="D457" s="1247"/>
      <c r="E457" s="1247"/>
      <c r="F457" s="1247"/>
      <c r="I457" s="1123"/>
    </row>
    <row r="458" spans="1:9">
      <c r="A458" s="272"/>
      <c r="B458" s="272"/>
      <c r="C458" s="272"/>
      <c r="D458" s="1247"/>
      <c r="E458" s="1247"/>
      <c r="F458" s="1247"/>
      <c r="I458" s="1123"/>
    </row>
    <row r="459" spans="1:9">
      <c r="A459" s="272"/>
      <c r="B459" s="272"/>
      <c r="C459" s="272"/>
      <c r="D459" s="1247"/>
      <c r="E459" s="1247"/>
      <c r="F459" s="1247"/>
      <c r="I459" s="1123"/>
    </row>
    <row r="460" spans="1:9">
      <c r="A460" s="272"/>
      <c r="B460" s="272"/>
      <c r="C460" s="272"/>
      <c r="D460" s="1247"/>
      <c r="E460" s="1247"/>
      <c r="F460" s="1247"/>
      <c r="I460" s="1123"/>
    </row>
    <row r="461" spans="1:9">
      <c r="A461" s="272"/>
      <c r="B461" s="272"/>
      <c r="C461" s="272"/>
      <c r="D461" s="1247"/>
      <c r="E461" s="1247"/>
      <c r="F461" s="1247"/>
      <c r="I461" s="1123"/>
    </row>
    <row r="462" spans="1:9">
      <c r="A462" s="272"/>
      <c r="B462" s="272"/>
      <c r="C462" s="272"/>
      <c r="D462" s="1247"/>
      <c r="E462" s="1247"/>
      <c r="F462" s="1247"/>
      <c r="I462" s="1123"/>
    </row>
    <row r="463" spans="1:9">
      <c r="A463" s="272"/>
      <c r="B463" s="272"/>
      <c r="C463" s="272"/>
      <c r="D463" s="1247"/>
      <c r="E463" s="1247"/>
      <c r="F463" s="1247"/>
      <c r="I463" s="1123"/>
    </row>
    <row r="464" spans="1:9">
      <c r="D464" s="1247"/>
      <c r="E464" s="1247"/>
      <c r="F464" s="1247"/>
      <c r="I464" s="1123"/>
    </row>
    <row r="465" spans="1:9" ht="40.950000000000003" customHeight="1">
      <c r="D465" s="1247"/>
      <c r="E465" s="1247"/>
      <c r="F465" s="1247"/>
      <c r="I465" s="1123"/>
    </row>
    <row r="466" spans="1:9">
      <c r="D466" s="1125"/>
      <c r="E466" s="1125"/>
      <c r="F466" s="1125"/>
      <c r="I466" s="1123"/>
    </row>
    <row r="467" spans="1:9" ht="14.4">
      <c r="A467" s="337"/>
      <c r="B467" s="338" t="s">
        <v>314</v>
      </c>
      <c r="C467" s="340"/>
      <c r="D467" s="1247" t="s">
        <v>427</v>
      </c>
      <c r="E467" s="1247"/>
      <c r="F467" s="1247"/>
      <c r="I467" s="1123"/>
    </row>
    <row r="468" spans="1:9">
      <c r="D468" s="1247"/>
      <c r="E468" s="1247"/>
      <c r="F468" s="1247"/>
      <c r="I468" s="1123"/>
    </row>
    <row r="469" spans="1:9">
      <c r="D469" s="1247"/>
      <c r="E469" s="1247"/>
      <c r="F469" s="1247"/>
      <c r="I469" s="1123"/>
    </row>
    <row r="470" spans="1:9">
      <c r="D470" s="1124"/>
      <c r="E470" s="1124"/>
      <c r="F470" s="1124"/>
      <c r="I470" s="1123"/>
    </row>
    <row r="471" spans="1:9" ht="14.4">
      <c r="B471" s="338" t="s">
        <v>314</v>
      </c>
      <c r="C471" s="337"/>
      <c r="D471" s="1247" t="s">
        <v>428</v>
      </c>
      <c r="E471" s="1247"/>
      <c r="F471" s="1247"/>
      <c r="I471" s="1123"/>
    </row>
    <row r="472" spans="1:9">
      <c r="D472" s="1247"/>
      <c r="E472" s="1247"/>
      <c r="F472" s="1247"/>
      <c r="I472" s="1123"/>
    </row>
    <row r="473" spans="1:9">
      <c r="D473" s="1125"/>
      <c r="E473" s="1125"/>
      <c r="F473" s="1125"/>
      <c r="I473" s="1123"/>
    </row>
    <row r="474" spans="1:9" ht="14.4">
      <c r="B474" s="338" t="s">
        <v>314</v>
      </c>
      <c r="C474" s="337"/>
      <c r="D474" s="1247" t="s">
        <v>429</v>
      </c>
      <c r="E474" s="1247"/>
      <c r="F474" s="1247"/>
      <c r="I474" s="1123"/>
    </row>
    <row r="475" spans="1:9">
      <c r="D475" s="1247"/>
      <c r="E475" s="1247"/>
      <c r="F475" s="1247"/>
      <c r="I475" s="1123"/>
    </row>
    <row r="476" spans="1:9">
      <c r="D476" s="1247"/>
      <c r="E476" s="1247"/>
      <c r="F476" s="1247"/>
      <c r="I476" s="1123"/>
    </row>
    <row r="477" spans="1:9">
      <c r="D477" s="1247"/>
      <c r="E477" s="1247"/>
      <c r="F477" s="1247"/>
      <c r="I477" s="1123"/>
    </row>
    <row r="478" spans="1:9">
      <c r="B478" s="338" t="s">
        <v>314</v>
      </c>
      <c r="D478" s="1247"/>
      <c r="E478" s="1247"/>
      <c r="F478" s="1247"/>
      <c r="I478" s="1123"/>
    </row>
    <row r="479" spans="1:9">
      <c r="A479" s="272"/>
      <c r="B479" s="272"/>
      <c r="C479" s="272"/>
      <c r="D479" s="1247"/>
      <c r="E479" s="1247"/>
      <c r="F479" s="1247"/>
      <c r="I479" s="1123"/>
    </row>
    <row r="480" spans="1:9">
      <c r="A480" s="272"/>
      <c r="C480" s="272"/>
      <c r="D480" s="1247"/>
      <c r="E480" s="1247"/>
      <c r="F480" s="1247"/>
      <c r="I480" s="1123"/>
    </row>
    <row r="481" spans="1:9">
      <c r="A481" s="272"/>
      <c r="B481" s="338" t="s">
        <v>314</v>
      </c>
      <c r="C481" s="272"/>
      <c r="D481" s="1247"/>
      <c r="E481" s="1247"/>
      <c r="F481" s="1247"/>
      <c r="I481" s="1123"/>
    </row>
    <row r="482" spans="1:9">
      <c r="A482" s="272"/>
      <c r="B482" s="272"/>
      <c r="C482" s="272"/>
      <c r="D482" s="1247"/>
      <c r="E482" s="1247"/>
      <c r="F482" s="1247"/>
      <c r="I482" s="1123"/>
    </row>
    <row r="483" spans="1:9">
      <c r="A483" s="272"/>
      <c r="C483" s="272"/>
      <c r="D483" s="1247"/>
      <c r="E483" s="1247"/>
      <c r="F483" s="1247"/>
      <c r="I483" s="1123"/>
    </row>
    <row r="484" spans="1:9">
      <c r="A484" s="272"/>
      <c r="C484" s="272"/>
      <c r="D484" s="1247"/>
      <c r="E484" s="1247"/>
      <c r="F484" s="1247"/>
      <c r="I484" s="1123"/>
    </row>
    <row r="485" spans="1:9">
      <c r="A485" s="272"/>
      <c r="C485" s="272"/>
      <c r="D485" s="1247"/>
      <c r="E485" s="1247"/>
      <c r="F485" s="1247"/>
      <c r="I485" s="1123"/>
    </row>
    <row r="486" spans="1:9">
      <c r="A486" s="272"/>
      <c r="B486" s="338" t="s">
        <v>314</v>
      </c>
      <c r="C486" s="272"/>
      <c r="D486" s="1247"/>
      <c r="E486" s="1247"/>
      <c r="F486" s="1247"/>
      <c r="I486" s="1123"/>
    </row>
    <row r="487" spans="1:9">
      <c r="A487" s="272"/>
      <c r="C487" s="272"/>
      <c r="D487" s="1247"/>
      <c r="E487" s="1247"/>
      <c r="F487" s="1247"/>
      <c r="I487" s="1123"/>
    </row>
    <row r="488" spans="1:9">
      <c r="A488" s="272"/>
      <c r="B488" s="338" t="s">
        <v>314</v>
      </c>
      <c r="C488" s="272"/>
      <c r="D488" s="1247" t="s">
        <v>430</v>
      </c>
      <c r="E488" s="1247"/>
      <c r="F488" s="1247"/>
      <c r="I488" s="1123"/>
    </row>
    <row r="489" spans="1:9">
      <c r="A489" s="272"/>
      <c r="B489" s="272"/>
      <c r="C489" s="272"/>
      <c r="D489" s="1247"/>
      <c r="E489" s="1247"/>
      <c r="F489" s="1247"/>
      <c r="I489" s="1123"/>
    </row>
    <row r="490" spans="1:9">
      <c r="A490" s="272"/>
      <c r="B490" s="272"/>
      <c r="C490" s="272"/>
      <c r="D490" s="1247"/>
      <c r="E490" s="1247"/>
      <c r="F490" s="1247"/>
      <c r="I490" s="1123"/>
    </row>
    <row r="491" spans="1:9">
      <c r="A491" s="272"/>
      <c r="B491" s="272"/>
      <c r="C491" s="272"/>
      <c r="D491" s="1247"/>
      <c r="E491" s="1247"/>
      <c r="F491" s="1247"/>
      <c r="I491" s="1123"/>
    </row>
    <row r="492" spans="1:9">
      <c r="D492" s="1247"/>
      <c r="E492" s="1247"/>
      <c r="F492" s="1247"/>
      <c r="I492" s="1123"/>
    </row>
    <row r="493" spans="1:9">
      <c r="D493" s="1125"/>
      <c r="E493" s="1125"/>
      <c r="F493" s="1125"/>
      <c r="I493" s="1123"/>
    </row>
    <row r="494" spans="1:9">
      <c r="B494" s="338" t="s">
        <v>314</v>
      </c>
      <c r="D494" s="1248" t="s">
        <v>431</v>
      </c>
      <c r="E494" s="1248"/>
      <c r="F494" s="1248"/>
      <c r="I494" s="1123"/>
    </row>
    <row r="495" spans="1:9">
      <c r="A495" s="1125"/>
      <c r="B495" s="1125"/>
      <c r="I495" s="1123"/>
    </row>
    <row r="496" spans="1:9">
      <c r="A496" s="1250" t="s">
        <v>432</v>
      </c>
      <c r="B496" s="1250"/>
      <c r="C496" s="1250"/>
      <c r="D496" s="1250"/>
      <c r="E496" s="1250"/>
      <c r="F496" s="1250"/>
      <c r="G496" s="1250"/>
      <c r="H496" s="815"/>
      <c r="I496" s="935"/>
    </row>
    <row r="497" spans="1:9">
      <c r="A497" s="1125"/>
      <c r="B497" s="1125"/>
      <c r="I497" s="1123"/>
    </row>
    <row r="498" spans="1:9">
      <c r="D498" s="1263" t="s">
        <v>433</v>
      </c>
      <c r="E498" s="1263"/>
      <c r="F498" s="1263"/>
      <c r="I498" s="1123"/>
    </row>
    <row r="499" spans="1:9" ht="14.4">
      <c r="A499" s="337"/>
      <c r="B499" s="337"/>
      <c r="D499" s="1259" t="s">
        <v>434</v>
      </c>
      <c r="E499" s="1259"/>
      <c r="F499" s="1259"/>
      <c r="I499" s="1123"/>
    </row>
    <row r="500" spans="1:9" ht="14.4">
      <c r="A500" s="337"/>
      <c r="B500" s="337"/>
      <c r="D500" s="1130"/>
      <c r="I500" s="1123"/>
    </row>
    <row r="501" spans="1:9" ht="14.4">
      <c r="A501" s="337"/>
      <c r="B501" s="338" t="s">
        <v>314</v>
      </c>
      <c r="D501" s="1227" t="s">
        <v>435</v>
      </c>
      <c r="E501" s="1227"/>
      <c r="F501" s="1227"/>
      <c r="I501" s="1123"/>
    </row>
    <row r="502" spans="1:9" ht="14.4">
      <c r="A502" s="337"/>
      <c r="B502" s="337"/>
      <c r="D502" s="1227"/>
      <c r="E502" s="1227"/>
      <c r="F502" s="1227"/>
      <c r="I502" s="1123"/>
    </row>
    <row r="503" spans="1:9" ht="14.4">
      <c r="A503" s="337"/>
      <c r="B503" s="337"/>
      <c r="D503" s="1125"/>
      <c r="I503" s="1123"/>
    </row>
    <row r="504" spans="1:9" ht="12.75" customHeight="1">
      <c r="B504" s="338" t="s">
        <v>314</v>
      </c>
      <c r="D504" s="1251" t="s">
        <v>436</v>
      </c>
      <c r="E504" s="1251"/>
      <c r="F504" s="1251"/>
      <c r="I504" s="1123"/>
    </row>
    <row r="505" spans="1:9" ht="14.4">
      <c r="A505" s="337"/>
      <c r="D505" s="1251"/>
      <c r="E505" s="1251"/>
      <c r="F505" s="1251"/>
      <c r="I505" s="1123"/>
    </row>
    <row r="506" spans="1:9" ht="14.4">
      <c r="A506" s="337"/>
      <c r="B506" s="337"/>
      <c r="D506" s="1251"/>
      <c r="E506" s="1251"/>
      <c r="F506" s="1251"/>
      <c r="I506" s="1123"/>
    </row>
    <row r="507" spans="1:9" ht="14.4">
      <c r="A507" s="337"/>
      <c r="B507" s="337"/>
      <c r="D507" s="1251"/>
      <c r="E507" s="1251"/>
      <c r="F507" s="1251"/>
      <c r="I507" s="1123"/>
    </row>
    <row r="508" spans="1:9" ht="14.4">
      <c r="A508" s="337"/>
      <c r="D508" s="370"/>
      <c r="E508" s="370"/>
      <c r="F508" s="370"/>
      <c r="I508" s="1123"/>
    </row>
    <row r="509" spans="1:9" ht="14.4">
      <c r="A509" s="337"/>
      <c r="B509" s="338" t="s">
        <v>314</v>
      </c>
      <c r="D509" s="1248" t="s">
        <v>437</v>
      </c>
      <c r="E509" s="1248"/>
      <c r="F509" s="1248"/>
      <c r="I509" s="1123"/>
    </row>
    <row r="510" spans="1:9" ht="14.4">
      <c r="A510" s="337"/>
      <c r="B510" s="337"/>
      <c r="D510" s="1125"/>
      <c r="I510" s="1123"/>
    </row>
    <row r="511" spans="1:9" ht="14.4">
      <c r="A511" s="337"/>
      <c r="B511" s="338" t="s">
        <v>314</v>
      </c>
      <c r="D511" s="1247" t="s">
        <v>438</v>
      </c>
      <c r="E511" s="1247"/>
      <c r="F511" s="1247"/>
      <c r="I511" s="1123"/>
    </row>
    <row r="512" spans="1:9" ht="14.4">
      <c r="A512" s="337"/>
      <c r="D512" s="1247"/>
      <c r="E512" s="1247"/>
      <c r="F512" s="1247"/>
      <c r="I512" s="1123"/>
    </row>
    <row r="513" spans="1:9">
      <c r="A513" s="1123"/>
      <c r="B513" s="1123"/>
      <c r="D513" s="1130"/>
      <c r="I513" s="1123"/>
    </row>
    <row r="514" spans="1:9">
      <c r="A514" s="1123"/>
      <c r="B514" s="338" t="s">
        <v>314</v>
      </c>
      <c r="D514" s="1248" t="s">
        <v>439</v>
      </c>
      <c r="E514" s="1248"/>
      <c r="F514" s="1248"/>
      <c r="I514" s="1123"/>
    </row>
    <row r="515" spans="1:9">
      <c r="D515" s="1125"/>
      <c r="E515" s="1125"/>
      <c r="F515" s="1125"/>
      <c r="I515" s="1123"/>
    </row>
    <row r="516" spans="1:9">
      <c r="B516" s="338" t="s">
        <v>314</v>
      </c>
      <c r="D516" s="1247" t="s">
        <v>440</v>
      </c>
      <c r="E516" s="1247"/>
      <c r="F516" s="1247"/>
      <c r="I516" s="1123"/>
    </row>
    <row r="517" spans="1:9">
      <c r="D517" s="1247"/>
      <c r="E517" s="1247"/>
      <c r="F517" s="1247"/>
      <c r="I517" s="1123"/>
    </row>
    <row r="518" spans="1:9">
      <c r="D518" s="1247"/>
      <c r="E518" s="1247"/>
      <c r="F518" s="1247"/>
      <c r="I518" s="1123"/>
    </row>
    <row r="519" spans="1:9">
      <c r="D519" s="1125"/>
      <c r="E519" s="1125"/>
      <c r="F519" s="1125"/>
      <c r="I519" s="1123"/>
    </row>
    <row r="520" spans="1:9" ht="14.4">
      <c r="A520" s="337"/>
      <c r="B520" s="337"/>
      <c r="D520" s="1125"/>
      <c r="I520" s="1123"/>
    </row>
    <row r="521" spans="1:9">
      <c r="A521" s="1250" t="s">
        <v>441</v>
      </c>
      <c r="B521" s="1250"/>
      <c r="C521" s="1250"/>
      <c r="D521" s="1250"/>
      <c r="E521" s="1250"/>
      <c r="F521" s="1250"/>
      <c r="G521" s="1250"/>
      <c r="H521" s="815"/>
      <c r="I521" s="935"/>
    </row>
    <row r="522" spans="1:9" ht="12" customHeight="1">
      <c r="A522" s="337"/>
      <c r="B522" s="337"/>
      <c r="D522" s="1125"/>
      <c r="I522" s="1123"/>
    </row>
    <row r="523" spans="1:9">
      <c r="C523" s="1122"/>
      <c r="D523" s="1255" t="s">
        <v>442</v>
      </c>
      <c r="E523" s="1255"/>
      <c r="F523" s="1255"/>
      <c r="I523" s="1123"/>
    </row>
    <row r="524" spans="1:9">
      <c r="C524" s="1122"/>
      <c r="D524" s="358" t="s">
        <v>443</v>
      </c>
      <c r="E524" s="358"/>
      <c r="F524" s="358"/>
      <c r="I524" s="1123"/>
    </row>
    <row r="525" spans="1:9">
      <c r="C525" s="1122"/>
      <c r="D525" s="358" t="s">
        <v>444</v>
      </c>
      <c r="E525" s="358"/>
      <c r="F525" s="358"/>
      <c r="I525" s="1123"/>
    </row>
    <row r="526" spans="1:9">
      <c r="C526" s="1122"/>
      <c r="D526" s="1128"/>
      <c r="E526" s="1128"/>
      <c r="F526" s="1128"/>
      <c r="I526" s="1123"/>
    </row>
    <row r="527" spans="1:9" ht="13.95" customHeight="1">
      <c r="A527" s="336"/>
      <c r="B527" s="338" t="s">
        <v>309</v>
      </c>
      <c r="C527" s="336"/>
      <c r="D527" s="1227" t="s">
        <v>445</v>
      </c>
      <c r="E527" s="1227"/>
      <c r="F527" s="1227"/>
      <c r="I527" s="1123"/>
    </row>
    <row r="528" spans="1:9">
      <c r="A528" s="336"/>
      <c r="B528" s="336"/>
      <c r="C528" s="336"/>
      <c r="D528" s="1227"/>
      <c r="E528" s="1227"/>
      <c r="F528" s="1227"/>
      <c r="I528" s="1123"/>
    </row>
    <row r="529" spans="1:9">
      <c r="A529" s="336"/>
      <c r="B529" s="336"/>
      <c r="C529" s="336"/>
      <c r="D529" s="1115"/>
      <c r="E529" s="1115"/>
      <c r="F529" s="1115"/>
      <c r="I529" s="335"/>
    </row>
    <row r="530" spans="1:9" ht="12.75" customHeight="1">
      <c r="A530" s="336"/>
      <c r="B530" s="338" t="s">
        <v>309</v>
      </c>
      <c r="D530" s="258" t="s">
        <v>446</v>
      </c>
      <c r="E530" s="1135"/>
      <c r="F530" s="1135"/>
      <c r="I530" s="1123"/>
    </row>
    <row r="531" spans="1:9">
      <c r="A531" s="336"/>
      <c r="B531" s="336"/>
      <c r="C531" s="336"/>
      <c r="D531" s="1135"/>
      <c r="E531" s="55" t="s">
        <v>447</v>
      </c>
      <c r="I531" s="1123"/>
    </row>
    <row r="532" spans="1:9">
      <c r="A532" s="336"/>
      <c r="B532" s="336"/>
      <c r="D532" s="1244" t="s">
        <v>448</v>
      </c>
      <c r="E532" s="1244"/>
      <c r="F532" s="1244"/>
      <c r="I532" s="1123"/>
    </row>
    <row r="533" spans="1:9">
      <c r="A533" s="336"/>
      <c r="B533" s="336"/>
      <c r="D533" s="1244"/>
      <c r="E533" s="1244"/>
      <c r="F533" s="1244"/>
      <c r="I533" s="1123"/>
    </row>
    <row r="534" spans="1:9">
      <c r="A534" s="336"/>
      <c r="B534" s="336"/>
      <c r="C534" s="336"/>
      <c r="D534" s="1244"/>
      <c r="E534" s="1244"/>
      <c r="F534" s="1244"/>
      <c r="I534" s="1123"/>
    </row>
    <row r="535" spans="1:9">
      <c r="A535" s="336"/>
      <c r="B535" s="336"/>
      <c r="C535" s="336"/>
      <c r="D535" s="350"/>
      <c r="F535" s="1125"/>
      <c r="I535" s="1123"/>
    </row>
    <row r="536" spans="1:9" ht="13.2" customHeight="1">
      <c r="A536" s="336"/>
      <c r="B536" s="338" t="s">
        <v>314</v>
      </c>
      <c r="C536" s="336"/>
      <c r="D536" s="1247" t="s">
        <v>449</v>
      </c>
      <c r="E536" s="1247"/>
      <c r="F536" s="1247"/>
      <c r="I536" s="1123"/>
    </row>
    <row r="537" spans="1:9">
      <c r="A537" s="336"/>
      <c r="B537" s="336"/>
      <c r="C537" s="336"/>
      <c r="D537" s="1247"/>
      <c r="E537" s="1247"/>
      <c r="F537" s="1247"/>
      <c r="I537" s="1123"/>
    </row>
    <row r="538" spans="1:9" ht="12" customHeight="1">
      <c r="A538" s="1125"/>
      <c r="B538" s="1125"/>
      <c r="C538" s="340"/>
      <c r="D538" s="1125"/>
      <c r="F538" s="1131"/>
      <c r="I538" s="1123"/>
    </row>
    <row r="539" spans="1:9">
      <c r="A539" s="1250" t="s">
        <v>450</v>
      </c>
      <c r="B539" s="1250"/>
      <c r="C539" s="1250"/>
      <c r="D539" s="1250"/>
      <c r="E539" s="1250"/>
      <c r="F539" s="1250"/>
      <c r="G539" s="1250"/>
      <c r="H539" s="815"/>
      <c r="I539" s="935"/>
    </row>
    <row r="540" spans="1:9">
      <c r="A540" s="1125"/>
      <c r="B540" s="1125"/>
      <c r="C540" s="340"/>
      <c r="F540" s="1131"/>
      <c r="I540" s="1123"/>
    </row>
    <row r="541" spans="1:9">
      <c r="B541" s="1253" t="s">
        <v>348</v>
      </c>
      <c r="C541" s="1253"/>
      <c r="D541" s="1253"/>
      <c r="E541" s="1253"/>
      <c r="F541" s="1253"/>
      <c r="I541" s="1123"/>
    </row>
    <row r="542" spans="1:9">
      <c r="A542" s="1125"/>
      <c r="B542" s="1125"/>
      <c r="C542" s="340"/>
      <c r="D542" s="1125"/>
      <c r="F542" s="1125"/>
      <c r="I542" s="1123"/>
    </row>
    <row r="543" spans="1:9">
      <c r="A543" s="1254" t="s">
        <v>451</v>
      </c>
      <c r="B543" s="1254"/>
      <c r="C543" s="1254"/>
      <c r="D543" s="1254"/>
      <c r="E543" s="1254"/>
      <c r="F543" s="1254"/>
      <c r="G543" s="1254"/>
      <c r="H543" s="815"/>
      <c r="I543" s="935"/>
    </row>
    <row r="544" spans="1:9">
      <c r="A544" s="1125"/>
      <c r="B544" s="1125"/>
      <c r="C544" s="340"/>
      <c r="D544" s="1125"/>
      <c r="F544" s="1125"/>
      <c r="I544" s="1123"/>
    </row>
    <row r="545" spans="1:9">
      <c r="C545" s="340"/>
      <c r="D545" s="1255" t="s">
        <v>452</v>
      </c>
      <c r="E545" s="1255"/>
      <c r="F545" s="1255"/>
      <c r="I545" s="1123"/>
    </row>
    <row r="546" spans="1:9">
      <c r="C546" s="340"/>
      <c r="D546" s="1248" t="s">
        <v>453</v>
      </c>
      <c r="E546" s="1248"/>
      <c r="F546" s="1248"/>
      <c r="I546" s="1123"/>
    </row>
    <row r="547" spans="1:9">
      <c r="C547" s="340"/>
      <c r="D547" s="1125"/>
      <c r="E547" s="1125"/>
      <c r="F547" s="1125"/>
      <c r="I547" s="1123"/>
    </row>
    <row r="548" spans="1:9" ht="13.95" customHeight="1">
      <c r="A548" s="337"/>
      <c r="B548" s="338" t="s">
        <v>309</v>
      </c>
      <c r="C548" s="340"/>
      <c r="D548" s="1248" t="s">
        <v>454</v>
      </c>
      <c r="E548" s="1248"/>
      <c r="F548" s="1248"/>
      <c r="I548" s="1123"/>
    </row>
    <row r="549" spans="1:9" ht="13.95" customHeight="1">
      <c r="A549" s="340"/>
      <c r="B549" s="340"/>
      <c r="C549" s="340"/>
      <c r="D549" s="1125"/>
      <c r="I549" s="1123"/>
    </row>
    <row r="550" spans="1:9" ht="14.4">
      <c r="A550" s="337"/>
      <c r="B550" s="338" t="s">
        <v>309</v>
      </c>
      <c r="C550" s="340"/>
      <c r="D550" s="1247" t="s">
        <v>455</v>
      </c>
      <c r="E550" s="1247"/>
      <c r="F550" s="1247"/>
      <c r="I550" s="1123"/>
    </row>
    <row r="551" spans="1:9">
      <c r="A551" s="340"/>
      <c r="B551" s="340"/>
      <c r="C551" s="340"/>
      <c r="D551" s="1247"/>
      <c r="E551" s="1247"/>
      <c r="F551" s="1247"/>
      <c r="I551" s="1123"/>
    </row>
    <row r="552" spans="1:9">
      <c r="A552" s="340"/>
      <c r="B552" s="340"/>
      <c r="C552" s="340"/>
      <c r="D552" s="1125"/>
      <c r="E552" s="1125"/>
      <c r="F552" s="1125"/>
      <c r="I552" s="1123"/>
    </row>
    <row r="553" spans="1:9" ht="14.4">
      <c r="A553" s="337"/>
      <c r="B553" s="338" t="s">
        <v>309</v>
      </c>
      <c r="C553" s="340"/>
      <c r="D553" s="1247" t="s">
        <v>456</v>
      </c>
      <c r="E553" s="1247"/>
      <c r="F553" s="1247"/>
      <c r="I553" s="1123"/>
    </row>
    <row r="554" spans="1:9">
      <c r="A554" s="340"/>
      <c r="B554" s="340"/>
      <c r="C554" s="340"/>
      <c r="D554" s="1247"/>
      <c r="E554" s="1247"/>
      <c r="F554" s="1247"/>
      <c r="I554" s="1123"/>
    </row>
    <row r="555" spans="1:9">
      <c r="A555" s="340"/>
      <c r="B555" s="340"/>
      <c r="C555" s="340"/>
      <c r="D555" s="1125"/>
      <c r="E555" s="1125"/>
      <c r="F555" s="1125"/>
      <c r="I555" s="1123"/>
    </row>
    <row r="556" spans="1:9" ht="14.4">
      <c r="A556" s="337"/>
      <c r="B556" s="338" t="s">
        <v>309</v>
      </c>
      <c r="C556" s="340"/>
      <c r="D556" s="1247" t="s">
        <v>457</v>
      </c>
      <c r="E556" s="1247"/>
      <c r="F556" s="1247"/>
      <c r="I556" s="1123"/>
    </row>
    <row r="557" spans="1:9">
      <c r="A557" s="340"/>
      <c r="B557" s="340"/>
      <c r="C557" s="340"/>
      <c r="D557" s="1247"/>
      <c r="E557" s="1247"/>
      <c r="F557" s="1247"/>
      <c r="I557" s="1123"/>
    </row>
    <row r="558" spans="1:9">
      <c r="A558" s="340"/>
      <c r="B558" s="340"/>
      <c r="C558" s="340"/>
      <c r="D558" s="1125"/>
      <c r="E558" s="1125"/>
      <c r="F558" s="1125"/>
      <c r="I558" s="1123"/>
    </row>
    <row r="559" spans="1:9" ht="14.4">
      <c r="A559" s="337"/>
      <c r="B559" s="338" t="s">
        <v>309</v>
      </c>
      <c r="C559" s="340"/>
      <c r="D559" s="1247" t="s">
        <v>458</v>
      </c>
      <c r="E559" s="1247"/>
      <c r="F559" s="1247"/>
      <c r="I559" s="1123"/>
    </row>
    <row r="560" spans="1:9">
      <c r="A560" s="340"/>
      <c r="B560" s="340"/>
      <c r="C560" s="340"/>
      <c r="D560" s="1247"/>
      <c r="E560" s="1247"/>
      <c r="F560" s="1247"/>
      <c r="I560" s="1123"/>
    </row>
    <row r="561" spans="1:9">
      <c r="A561" s="340"/>
      <c r="B561" s="340"/>
      <c r="C561" s="340"/>
      <c r="D561" s="1247"/>
      <c r="E561" s="1247"/>
      <c r="F561" s="1247"/>
      <c r="I561" s="1123"/>
    </row>
    <row r="562" spans="1:9">
      <c r="A562" s="340"/>
      <c r="B562" s="340"/>
      <c r="C562" s="340"/>
      <c r="D562" s="1125"/>
      <c r="E562" s="1125"/>
      <c r="F562" s="1125"/>
      <c r="I562" s="1123"/>
    </row>
    <row r="563" spans="1:9" ht="14.4">
      <c r="A563" s="337"/>
      <c r="B563" s="338" t="s">
        <v>314</v>
      </c>
      <c r="C563" s="340"/>
      <c r="D563" s="1247" t="s">
        <v>459</v>
      </c>
      <c r="E563" s="1247"/>
      <c r="F563" s="1247"/>
      <c r="I563" s="1123"/>
    </row>
    <row r="564" spans="1:9">
      <c r="A564" s="340"/>
      <c r="B564" s="340"/>
      <c r="C564" s="340"/>
      <c r="D564" s="1247"/>
      <c r="E564" s="1247"/>
      <c r="F564" s="1247"/>
      <c r="I564" s="1123"/>
    </row>
    <row r="565" spans="1:9">
      <c r="A565" s="340"/>
      <c r="B565" s="340"/>
      <c r="C565" s="340"/>
      <c r="D565" s="1125"/>
      <c r="E565" s="1125"/>
      <c r="F565" s="1125"/>
      <c r="I565" s="1123"/>
    </row>
    <row r="566" spans="1:9" ht="14.4">
      <c r="A566" s="337"/>
      <c r="B566" s="338" t="s">
        <v>314</v>
      </c>
      <c r="C566" s="340"/>
      <c r="D566" s="1247" t="s">
        <v>460</v>
      </c>
      <c r="E566" s="1247"/>
      <c r="F566" s="1247"/>
      <c r="I566" s="1123"/>
    </row>
    <row r="567" spans="1:9">
      <c r="A567" s="340"/>
      <c r="B567" s="340"/>
      <c r="C567" s="340"/>
      <c r="D567" s="1247"/>
      <c r="E567" s="1247"/>
      <c r="F567" s="1247"/>
      <c r="I567" s="1123"/>
    </row>
    <row r="568" spans="1:9">
      <c r="A568" s="340"/>
      <c r="B568" s="340"/>
      <c r="C568" s="340"/>
      <c r="D568" s="1125"/>
      <c r="E568" s="1125"/>
      <c r="F568" s="1125"/>
      <c r="I568" s="1123"/>
    </row>
    <row r="569" spans="1:9" ht="14.4">
      <c r="A569" s="337"/>
      <c r="B569" s="338" t="s">
        <v>309</v>
      </c>
      <c r="C569" s="340"/>
      <c r="D569" s="1248" t="s">
        <v>461</v>
      </c>
      <c r="E569" s="1248"/>
      <c r="F569" s="1248"/>
      <c r="I569" s="1123"/>
    </row>
    <row r="570" spans="1:9">
      <c r="A570" s="1123"/>
      <c r="B570" s="1123"/>
      <c r="C570" s="340"/>
      <c r="D570" s="1248" t="s">
        <v>462</v>
      </c>
      <c r="E570" s="1248"/>
      <c r="F570" s="1248"/>
      <c r="I570" s="1123"/>
    </row>
    <row r="571" spans="1:9">
      <c r="A571" s="1123"/>
      <c r="B571" s="1123"/>
      <c r="C571" s="340"/>
      <c r="E571" s="55" t="s">
        <v>463</v>
      </c>
      <c r="F571" s="274"/>
      <c r="I571" s="1123"/>
    </row>
    <row r="572" spans="1:9" ht="14.4">
      <c r="A572" s="337"/>
      <c r="B572" s="337"/>
      <c r="C572" s="340"/>
      <c r="E572" s="1125"/>
      <c r="F572" s="1125"/>
      <c r="I572" s="1123"/>
    </row>
    <row r="573" spans="1:9" ht="14.4">
      <c r="A573" s="337"/>
      <c r="B573" s="338" t="s">
        <v>309</v>
      </c>
      <c r="C573" s="340"/>
      <c r="D573" s="1248" t="s">
        <v>464</v>
      </c>
      <c r="E573" s="1248"/>
      <c r="F573" s="1248"/>
      <c r="I573" s="1123"/>
    </row>
    <row r="574" spans="1:9">
      <c r="C574" s="340"/>
      <c r="D574" s="1247" t="s">
        <v>465</v>
      </c>
      <c r="E574" s="1247"/>
      <c r="F574" s="1247"/>
      <c r="I574" s="1123"/>
    </row>
    <row r="575" spans="1:9">
      <c r="A575" s="340"/>
      <c r="B575" s="340"/>
      <c r="C575" s="340"/>
      <c r="D575" s="1247"/>
      <c r="E575" s="1247"/>
      <c r="F575" s="1247"/>
      <c r="I575" s="1123"/>
    </row>
    <row r="576" spans="1:9">
      <c r="A576" s="340"/>
      <c r="B576" s="340"/>
      <c r="C576" s="340"/>
      <c r="D576" s="1247"/>
      <c r="E576" s="1247"/>
      <c r="F576" s="1247"/>
      <c r="I576" s="1123"/>
    </row>
    <row r="577" spans="1:9">
      <c r="A577" s="340"/>
      <c r="B577" s="340"/>
      <c r="C577" s="340"/>
      <c r="D577" s="1125"/>
      <c r="E577" s="1125"/>
      <c r="F577" s="1125"/>
      <c r="I577" s="1123"/>
    </row>
    <row r="578" spans="1:9" ht="14.4">
      <c r="A578" s="337"/>
      <c r="B578" s="338" t="s">
        <v>309</v>
      </c>
      <c r="C578" s="340"/>
      <c r="D578" s="1247" t="s">
        <v>466</v>
      </c>
      <c r="E578" s="1247"/>
      <c r="F578" s="1247"/>
      <c r="I578" s="1123"/>
    </row>
    <row r="579" spans="1:9" ht="14.4">
      <c r="A579" s="337"/>
      <c r="B579" s="337"/>
      <c r="C579" s="340"/>
      <c r="D579" s="1247"/>
      <c r="E579" s="1247"/>
      <c r="F579" s="1247"/>
      <c r="I579" s="1123"/>
    </row>
    <row r="580" spans="1:9" ht="14.4">
      <c r="A580" s="337"/>
      <c r="B580" s="337"/>
      <c r="C580" s="340"/>
      <c r="D580" s="1247"/>
      <c r="E580" s="1247"/>
      <c r="F580" s="1247"/>
      <c r="I580" s="1123"/>
    </row>
    <row r="581" spans="1:9" ht="14.4">
      <c r="A581" s="337"/>
      <c r="B581" s="337"/>
      <c r="C581" s="340"/>
      <c r="D581" s="1247"/>
      <c r="E581" s="1247"/>
      <c r="F581" s="1247"/>
      <c r="I581" s="1123"/>
    </row>
    <row r="582" spans="1:9" ht="14.4">
      <c r="A582" s="337"/>
      <c r="B582" s="337"/>
      <c r="C582" s="340"/>
      <c r="D582" s="1125"/>
      <c r="E582" s="1125"/>
      <c r="F582" s="1125"/>
      <c r="I582" s="1123"/>
    </row>
    <row r="583" spans="1:9">
      <c r="A583" s="1250" t="s">
        <v>467</v>
      </c>
      <c r="B583" s="1250"/>
      <c r="C583" s="1250"/>
      <c r="D583" s="1250"/>
      <c r="E583" s="1250"/>
      <c r="F583" s="1250"/>
      <c r="G583" s="1250"/>
      <c r="H583" s="815"/>
      <c r="I583" s="935"/>
    </row>
    <row r="584" spans="1:9">
      <c r="A584" s="340"/>
      <c r="B584" s="340"/>
      <c r="C584" s="340"/>
      <c r="E584" s="1125"/>
      <c r="F584" s="1125"/>
      <c r="I584" s="1123"/>
    </row>
    <row r="585" spans="1:9" ht="12.75" customHeight="1">
      <c r="C585" s="1122"/>
      <c r="D585" s="1249" t="s">
        <v>468</v>
      </c>
      <c r="E585" s="1249"/>
      <c r="F585" s="1249"/>
      <c r="I585" s="1123"/>
    </row>
    <row r="586" spans="1:9">
      <c r="A586" s="336"/>
      <c r="B586" s="336"/>
      <c r="C586" s="336"/>
      <c r="D586" s="1251" t="s">
        <v>469</v>
      </c>
      <c r="E586" s="1251"/>
      <c r="F586" s="1251"/>
      <c r="I586" s="1123"/>
    </row>
    <row r="587" spans="1:9">
      <c r="A587" s="272"/>
      <c r="B587" s="272"/>
      <c r="C587" s="336"/>
      <c r="D587" s="351"/>
      <c r="I587" s="1123"/>
    </row>
    <row r="588" spans="1:9">
      <c r="A588" s="336"/>
      <c r="B588" s="338" t="s">
        <v>309</v>
      </c>
      <c r="D588" s="1251" t="s">
        <v>470</v>
      </c>
      <c r="E588" s="1251"/>
      <c r="F588" s="1251"/>
      <c r="I588" s="1123"/>
    </row>
    <row r="589" spans="1:9">
      <c r="A589" s="1123"/>
      <c r="B589" s="1123"/>
      <c r="D589" s="332"/>
      <c r="I589" s="1123"/>
    </row>
    <row r="590" spans="1:9">
      <c r="A590" s="1123"/>
      <c r="B590" s="338" t="s">
        <v>309</v>
      </c>
      <c r="D590" s="1251" t="s">
        <v>471</v>
      </c>
      <c r="E590" s="1251"/>
      <c r="F590" s="1251"/>
      <c r="I590" s="1123"/>
    </row>
    <row r="591" spans="1:9">
      <c r="A591" s="1123"/>
      <c r="B591" s="1123"/>
      <c r="D591" s="1251"/>
      <c r="E591" s="1251"/>
      <c r="F591" s="1251"/>
      <c r="I591" s="1123"/>
    </row>
    <row r="592" spans="1:9">
      <c r="A592" s="1123"/>
      <c r="B592" s="1123"/>
      <c r="D592" s="1251"/>
      <c r="E592" s="1251"/>
      <c r="F592" s="1251"/>
      <c r="I592" s="1123"/>
    </row>
    <row r="593" spans="1:9">
      <c r="A593" s="1123"/>
      <c r="B593" s="1123"/>
      <c r="D593" s="1251"/>
      <c r="E593" s="1251"/>
      <c r="F593" s="1251"/>
      <c r="I593" s="1123"/>
    </row>
    <row r="594" spans="1:9">
      <c r="A594" s="1123"/>
      <c r="B594" s="338" t="s">
        <v>314</v>
      </c>
      <c r="D594" s="1251" t="s">
        <v>472</v>
      </c>
      <c r="E594" s="1251"/>
      <c r="F594" s="1251"/>
      <c r="I594" s="1123"/>
    </row>
    <row r="595" spans="1:9">
      <c r="A595" s="1123"/>
      <c r="B595" s="1123"/>
      <c r="D595" s="1251"/>
      <c r="E595" s="1251"/>
      <c r="F595" s="1251"/>
      <c r="I595" s="1123"/>
    </row>
    <row r="596" spans="1:9">
      <c r="A596" s="1123"/>
      <c r="B596" s="1123"/>
      <c r="D596" s="1251"/>
      <c r="E596" s="1251"/>
      <c r="F596" s="1251"/>
      <c r="I596" s="1123"/>
    </row>
    <row r="597" spans="1:9">
      <c r="A597" s="1123"/>
      <c r="B597" s="1123"/>
      <c r="D597" s="1251"/>
      <c r="E597" s="1251"/>
      <c r="F597" s="1251"/>
      <c r="I597" s="1123"/>
    </row>
    <row r="598" spans="1:9">
      <c r="A598" s="1123"/>
      <c r="B598" s="1123"/>
      <c r="D598" s="1126"/>
      <c r="E598" s="1126"/>
      <c r="F598" s="1126"/>
      <c r="I598" s="1123"/>
    </row>
    <row r="599" spans="1:9">
      <c r="A599" s="1123"/>
      <c r="B599" s="338" t="s">
        <v>309</v>
      </c>
      <c r="D599" s="1251" t="s">
        <v>473</v>
      </c>
      <c r="E599" s="1251"/>
      <c r="F599" s="1251"/>
      <c r="I599" s="1123"/>
    </row>
    <row r="600" spans="1:9">
      <c r="A600" s="1123"/>
      <c r="B600" s="1123"/>
      <c r="D600" s="1251"/>
      <c r="E600" s="1251"/>
      <c r="F600" s="1251"/>
      <c r="I600" s="1123"/>
    </row>
    <row r="601" spans="1:9">
      <c r="A601" s="1123"/>
      <c r="B601" s="1123"/>
      <c r="D601" s="351"/>
      <c r="I601" s="1123"/>
    </row>
    <row r="602" spans="1:9">
      <c r="A602" s="1123"/>
      <c r="B602" s="338" t="s">
        <v>314</v>
      </c>
      <c r="D602" s="1251" t="s">
        <v>474</v>
      </c>
      <c r="E602" s="1251"/>
      <c r="F602" s="1251"/>
      <c r="I602" s="1123"/>
    </row>
    <row r="603" spans="1:9">
      <c r="A603" s="1123"/>
      <c r="B603" s="1123"/>
      <c r="D603" s="1251"/>
      <c r="E603" s="1251"/>
      <c r="F603" s="1251"/>
      <c r="I603" s="1123"/>
    </row>
    <row r="604" spans="1:9" ht="14.4">
      <c r="A604" s="337"/>
      <c r="B604" s="337"/>
      <c r="D604" s="351"/>
      <c r="I604" s="1123"/>
    </row>
    <row r="605" spans="1:9">
      <c r="A605" s="1250" t="s">
        <v>475</v>
      </c>
      <c r="B605" s="1250"/>
      <c r="C605" s="1250"/>
      <c r="D605" s="1250"/>
      <c r="E605" s="1250"/>
      <c r="F605" s="1250"/>
      <c r="G605" s="1250"/>
      <c r="H605" s="815"/>
      <c r="I605" s="935"/>
    </row>
    <row r="606" spans="1:9">
      <c r="I606" s="1123"/>
    </row>
    <row r="607" spans="1:9">
      <c r="D607" s="1255" t="s">
        <v>476</v>
      </c>
      <c r="E607" s="1255"/>
      <c r="F607" s="1255"/>
      <c r="I607" s="1123"/>
    </row>
    <row r="608" spans="1:9">
      <c r="D608" s="1256" t="s">
        <v>477</v>
      </c>
      <c r="E608" s="1256"/>
      <c r="F608" s="1256"/>
      <c r="I608" s="1123"/>
    </row>
    <row r="609" spans="1:9">
      <c r="D609" s="1129"/>
      <c r="I609" s="1123"/>
    </row>
    <row r="610" spans="1:9" ht="14.25" customHeight="1">
      <c r="A610" s="337"/>
      <c r="B610" s="338" t="s">
        <v>309</v>
      </c>
      <c r="D610" s="1276" t="s">
        <v>478</v>
      </c>
      <c r="E610" s="1276"/>
      <c r="F610" s="1276"/>
      <c r="I610" s="1123"/>
    </row>
    <row r="611" spans="1:9">
      <c r="D611" s="1276"/>
      <c r="E611" s="1276"/>
      <c r="F611" s="1276"/>
      <c r="I611" s="1123"/>
    </row>
    <row r="612" spans="1:9">
      <c r="D612" s="1135"/>
      <c r="E612" s="823" t="s">
        <v>479</v>
      </c>
      <c r="F612" s="1135"/>
      <c r="I612" s="1123"/>
    </row>
    <row r="613" spans="1:9">
      <c r="I613" s="1123"/>
    </row>
    <row r="614" spans="1:9">
      <c r="A614" s="1250" t="s">
        <v>480</v>
      </c>
      <c r="B614" s="1250"/>
      <c r="C614" s="1250"/>
      <c r="D614" s="1250"/>
      <c r="E614" s="1250"/>
      <c r="F614" s="1250"/>
      <c r="G614" s="1250"/>
      <c r="H614" s="815"/>
      <c r="I614" s="935"/>
    </row>
    <row r="615" spans="1:9">
      <c r="A615" s="1125"/>
      <c r="B615" s="1125"/>
      <c r="I615" s="1123"/>
    </row>
    <row r="616" spans="1:9">
      <c r="A616" s="1122"/>
      <c r="B616" s="1122"/>
      <c r="C616" s="1122"/>
      <c r="D616" s="1284" t="s">
        <v>481</v>
      </c>
      <c r="E616" s="1284"/>
      <c r="F616" s="1284"/>
      <c r="I616" s="1123"/>
    </row>
    <row r="617" spans="1:9">
      <c r="A617" s="1122"/>
      <c r="B617" s="1122"/>
      <c r="C617" s="1122"/>
      <c r="D617" s="1284"/>
      <c r="E617" s="1284"/>
      <c r="F617" s="1284"/>
      <c r="I617" s="1123"/>
    </row>
    <row r="618" spans="1:9">
      <c r="C618" s="336"/>
      <c r="D618" s="1256" t="s">
        <v>482</v>
      </c>
      <c r="E618" s="1256"/>
      <c r="F618" s="1256"/>
      <c r="I618" s="1123"/>
    </row>
    <row r="619" spans="1:9">
      <c r="C619" s="336"/>
      <c r="D619" s="1129"/>
      <c r="E619" s="1129"/>
      <c r="F619" s="1129"/>
      <c r="I619" s="1123"/>
    </row>
    <row r="620" spans="1:9" ht="12.75" customHeight="1">
      <c r="A620" s="1123"/>
      <c r="B620" s="338" t="s">
        <v>309</v>
      </c>
      <c r="D620" s="1272" t="s">
        <v>483</v>
      </c>
      <c r="E620" s="1272"/>
      <c r="F620" s="1272"/>
      <c r="I620" s="1123"/>
    </row>
    <row r="621" spans="1:9">
      <c r="D621" s="1272"/>
      <c r="E621" s="1272"/>
      <c r="F621" s="1272"/>
      <c r="I621" s="1123"/>
    </row>
    <row r="622" spans="1:9">
      <c r="I622" s="1123"/>
    </row>
    <row r="623" spans="1:9">
      <c r="B623" s="338" t="s">
        <v>309</v>
      </c>
      <c r="D623" s="1272" t="s">
        <v>484</v>
      </c>
      <c r="E623" s="1272"/>
      <c r="F623" s="1272"/>
      <c r="I623" s="1123"/>
    </row>
    <row r="624" spans="1:9">
      <c r="C624" s="352"/>
      <c r="D624" s="1272"/>
      <c r="E624" s="1272"/>
      <c r="F624" s="1272"/>
      <c r="I624" s="1123"/>
    </row>
    <row r="625" spans="1:9">
      <c r="C625" s="352"/>
      <c r="I625" s="1123"/>
    </row>
    <row r="626" spans="1:9">
      <c r="B626" s="338" t="s">
        <v>314</v>
      </c>
      <c r="C626" s="352"/>
      <c r="D626" s="1272" t="s">
        <v>485</v>
      </c>
      <c r="E626" s="1272"/>
      <c r="F626" s="1272"/>
      <c r="I626" s="1123"/>
    </row>
    <row r="627" spans="1:9">
      <c r="C627" s="352"/>
      <c r="D627" s="1272"/>
      <c r="E627" s="1272"/>
      <c r="F627" s="1272"/>
      <c r="I627" s="352"/>
    </row>
    <row r="628" spans="1:9">
      <c r="C628" s="352"/>
      <c r="I628" s="1123"/>
    </row>
    <row r="629" spans="1:9">
      <c r="A629" s="1250" t="s">
        <v>486</v>
      </c>
      <c r="B629" s="1250"/>
      <c r="C629" s="1250"/>
      <c r="D629" s="1250"/>
      <c r="E629" s="1250"/>
      <c r="F629" s="1250"/>
      <c r="G629" s="1250"/>
      <c r="H629" s="815"/>
      <c r="I629" s="935"/>
    </row>
    <row r="630" spans="1:9">
      <c r="A630" s="1122"/>
      <c r="B630" s="1122"/>
      <c r="C630" s="1122"/>
      <c r="I630" s="1123"/>
    </row>
    <row r="631" spans="1:9">
      <c r="C631" s="1123"/>
      <c r="D631" s="1255" t="s">
        <v>487</v>
      </c>
      <c r="E631" s="1255"/>
      <c r="F631" s="1255"/>
      <c r="I631" s="1123"/>
    </row>
    <row r="632" spans="1:9">
      <c r="A632" s="1123"/>
      <c r="B632" s="1123"/>
      <c r="D632" s="274"/>
      <c r="I632" s="1123"/>
    </row>
    <row r="633" spans="1:9" ht="14.25" customHeight="1">
      <c r="A633" s="337"/>
      <c r="B633" s="338" t="s">
        <v>309</v>
      </c>
      <c r="D633" s="1276" t="s">
        <v>488</v>
      </c>
      <c r="E633" s="1276"/>
      <c r="F633" s="1276"/>
      <c r="I633" s="1123"/>
    </row>
    <row r="634" spans="1:9">
      <c r="D634" s="1276"/>
      <c r="E634" s="1276"/>
      <c r="F634" s="1276"/>
      <c r="I634" s="1123"/>
    </row>
    <row r="635" spans="1:9">
      <c r="D635" s="1135"/>
      <c r="E635" s="823" t="s">
        <v>489</v>
      </c>
      <c r="F635" s="1135"/>
      <c r="I635" s="1123"/>
    </row>
    <row r="636" spans="1:9">
      <c r="D636" s="1247" t="s">
        <v>490</v>
      </c>
      <c r="E636" s="1247"/>
      <c r="F636" s="1247"/>
      <c r="I636" s="1123"/>
    </row>
    <row r="637" spans="1:9">
      <c r="D637" s="1247"/>
      <c r="E637" s="1247"/>
      <c r="F637" s="1247"/>
      <c r="I637" s="1123"/>
    </row>
    <row r="638" spans="1:9">
      <c r="D638" s="1247"/>
      <c r="E638" s="1247"/>
      <c r="F638" s="1247"/>
      <c r="I638" s="1123"/>
    </row>
    <row r="639" spans="1:9">
      <c r="D639" s="1124"/>
      <c r="E639" s="1124"/>
      <c r="F639" s="1124"/>
      <c r="I639" s="1123"/>
    </row>
    <row r="640" spans="1:9" ht="14.4">
      <c r="A640" s="337"/>
      <c r="B640" s="338" t="s">
        <v>314</v>
      </c>
      <c r="D640" s="1247" t="s">
        <v>491</v>
      </c>
      <c r="E640" s="1247"/>
      <c r="F640" s="1247"/>
      <c r="I640" s="1123"/>
    </row>
    <row r="641" spans="1:9">
      <c r="A641" s="340"/>
      <c r="B641" s="340"/>
      <c r="C641" s="340"/>
      <c r="D641" s="1247"/>
      <c r="E641" s="1247"/>
      <c r="F641" s="1247"/>
      <c r="I641" s="1123"/>
    </row>
    <row r="642" spans="1:9">
      <c r="A642" s="340"/>
      <c r="B642" s="340"/>
      <c r="C642" s="340"/>
      <c r="D642" s="1125"/>
      <c r="E642" s="1125"/>
      <c r="F642" s="1125"/>
      <c r="I642" s="1123"/>
    </row>
    <row r="643" spans="1:9" ht="14.4">
      <c r="A643" s="337"/>
      <c r="B643" s="338" t="s">
        <v>314</v>
      </c>
      <c r="C643" s="340"/>
      <c r="D643" s="1247" t="s">
        <v>492</v>
      </c>
      <c r="E643" s="1247"/>
      <c r="F643" s="1247"/>
      <c r="I643" s="1123"/>
    </row>
    <row r="644" spans="1:9" ht="14.4">
      <c r="A644" s="337"/>
      <c r="B644" s="337"/>
      <c r="C644" s="340"/>
      <c r="D644" s="1247"/>
      <c r="E644" s="1247"/>
      <c r="F644" s="1247"/>
      <c r="I644" s="1123"/>
    </row>
    <row r="645" spans="1:9" ht="14.4">
      <c r="A645" s="337"/>
      <c r="B645" s="337"/>
      <c r="C645" s="340"/>
      <c r="D645" s="1247"/>
      <c r="E645" s="1247"/>
      <c r="F645" s="1247"/>
      <c r="I645" s="1123"/>
    </row>
    <row r="646" spans="1:9">
      <c r="A646" s="340"/>
      <c r="B646" s="338" t="s">
        <v>314</v>
      </c>
      <c r="C646" s="340"/>
      <c r="D646" s="1248" t="s">
        <v>493</v>
      </c>
      <c r="E646" s="1248"/>
      <c r="F646" s="1248"/>
      <c r="I646" s="1123"/>
    </row>
    <row r="647" spans="1:9">
      <c r="A647" s="340"/>
      <c r="B647" s="340"/>
      <c r="C647" s="340"/>
      <c r="D647" s="1125"/>
      <c r="E647" s="1125"/>
      <c r="F647" s="1125"/>
      <c r="I647" s="1123"/>
    </row>
    <row r="648" spans="1:9">
      <c r="A648" s="1250" t="s">
        <v>494</v>
      </c>
      <c r="B648" s="1250"/>
      <c r="C648" s="1250"/>
      <c r="D648" s="1250"/>
      <c r="E648" s="1250"/>
      <c r="F648" s="1250"/>
      <c r="G648" s="1250"/>
      <c r="H648" s="815"/>
      <c r="I648" s="935"/>
    </row>
    <row r="649" spans="1:9">
      <c r="A649" s="1125"/>
      <c r="B649" s="1125"/>
      <c r="C649" s="340"/>
      <c r="D649" s="1125"/>
      <c r="E649" s="1125"/>
      <c r="F649" s="1125"/>
      <c r="I649" s="1123"/>
    </row>
    <row r="650" spans="1:9">
      <c r="C650" s="1122"/>
      <c r="D650" s="1255" t="s">
        <v>495</v>
      </c>
      <c r="E650" s="1255"/>
      <c r="F650" s="1255"/>
      <c r="I650" s="1123"/>
    </row>
    <row r="651" spans="1:9">
      <c r="A651" s="336"/>
      <c r="B651" s="336"/>
      <c r="C651" s="336"/>
      <c r="D651" s="1248" t="s">
        <v>496</v>
      </c>
      <c r="E651" s="1248"/>
      <c r="F651" s="1248"/>
      <c r="I651" s="1123"/>
    </row>
    <row r="652" spans="1:9">
      <c r="A652" s="336"/>
      <c r="B652" s="336"/>
      <c r="C652" s="336"/>
      <c r="D652" s="1125"/>
      <c r="E652" s="1125"/>
      <c r="F652" s="1125"/>
      <c r="I652" s="1123"/>
    </row>
    <row r="653" spans="1:9" ht="12.75" customHeight="1">
      <c r="B653" s="338" t="s">
        <v>314</v>
      </c>
      <c r="C653" s="340"/>
      <c r="D653" s="1247" t="s">
        <v>497</v>
      </c>
      <c r="E653" s="1247"/>
      <c r="F653" s="1247"/>
      <c r="I653" s="1123"/>
    </row>
    <row r="654" spans="1:9">
      <c r="D654" s="1247"/>
      <c r="E654" s="1247"/>
      <c r="F654" s="1247"/>
      <c r="I654" s="1123"/>
    </row>
    <row r="655" spans="1:9">
      <c r="D655" s="1247"/>
      <c r="E655" s="1247"/>
      <c r="F655" s="1247"/>
      <c r="I655" s="1123"/>
    </row>
    <row r="656" spans="1:9">
      <c r="D656" s="1247"/>
      <c r="E656" s="1247"/>
      <c r="F656" s="1247"/>
      <c r="I656" s="1123"/>
    </row>
    <row r="657" spans="1:9" ht="14.7" customHeight="1">
      <c r="A657" s="337"/>
      <c r="B657" s="337"/>
      <c r="C657" s="340"/>
      <c r="D657" s="1135"/>
      <c r="E657" s="1135"/>
      <c r="F657" s="1135"/>
      <c r="I657" s="1123"/>
    </row>
    <row r="658" spans="1:9" ht="12.75" customHeight="1">
      <c r="A658" s="336"/>
      <c r="B658" s="338" t="s">
        <v>314</v>
      </c>
      <c r="C658" s="340"/>
      <c r="D658" s="1247" t="s">
        <v>498</v>
      </c>
      <c r="E658" s="1247"/>
      <c r="F658" s="1247"/>
      <c r="I658" s="1123"/>
    </row>
    <row r="659" spans="1:9" ht="14.4">
      <c r="A659" s="336"/>
      <c r="B659" s="337"/>
      <c r="C659" s="340"/>
      <c r="D659" s="1247"/>
      <c r="E659" s="1247"/>
      <c r="F659" s="1247"/>
      <c r="I659" s="1123"/>
    </row>
    <row r="660" spans="1:9" ht="14.4">
      <c r="A660" s="336"/>
      <c r="B660" s="337"/>
      <c r="C660" s="340"/>
      <c r="D660" s="1247"/>
      <c r="E660" s="1247"/>
      <c r="F660" s="1247"/>
      <c r="I660" s="1123"/>
    </row>
    <row r="661" spans="1:9" ht="14.4">
      <c r="A661" s="336"/>
      <c r="B661" s="337"/>
      <c r="C661" s="340"/>
      <c r="D661" s="1247"/>
      <c r="E661" s="1247"/>
      <c r="F661" s="1247"/>
      <c r="I661" s="1123"/>
    </row>
    <row r="662" spans="1:9" ht="14.4">
      <c r="A662" s="336"/>
      <c r="B662" s="337"/>
      <c r="C662" s="340"/>
      <c r="D662" s="1247"/>
      <c r="E662" s="1247"/>
      <c r="F662" s="1247"/>
      <c r="I662" s="1123"/>
    </row>
    <row r="663" spans="1:9" ht="14.25" customHeight="1">
      <c r="A663" s="336"/>
      <c r="B663" s="337"/>
      <c r="C663" s="340"/>
      <c r="F663" s="258"/>
      <c r="I663" s="1123"/>
    </row>
    <row r="664" spans="1:9" ht="12.75" customHeight="1">
      <c r="A664" s="336"/>
      <c r="B664" s="338" t="s">
        <v>314</v>
      </c>
      <c r="C664" s="340"/>
      <c r="D664" s="1247" t="s">
        <v>499</v>
      </c>
      <c r="E664" s="1247"/>
      <c r="F664" s="1247"/>
      <c r="I664" s="1123"/>
    </row>
    <row r="665" spans="1:9" ht="14.4">
      <c r="A665" s="336"/>
      <c r="B665" s="337"/>
      <c r="C665" s="340"/>
      <c r="D665" s="1247"/>
      <c r="E665" s="1247"/>
      <c r="F665" s="1247"/>
      <c r="I665" s="1123"/>
    </row>
    <row r="666" spans="1:9" ht="14.4">
      <c r="A666" s="337"/>
      <c r="B666" s="337"/>
      <c r="C666" s="340"/>
      <c r="D666" s="1247"/>
      <c r="E666" s="1247"/>
      <c r="F666" s="1247"/>
      <c r="I666" s="1123"/>
    </row>
    <row r="667" spans="1:9" ht="14.4">
      <c r="A667" s="337"/>
      <c r="B667" s="337"/>
      <c r="C667" s="340"/>
      <c r="D667" s="1247"/>
      <c r="E667" s="1247"/>
      <c r="F667" s="1247"/>
      <c r="I667" s="1123"/>
    </row>
    <row r="668" spans="1:9" ht="14.4">
      <c r="A668" s="337"/>
      <c r="B668" s="337"/>
      <c r="C668" s="340"/>
      <c r="D668" s="1124"/>
      <c r="E668" s="1124"/>
      <c r="F668" s="1124"/>
      <c r="I668" s="1123"/>
    </row>
    <row r="669" spans="1:9" ht="12.75" customHeight="1">
      <c r="A669" s="336"/>
      <c r="B669" s="338" t="s">
        <v>314</v>
      </c>
      <c r="C669" s="340"/>
      <c r="D669" s="1247" t="s">
        <v>500</v>
      </c>
      <c r="E669" s="1247"/>
      <c r="F669" s="1247"/>
      <c r="I669" s="1123"/>
    </row>
    <row r="670" spans="1:9" ht="12.75" customHeight="1">
      <c r="A670" s="336"/>
      <c r="B670" s="337"/>
      <c r="C670" s="340"/>
      <c r="D670" s="1247"/>
      <c r="E670" s="1247"/>
      <c r="F670" s="1247"/>
      <c r="I670" s="1123"/>
    </row>
    <row r="671" spans="1:9" ht="12.75" customHeight="1">
      <c r="A671" s="336"/>
      <c r="B671" s="337"/>
      <c r="C671" s="340"/>
      <c r="D671" s="1247"/>
      <c r="E671" s="1247"/>
      <c r="F671" s="1247"/>
      <c r="I671" s="1123"/>
    </row>
    <row r="672" spans="1:9" ht="12.75" customHeight="1">
      <c r="A672" s="336"/>
      <c r="B672" s="337"/>
      <c r="C672" s="340"/>
      <c r="D672" s="1247"/>
      <c r="E672" s="1247"/>
      <c r="F672" s="1247"/>
      <c r="I672" s="1123"/>
    </row>
    <row r="673" spans="1:11" ht="12.75" customHeight="1">
      <c r="A673" s="336"/>
      <c r="B673" s="337"/>
      <c r="C673" s="340"/>
      <c r="D673" s="1247"/>
      <c r="E673" s="1247"/>
      <c r="F673" s="1247"/>
      <c r="I673" s="1123"/>
    </row>
    <row r="674" spans="1:11" ht="12.75" customHeight="1">
      <c r="A674" s="336"/>
      <c r="B674" s="337"/>
      <c r="C674" s="340"/>
      <c r="D674" s="1247"/>
      <c r="E674" s="1247"/>
      <c r="F674" s="1247"/>
      <c r="I674" s="1123"/>
    </row>
    <row r="675" spans="1:11" ht="12.75" customHeight="1">
      <c r="A675" s="336"/>
      <c r="B675" s="337"/>
      <c r="C675" s="340"/>
      <c r="D675" s="1247"/>
      <c r="E675" s="1247"/>
      <c r="F675" s="1247"/>
      <c r="I675" s="1123"/>
    </row>
    <row r="676" spans="1:11" ht="12.75" customHeight="1">
      <c r="A676" s="336"/>
      <c r="B676" s="337"/>
      <c r="C676" s="340"/>
      <c r="D676" s="1247"/>
      <c r="E676" s="1247"/>
      <c r="F676" s="1247"/>
      <c r="I676" s="1123"/>
    </row>
    <row r="677" spans="1:11" ht="12.75" customHeight="1">
      <c r="A677" s="336"/>
      <c r="B677" s="337"/>
      <c r="C677" s="340"/>
      <c r="D677" s="1247"/>
      <c r="E677" s="1247"/>
      <c r="F677" s="1247"/>
      <c r="I677" s="1123"/>
    </row>
    <row r="678" spans="1:11">
      <c r="A678" s="340"/>
      <c r="B678" s="340"/>
      <c r="C678" s="340"/>
      <c r="D678" s="1125"/>
      <c r="E678" s="1125"/>
      <c r="F678" s="1125"/>
      <c r="I678" s="1123"/>
    </row>
    <row r="679" spans="1:11">
      <c r="A679" s="1250" t="s">
        <v>501</v>
      </c>
      <c r="B679" s="1250"/>
      <c r="C679" s="1250"/>
      <c r="D679" s="1250"/>
      <c r="E679" s="1250"/>
      <c r="F679" s="1250"/>
      <c r="G679" s="1250"/>
      <c r="H679" s="817"/>
      <c r="I679" s="939"/>
      <c r="J679" s="353"/>
      <c r="K679" s="353"/>
    </row>
    <row r="680" spans="1:11">
      <c r="A680" s="1131"/>
      <c r="B680" s="1131"/>
      <c r="C680" s="1131"/>
      <c r="D680" s="1131"/>
      <c r="E680" s="1131"/>
      <c r="F680" s="1131"/>
      <c r="G680" s="1131"/>
      <c r="H680" s="353"/>
      <c r="I680" s="336"/>
      <c r="J680" s="353"/>
      <c r="K680" s="353"/>
    </row>
    <row r="681" spans="1:11">
      <c r="C681" s="1122"/>
      <c r="D681" s="1255" t="s">
        <v>502</v>
      </c>
      <c r="E681" s="1255"/>
      <c r="F681" s="1255"/>
      <c r="H681" s="353"/>
      <c r="I681" s="336"/>
      <c r="J681" s="353"/>
      <c r="K681" s="353"/>
    </row>
    <row r="682" spans="1:11">
      <c r="A682" s="1122"/>
      <c r="B682" s="1122"/>
      <c r="C682" s="1122"/>
      <c r="D682" s="1255" t="s">
        <v>503</v>
      </c>
      <c r="E682" s="1255"/>
      <c r="F682" s="1255"/>
      <c r="H682" s="353"/>
      <c r="I682" s="336"/>
      <c r="J682" s="353"/>
      <c r="K682" s="353"/>
    </row>
    <row r="683" spans="1:11">
      <c r="A683" s="336"/>
      <c r="B683" s="336"/>
      <c r="C683" s="336"/>
      <c r="D683" s="1248" t="s">
        <v>504</v>
      </c>
      <c r="E683" s="1248"/>
      <c r="F683" s="1248"/>
      <c r="H683" s="353"/>
      <c r="I683" s="336"/>
      <c r="J683" s="353"/>
      <c r="K683" s="353"/>
    </row>
    <row r="684" spans="1:11">
      <c r="A684" s="336"/>
      <c r="B684" s="336"/>
      <c r="C684" s="336"/>
      <c r="H684" s="353"/>
      <c r="I684" s="336"/>
      <c r="J684" s="353"/>
      <c r="K684" s="353"/>
    </row>
    <row r="685" spans="1:11" ht="14.4">
      <c r="A685" s="337"/>
      <c r="B685" s="338" t="s">
        <v>314</v>
      </c>
      <c r="C685" s="336"/>
      <c r="D685" s="1248" t="s">
        <v>505</v>
      </c>
      <c r="E685" s="1248"/>
      <c r="F685" s="1248"/>
      <c r="H685" s="353"/>
      <c r="I685" s="336"/>
      <c r="J685" s="353"/>
      <c r="K685" s="353"/>
    </row>
    <row r="686" spans="1:11">
      <c r="A686" s="336"/>
      <c r="B686" s="336"/>
      <c r="C686" s="336"/>
      <c r="D686" s="1248" t="s">
        <v>506</v>
      </c>
      <c r="E686" s="1248"/>
      <c r="F686" s="1248"/>
      <c r="H686" s="353"/>
      <c r="I686" s="336"/>
      <c r="J686" s="353"/>
      <c r="K686" s="353"/>
    </row>
    <row r="687" spans="1:11" ht="12.75" customHeight="1">
      <c r="A687" s="336"/>
      <c r="B687" s="336"/>
      <c r="C687" s="336"/>
      <c r="E687" s="823" t="s">
        <v>507</v>
      </c>
      <c r="F687" s="289"/>
      <c r="H687" s="353"/>
      <c r="I687" s="336"/>
      <c r="J687" s="353"/>
      <c r="K687" s="353"/>
    </row>
    <row r="688" spans="1:11">
      <c r="A688" s="336"/>
      <c r="B688" s="336"/>
      <c r="C688" s="336"/>
      <c r="E688" s="353" t="s">
        <v>508</v>
      </c>
      <c r="F688" s="289"/>
      <c r="I688" s="336"/>
      <c r="J688" s="353"/>
      <c r="K688" s="353"/>
    </row>
    <row r="689" spans="1:11">
      <c r="A689" s="336"/>
      <c r="B689" s="336"/>
      <c r="C689" s="336"/>
      <c r="D689" s="354"/>
      <c r="E689" s="1125"/>
      <c r="H689" s="353"/>
      <c r="I689" s="336"/>
      <c r="J689" s="353"/>
      <c r="K689" s="353"/>
    </row>
    <row r="690" spans="1:11" ht="14.4">
      <c r="A690" s="337"/>
      <c r="B690" s="338" t="s">
        <v>309</v>
      </c>
      <c r="C690" s="336"/>
      <c r="D690" s="1247" t="s">
        <v>509</v>
      </c>
      <c r="E690" s="1247"/>
      <c r="F690" s="1247"/>
      <c r="H690" s="353"/>
      <c r="I690" s="336"/>
      <c r="J690" s="353"/>
      <c r="K690" s="353"/>
    </row>
    <row r="691" spans="1:11">
      <c r="A691" s="1123"/>
      <c r="B691" s="1123"/>
      <c r="C691" s="336"/>
      <c r="D691" s="1247"/>
      <c r="E691" s="1247"/>
      <c r="F691" s="1247"/>
      <c r="H691" s="353"/>
      <c r="I691" s="336"/>
      <c r="J691" s="353"/>
      <c r="K691" s="353"/>
    </row>
    <row r="692" spans="1:11">
      <c r="A692" s="336"/>
      <c r="B692" s="336"/>
      <c r="C692" s="336"/>
      <c r="D692" s="1247"/>
      <c r="E692" s="1247"/>
      <c r="F692" s="1247"/>
      <c r="H692" s="353"/>
      <c r="I692" s="336"/>
      <c r="J692" s="353"/>
      <c r="K692" s="353"/>
    </row>
    <row r="693" spans="1:11">
      <c r="A693" s="336"/>
      <c r="B693" s="336"/>
      <c r="C693" s="336"/>
      <c r="H693" s="353"/>
      <c r="J693" s="353"/>
      <c r="K693" s="353"/>
    </row>
    <row r="694" spans="1:11" ht="14.4">
      <c r="A694" s="337"/>
      <c r="B694" s="338" t="s">
        <v>309</v>
      </c>
      <c r="C694" s="336"/>
      <c r="D694" s="1248" t="s">
        <v>510</v>
      </c>
      <c r="E694" s="1248"/>
      <c r="F694" s="1248"/>
      <c r="H694" s="353"/>
      <c r="I694" s="336"/>
      <c r="J694" s="353"/>
      <c r="K694" s="353"/>
    </row>
    <row r="695" spans="1:11" ht="14.4">
      <c r="A695" s="337"/>
      <c r="B695" s="337"/>
      <c r="C695" s="336"/>
      <c r="D695" s="1248" t="s">
        <v>506</v>
      </c>
      <c r="E695" s="1248"/>
      <c r="F695" s="1248"/>
      <c r="H695" s="353"/>
      <c r="I695" s="336"/>
      <c r="J695" s="353"/>
      <c r="K695" s="353"/>
    </row>
    <row r="696" spans="1:11">
      <c r="A696" s="336"/>
      <c r="B696" s="336"/>
      <c r="C696" s="336"/>
      <c r="E696" s="823" t="s">
        <v>511</v>
      </c>
      <c r="F696" s="274"/>
      <c r="H696" s="353"/>
      <c r="I696" s="336"/>
      <c r="J696" s="353"/>
      <c r="K696" s="353"/>
    </row>
    <row r="697" spans="1:11">
      <c r="A697" s="336"/>
      <c r="B697" s="336"/>
      <c r="C697" s="336"/>
      <c r="D697" s="274"/>
      <c r="H697" s="353"/>
      <c r="I697" s="336"/>
      <c r="J697" s="353"/>
      <c r="K697" s="353"/>
    </row>
    <row r="698" spans="1:11" ht="14.4">
      <c r="A698" s="337"/>
      <c r="B698" s="338" t="s">
        <v>314</v>
      </c>
      <c r="C698" s="336"/>
      <c r="D698" s="1248" t="s">
        <v>512</v>
      </c>
      <c r="E698" s="1248"/>
      <c r="F698" s="1248"/>
      <c r="H698" s="353"/>
      <c r="I698" s="336"/>
      <c r="J698" s="353"/>
      <c r="K698" s="353"/>
    </row>
    <row r="699" spans="1:11" ht="14.4">
      <c r="A699" s="337"/>
      <c r="B699" s="337"/>
      <c r="C699" s="336"/>
      <c r="D699" s="1248" t="s">
        <v>506</v>
      </c>
      <c r="E699" s="1248"/>
      <c r="F699" s="1248"/>
      <c r="H699" s="353"/>
      <c r="I699" s="336"/>
      <c r="J699" s="353"/>
      <c r="K699" s="353"/>
    </row>
    <row r="700" spans="1:11">
      <c r="A700" s="336"/>
      <c r="B700" s="336"/>
      <c r="C700" s="336"/>
      <c r="E700" s="823" t="s">
        <v>513</v>
      </c>
      <c r="F700" s="274"/>
      <c r="H700" s="353"/>
      <c r="I700" s="336"/>
      <c r="J700" s="353"/>
      <c r="K700" s="353"/>
    </row>
    <row r="701" spans="1:11">
      <c r="A701" s="336"/>
      <c r="B701" s="336"/>
      <c r="C701" s="336"/>
      <c r="D701" s="274"/>
      <c r="H701" s="353"/>
      <c r="I701" s="336"/>
      <c r="J701" s="353"/>
      <c r="K701" s="353"/>
    </row>
    <row r="702" spans="1:11" ht="14.4">
      <c r="A702" s="337"/>
      <c r="B702" s="338" t="s">
        <v>314</v>
      </c>
      <c r="C702" s="336"/>
      <c r="D702" s="1247" t="s">
        <v>514</v>
      </c>
      <c r="E702" s="1247"/>
      <c r="F702" s="1247"/>
      <c r="H702" s="353"/>
      <c r="I702" s="336"/>
      <c r="J702" s="353"/>
      <c r="K702" s="353"/>
    </row>
    <row r="703" spans="1:11">
      <c r="A703" s="336"/>
      <c r="B703" s="336"/>
      <c r="C703" s="336"/>
      <c r="D703" s="1247"/>
      <c r="E703" s="1247"/>
      <c r="F703" s="1247"/>
      <c r="H703" s="353"/>
      <c r="I703" s="336"/>
      <c r="J703" s="353"/>
      <c r="K703" s="353"/>
    </row>
    <row r="704" spans="1:11">
      <c r="A704" s="336"/>
      <c r="B704" s="336"/>
      <c r="C704" s="336"/>
      <c r="D704" s="1247"/>
      <c r="E704" s="1247"/>
      <c r="F704" s="1247"/>
      <c r="H704" s="353"/>
      <c r="I704" s="336"/>
      <c r="J704" s="353"/>
      <c r="K704" s="353"/>
    </row>
    <row r="705" spans="1:11">
      <c r="A705" s="336"/>
      <c r="B705" s="336"/>
      <c r="C705" s="336"/>
      <c r="D705" s="1247"/>
      <c r="E705" s="1247"/>
      <c r="F705" s="1247"/>
      <c r="H705" s="353"/>
      <c r="I705" s="336"/>
      <c r="J705" s="353"/>
      <c r="K705" s="353"/>
    </row>
    <row r="706" spans="1:11">
      <c r="A706" s="336"/>
      <c r="B706" s="336"/>
      <c r="C706" s="336"/>
      <c r="D706" s="1247"/>
      <c r="E706" s="1247"/>
      <c r="F706" s="1247"/>
      <c r="H706" s="353"/>
      <c r="I706" s="336"/>
      <c r="J706" s="353"/>
      <c r="K706" s="353"/>
    </row>
    <row r="707" spans="1:11">
      <c r="A707" s="336"/>
      <c r="B707" s="336"/>
      <c r="C707" s="336"/>
      <c r="D707" s="1247"/>
      <c r="E707" s="1247"/>
      <c r="F707" s="1247"/>
      <c r="H707" s="353"/>
      <c r="I707" s="336"/>
      <c r="J707" s="353"/>
      <c r="K707" s="353"/>
    </row>
    <row r="708" spans="1:11">
      <c r="A708" s="336"/>
      <c r="B708" s="336"/>
      <c r="C708" s="336"/>
      <c r="D708" s="1124"/>
      <c r="E708" s="1124"/>
      <c r="F708" s="1124"/>
      <c r="H708" s="353"/>
      <c r="I708" s="336"/>
      <c r="J708" s="353"/>
      <c r="K708" s="353"/>
    </row>
    <row r="709" spans="1:11">
      <c r="A709" s="336"/>
      <c r="B709" s="338" t="s">
        <v>314</v>
      </c>
      <c r="C709" s="336"/>
      <c r="D709" s="1247" t="s">
        <v>515</v>
      </c>
      <c r="E709" s="1247"/>
      <c r="F709" s="1247"/>
      <c r="H709" s="353"/>
      <c r="I709" s="336"/>
      <c r="J709" s="353"/>
      <c r="K709" s="353"/>
    </row>
    <row r="710" spans="1:11">
      <c r="A710" s="336"/>
      <c r="B710" s="336"/>
      <c r="C710" s="336"/>
      <c r="D710" s="1247"/>
      <c r="E710" s="1247"/>
      <c r="F710" s="1247"/>
      <c r="H710" s="353"/>
      <c r="I710" s="336"/>
      <c r="J710" s="353"/>
      <c r="K710" s="353"/>
    </row>
    <row r="711" spans="1:11">
      <c r="A711" s="336"/>
      <c r="B711" s="336"/>
      <c r="C711" s="336"/>
      <c r="D711" s="1124"/>
      <c r="E711" s="1124"/>
      <c r="F711" s="1124"/>
      <c r="H711" s="353"/>
      <c r="I711" s="336"/>
      <c r="J711" s="353"/>
      <c r="K711" s="353"/>
    </row>
    <row r="712" spans="1:11" ht="14.4">
      <c r="A712" s="337"/>
      <c r="B712" s="338" t="s">
        <v>314</v>
      </c>
      <c r="C712" s="336"/>
      <c r="D712" s="1247" t="s">
        <v>516</v>
      </c>
      <c r="E712" s="1247"/>
      <c r="F712" s="1247"/>
      <c r="H712" s="353"/>
      <c r="I712" s="336"/>
      <c r="J712" s="353"/>
      <c r="K712" s="353"/>
    </row>
    <row r="713" spans="1:11">
      <c r="A713" s="336"/>
      <c r="B713" s="336"/>
      <c r="C713" s="336"/>
      <c r="D713" s="1247"/>
      <c r="E713" s="1247"/>
      <c r="F713" s="1247"/>
      <c r="H713" s="353"/>
      <c r="I713" s="336"/>
      <c r="J713" s="353"/>
      <c r="K713" s="353"/>
    </row>
    <row r="714" spans="1:11">
      <c r="A714" s="336"/>
      <c r="B714" s="336"/>
      <c r="C714" s="336"/>
      <c r="D714" s="1247"/>
      <c r="E714" s="1247"/>
      <c r="F714" s="1247"/>
      <c r="H714" s="353"/>
      <c r="I714" s="336"/>
      <c r="J714" s="353"/>
      <c r="K714" s="353"/>
    </row>
    <row r="715" spans="1:11" ht="15" customHeight="1">
      <c r="A715" s="336"/>
      <c r="B715" s="336"/>
      <c r="C715" s="336"/>
      <c r="D715" s="1247"/>
      <c r="E715" s="1247"/>
      <c r="F715" s="1247"/>
      <c r="H715" s="353"/>
      <c r="I715" s="336"/>
      <c r="J715" s="353"/>
      <c r="K715" s="353"/>
    </row>
    <row r="716" spans="1:11" ht="15" customHeight="1">
      <c r="A716" s="336"/>
      <c r="B716" s="336"/>
      <c r="C716" s="336"/>
      <c r="D716" s="1247"/>
      <c r="E716" s="1247"/>
      <c r="F716" s="1247"/>
      <c r="H716" s="353"/>
      <c r="I716" s="336"/>
      <c r="J716" s="353"/>
      <c r="K716" s="353"/>
    </row>
    <row r="717" spans="1:11">
      <c r="A717" s="336"/>
      <c r="B717" s="336"/>
      <c r="C717" s="336"/>
      <c r="D717" s="1247"/>
      <c r="E717" s="1247"/>
      <c r="F717" s="1247"/>
      <c r="H717" s="353"/>
      <c r="I717" s="336"/>
      <c r="J717" s="353"/>
      <c r="K717" s="353"/>
    </row>
    <row r="718" spans="1:11">
      <c r="A718" s="336"/>
      <c r="B718" s="336"/>
      <c r="C718" s="336"/>
      <c r="D718" s="1247"/>
      <c r="E718" s="1247"/>
      <c r="F718" s="1247"/>
      <c r="H718" s="353"/>
      <c r="I718" s="336"/>
      <c r="J718" s="353"/>
      <c r="K718" s="353"/>
    </row>
    <row r="719" spans="1:11">
      <c r="A719" s="336"/>
      <c r="B719" s="336"/>
      <c r="C719" s="336"/>
      <c r="D719" s="1247"/>
      <c r="E719" s="1247"/>
      <c r="F719" s="1247"/>
      <c r="H719" s="353"/>
      <c r="I719" s="336"/>
      <c r="J719" s="353"/>
      <c r="K719" s="353"/>
    </row>
    <row r="720" spans="1:11" ht="15" customHeight="1">
      <c r="A720" s="336"/>
      <c r="B720" s="336"/>
      <c r="C720" s="336"/>
      <c r="D720" s="1247"/>
      <c r="E720" s="1247"/>
      <c r="F720" s="1247"/>
      <c r="H720" s="353"/>
      <c r="I720" s="336"/>
      <c r="J720" s="353"/>
      <c r="K720" s="353"/>
    </row>
    <row r="721" spans="1:11">
      <c r="A721" s="336"/>
      <c r="B721" s="336"/>
      <c r="C721" s="336"/>
      <c r="D721" s="1247"/>
      <c r="E721" s="1247"/>
      <c r="F721" s="1247"/>
      <c r="H721" s="353"/>
      <c r="I721" s="336"/>
      <c r="J721" s="353"/>
      <c r="K721" s="353"/>
    </row>
    <row r="722" spans="1:11">
      <c r="A722" s="336"/>
      <c r="B722" s="336"/>
      <c r="C722" s="336"/>
      <c r="D722" s="1247"/>
      <c r="E722" s="1247"/>
      <c r="F722" s="1247"/>
      <c r="H722" s="353"/>
      <c r="I722" s="336"/>
      <c r="J722" s="353"/>
      <c r="K722" s="353"/>
    </row>
    <row r="723" spans="1:11">
      <c r="A723" s="336"/>
      <c r="B723" s="336"/>
      <c r="C723" s="336"/>
      <c r="D723" s="1247"/>
      <c r="E723" s="1247"/>
      <c r="F723" s="1247"/>
      <c r="H723" s="353"/>
      <c r="I723" s="336"/>
      <c r="J723" s="353"/>
      <c r="K723" s="353"/>
    </row>
    <row r="724" spans="1:11">
      <c r="A724" s="336"/>
      <c r="B724" s="336"/>
      <c r="C724" s="336"/>
      <c r="D724" s="1247"/>
      <c r="E724" s="1247"/>
      <c r="F724" s="1247"/>
      <c r="H724" s="353"/>
      <c r="I724" s="336"/>
      <c r="J724" s="353"/>
      <c r="K724" s="353"/>
    </row>
    <row r="725" spans="1:11">
      <c r="A725" s="336"/>
      <c r="B725" s="338" t="s">
        <v>314</v>
      </c>
      <c r="C725" s="336"/>
      <c r="D725" s="1247" t="s">
        <v>517</v>
      </c>
      <c r="E725" s="1247"/>
      <c r="F725" s="1247"/>
      <c r="H725" s="353"/>
      <c r="I725" s="336"/>
      <c r="J725" s="353"/>
      <c r="K725" s="353"/>
    </row>
    <row r="726" spans="1:11">
      <c r="A726" s="336"/>
      <c r="B726" s="336"/>
      <c r="C726" s="336"/>
      <c r="D726" s="1247"/>
      <c r="E726" s="1247"/>
      <c r="F726" s="1247"/>
      <c r="H726" s="353"/>
      <c r="I726" s="336"/>
      <c r="J726" s="353"/>
      <c r="K726" s="353"/>
    </row>
    <row r="727" spans="1:11">
      <c r="A727" s="336"/>
      <c r="B727" s="336"/>
      <c r="C727" s="336"/>
      <c r="D727" s="1247"/>
      <c r="E727" s="1247"/>
      <c r="F727" s="1247"/>
      <c r="H727" s="353"/>
      <c r="I727" s="336"/>
      <c r="J727" s="353"/>
      <c r="K727" s="353"/>
    </row>
    <row r="728" spans="1:11">
      <c r="A728" s="336"/>
      <c r="B728" s="336"/>
      <c r="C728" s="336"/>
      <c r="D728" s="1124"/>
      <c r="E728" s="1124"/>
      <c r="F728" s="1124"/>
      <c r="H728" s="353"/>
      <c r="I728" s="336"/>
      <c r="J728" s="353"/>
      <c r="K728" s="353"/>
    </row>
    <row r="729" spans="1:11">
      <c r="A729" s="336"/>
      <c r="B729" s="338" t="s">
        <v>314</v>
      </c>
      <c r="C729" s="336"/>
      <c r="D729" s="1247" t="s">
        <v>518</v>
      </c>
      <c r="E729" s="1247"/>
      <c r="F729" s="1247"/>
      <c r="H729" s="353"/>
      <c r="I729" s="336"/>
      <c r="J729" s="353"/>
      <c r="K729" s="353"/>
    </row>
    <row r="730" spans="1:11">
      <c r="A730" s="336"/>
      <c r="B730" s="336"/>
      <c r="C730" s="336"/>
      <c r="D730" s="1247"/>
      <c r="E730" s="1247"/>
      <c r="F730" s="1247"/>
      <c r="H730" s="353"/>
      <c r="I730" s="336"/>
      <c r="J730" s="353"/>
      <c r="K730" s="353"/>
    </row>
    <row r="731" spans="1:11">
      <c r="A731" s="336"/>
      <c r="B731" s="336"/>
      <c r="C731" s="336"/>
      <c r="D731" s="1247"/>
      <c r="E731" s="1247"/>
      <c r="F731" s="1247"/>
      <c r="H731" s="353"/>
      <c r="I731" s="336"/>
      <c r="J731" s="353"/>
      <c r="K731" s="353"/>
    </row>
    <row r="732" spans="1:11">
      <c r="A732" s="336"/>
      <c r="B732" s="336"/>
      <c r="C732" s="336"/>
      <c r="H732" s="353"/>
      <c r="I732" s="336"/>
      <c r="J732" s="353"/>
      <c r="K732" s="353"/>
    </row>
    <row r="733" spans="1:11">
      <c r="A733" s="336"/>
      <c r="B733" s="338" t="s">
        <v>314</v>
      </c>
      <c r="C733" s="336"/>
      <c r="D733" s="1247" t="s">
        <v>519</v>
      </c>
      <c r="E733" s="1247"/>
      <c r="F733" s="1247"/>
      <c r="H733" s="353"/>
      <c r="I733" s="336"/>
      <c r="J733" s="353"/>
      <c r="K733" s="353"/>
    </row>
    <row r="734" spans="1:11">
      <c r="A734" s="336"/>
      <c r="B734" s="336"/>
      <c r="C734" s="336"/>
      <c r="D734" s="1247"/>
      <c r="E734" s="1247"/>
      <c r="F734" s="1247"/>
      <c r="H734" s="353"/>
      <c r="I734" s="336"/>
      <c r="J734" s="353"/>
      <c r="K734" s="353"/>
    </row>
    <row r="735" spans="1:11">
      <c r="A735" s="336"/>
      <c r="B735" s="336"/>
      <c r="C735" s="336"/>
      <c r="D735" s="1247"/>
      <c r="E735" s="1247"/>
      <c r="F735" s="1247"/>
      <c r="H735" s="353"/>
      <c r="I735" s="336"/>
      <c r="J735" s="353"/>
      <c r="K735" s="353"/>
    </row>
    <row r="736" spans="1:11">
      <c r="A736" s="336"/>
      <c r="B736" s="336"/>
      <c r="C736" s="336"/>
      <c r="D736" s="1247"/>
      <c r="E736" s="1247"/>
      <c r="F736" s="1247"/>
      <c r="H736" s="353"/>
      <c r="I736" s="336"/>
      <c r="J736" s="353"/>
      <c r="K736" s="353"/>
    </row>
    <row r="737" spans="1:11">
      <c r="A737" s="336"/>
      <c r="B737" s="336"/>
      <c r="C737" s="336"/>
      <c r="H737" s="353"/>
      <c r="I737" s="336"/>
      <c r="J737" s="353"/>
      <c r="K737" s="353"/>
    </row>
    <row r="738" spans="1:11" ht="14.4">
      <c r="A738" s="337"/>
      <c r="B738" s="338" t="s">
        <v>314</v>
      </c>
      <c r="C738" s="336"/>
      <c r="D738" s="1247" t="s">
        <v>520</v>
      </c>
      <c r="E738" s="1247"/>
      <c r="F738" s="1247"/>
      <c r="H738" s="353"/>
      <c r="I738" s="336"/>
      <c r="J738" s="353"/>
      <c r="K738" s="353"/>
    </row>
    <row r="739" spans="1:11">
      <c r="A739" s="336"/>
      <c r="B739" s="336"/>
      <c r="C739" s="336"/>
      <c r="D739" s="1247"/>
      <c r="E739" s="1247"/>
      <c r="F739" s="1247"/>
      <c r="H739" s="353"/>
      <c r="I739" s="336"/>
      <c r="J739" s="353"/>
      <c r="K739" s="353"/>
    </row>
    <row r="740" spans="1:11">
      <c r="A740" s="336"/>
      <c r="B740" s="336"/>
      <c r="C740" s="336"/>
      <c r="D740" s="1247"/>
      <c r="E740" s="1247"/>
      <c r="F740" s="1247"/>
      <c r="H740" s="353"/>
      <c r="I740" s="336"/>
      <c r="J740" s="353"/>
      <c r="K740" s="353"/>
    </row>
    <row r="741" spans="1:11">
      <c r="A741" s="336"/>
      <c r="B741" s="336"/>
      <c r="C741" s="336"/>
      <c r="D741" s="1247"/>
      <c r="E741" s="1247"/>
      <c r="F741" s="1247"/>
      <c r="H741" s="353"/>
      <c r="I741" s="336"/>
      <c r="J741" s="353"/>
      <c r="K741" s="353"/>
    </row>
    <row r="742" spans="1:11">
      <c r="A742" s="336"/>
      <c r="B742" s="336"/>
      <c r="C742" s="336"/>
      <c r="D742" s="1247"/>
      <c r="E742" s="1247"/>
      <c r="F742" s="1247"/>
      <c r="H742" s="353"/>
      <c r="I742" s="336"/>
      <c r="J742" s="353"/>
      <c r="K742" s="353"/>
    </row>
    <row r="743" spans="1:11">
      <c r="A743" s="336"/>
      <c r="B743" s="336"/>
      <c r="C743" s="336"/>
      <c r="D743" s="344"/>
      <c r="H743" s="353"/>
      <c r="I743" s="336"/>
      <c r="J743" s="353"/>
      <c r="K743" s="353"/>
    </row>
    <row r="744" spans="1:11" ht="14.4">
      <c r="A744" s="337"/>
      <c r="B744" s="338" t="s">
        <v>314</v>
      </c>
      <c r="C744" s="336"/>
      <c r="D744" s="1247" t="s">
        <v>521</v>
      </c>
      <c r="E744" s="1247"/>
      <c r="F744" s="1247"/>
      <c r="H744" s="353"/>
      <c r="I744" s="336"/>
      <c r="J744" s="353"/>
      <c r="K744" s="353"/>
    </row>
    <row r="745" spans="1:11">
      <c r="A745" s="336"/>
      <c r="B745" s="336"/>
      <c r="C745" s="336"/>
      <c r="D745" s="1247"/>
      <c r="E745" s="1247"/>
      <c r="F745" s="1247"/>
      <c r="H745" s="353"/>
      <c r="I745" s="336"/>
      <c r="J745" s="353"/>
      <c r="K745" s="353"/>
    </row>
    <row r="746" spans="1:11">
      <c r="A746" s="336"/>
      <c r="B746" s="336"/>
      <c r="C746" s="336"/>
      <c r="D746" s="1247"/>
      <c r="E746" s="1247"/>
      <c r="F746" s="1247"/>
      <c r="H746" s="353"/>
      <c r="I746" s="336"/>
      <c r="J746" s="353"/>
      <c r="K746" s="353"/>
    </row>
    <row r="747" spans="1:11">
      <c r="A747" s="336"/>
      <c r="B747" s="336"/>
      <c r="C747" s="336"/>
      <c r="D747" s="1247"/>
      <c r="E747" s="1247"/>
      <c r="F747" s="1247"/>
      <c r="H747" s="353"/>
      <c r="I747" s="336"/>
      <c r="J747" s="353"/>
      <c r="K747" s="353"/>
    </row>
    <row r="748" spans="1:11">
      <c r="A748" s="336"/>
      <c r="B748" s="336"/>
      <c r="C748" s="336"/>
      <c r="D748" s="1247"/>
      <c r="E748" s="1247"/>
      <c r="F748" s="1247"/>
      <c r="H748" s="353"/>
      <c r="I748" s="336"/>
      <c r="J748" s="353"/>
      <c r="K748" s="353"/>
    </row>
    <row r="749" spans="1:11">
      <c r="A749" s="336"/>
      <c r="B749" s="336"/>
      <c r="C749" s="336"/>
      <c r="D749" s="1247"/>
      <c r="E749" s="1247"/>
      <c r="F749" s="1247"/>
      <c r="H749" s="353"/>
      <c r="I749" s="336"/>
      <c r="J749" s="353"/>
      <c r="K749" s="353"/>
    </row>
    <row r="750" spans="1:11">
      <c r="A750" s="336"/>
      <c r="B750" s="336"/>
      <c r="C750" s="336"/>
      <c r="D750" s="1247"/>
      <c r="E750" s="1247"/>
      <c r="F750" s="1247"/>
      <c r="H750" s="353"/>
      <c r="I750" s="336"/>
      <c r="J750" s="353"/>
      <c r="K750" s="353"/>
    </row>
    <row r="751" spans="1:11">
      <c r="A751" s="336"/>
      <c r="B751" s="336"/>
      <c r="C751" s="336"/>
      <c r="D751" s="1285" t="s">
        <v>522</v>
      </c>
      <c r="E751" s="1285"/>
      <c r="F751" s="1285"/>
      <c r="H751" s="353"/>
      <c r="I751" s="336"/>
      <c r="J751" s="353"/>
      <c r="K751" s="353"/>
    </row>
    <row r="752" spans="1:11">
      <c r="A752" s="336"/>
      <c r="B752" s="336"/>
      <c r="C752" s="336"/>
      <c r="D752" s="1139"/>
      <c r="H752" s="353"/>
      <c r="I752" s="336"/>
      <c r="J752" s="353"/>
      <c r="K752" s="353"/>
    </row>
    <row r="753" spans="1:11">
      <c r="A753" s="1254" t="s">
        <v>523</v>
      </c>
      <c r="B753" s="1254"/>
      <c r="C753" s="1254"/>
      <c r="D753" s="1254"/>
      <c r="E753" s="1254"/>
      <c r="F753" s="1254"/>
      <c r="G753" s="1254"/>
      <c r="H753" s="817"/>
      <c r="I753" s="939"/>
      <c r="J753" s="353"/>
      <c r="K753" s="353"/>
    </row>
    <row r="754" spans="1:11">
      <c r="A754" s="336"/>
      <c r="B754" s="336"/>
      <c r="C754" s="336"/>
      <c r="D754" s="344"/>
      <c r="G754" s="353"/>
      <c r="H754" s="353"/>
      <c r="I754" s="336"/>
      <c r="J754" s="353"/>
      <c r="K754" s="353"/>
    </row>
    <row r="755" spans="1:11" ht="13.95" customHeight="1">
      <c r="C755" s="336"/>
      <c r="D755" s="1249" t="s">
        <v>524</v>
      </c>
      <c r="E755" s="1249"/>
      <c r="F755" s="1249"/>
      <c r="G755" s="353"/>
      <c r="H755" s="353"/>
      <c r="I755" s="336"/>
      <c r="J755" s="353"/>
      <c r="K755" s="353"/>
    </row>
    <row r="756" spans="1:11">
      <c r="A756" s="336"/>
      <c r="B756" s="336"/>
      <c r="C756" s="336"/>
      <c r="D756" s="1253" t="s">
        <v>525</v>
      </c>
      <c r="E756" s="1253"/>
      <c r="F756" s="1253"/>
      <c r="G756" s="353"/>
      <c r="H756" s="353"/>
      <c r="I756" s="336"/>
      <c r="J756" s="353"/>
      <c r="K756" s="353"/>
    </row>
    <row r="757" spans="1:11">
      <c r="A757" s="336"/>
      <c r="B757" s="336"/>
      <c r="C757" s="336"/>
      <c r="G757" s="353"/>
      <c r="H757" s="353"/>
      <c r="I757" s="336"/>
      <c r="J757" s="353"/>
      <c r="K757" s="353"/>
    </row>
    <row r="758" spans="1:11" ht="14.4">
      <c r="A758" s="337"/>
      <c r="B758" s="338" t="s">
        <v>309</v>
      </c>
      <c r="D758" s="1247" t="s">
        <v>526</v>
      </c>
      <c r="E758" s="1247"/>
      <c r="F758" s="1247"/>
      <c r="G758" s="353"/>
      <c r="H758" s="353"/>
      <c r="I758" s="336"/>
      <c r="J758" s="353"/>
      <c r="K758" s="353"/>
    </row>
    <row r="759" spans="1:11" ht="10.5" customHeight="1">
      <c r="D759" s="1247"/>
      <c r="E759" s="1247"/>
      <c r="F759" s="1247"/>
      <c r="G759" s="353"/>
      <c r="H759" s="353"/>
      <c r="I759" s="336"/>
      <c r="J759" s="353"/>
      <c r="K759" s="353"/>
    </row>
    <row r="760" spans="1:11">
      <c r="D760" s="1247"/>
      <c r="E760" s="1247"/>
      <c r="F760" s="1247"/>
      <c r="G760" s="353"/>
      <c r="H760" s="353"/>
      <c r="I760" s="336"/>
      <c r="J760" s="353"/>
      <c r="K760" s="353"/>
    </row>
    <row r="761" spans="1:11">
      <c r="D761" s="1247"/>
      <c r="E761" s="1247"/>
      <c r="F761" s="1247"/>
      <c r="G761" s="353"/>
      <c r="H761" s="353"/>
      <c r="I761" s="336"/>
      <c r="J761" s="353"/>
      <c r="K761" s="353"/>
    </row>
    <row r="762" spans="1:11">
      <c r="D762" s="1247"/>
      <c r="E762" s="1247"/>
      <c r="F762" s="1247"/>
      <c r="G762" s="353"/>
      <c r="H762" s="353"/>
      <c r="I762" s="336"/>
      <c r="J762" s="353"/>
      <c r="K762" s="353"/>
    </row>
    <row r="763" spans="1:11" ht="15.6" customHeight="1">
      <c r="D763" s="1247"/>
      <c r="E763" s="1247"/>
      <c r="F763" s="1247"/>
      <c r="G763" s="353"/>
      <c r="H763" s="353"/>
      <c r="I763" s="336"/>
      <c r="J763" s="353"/>
      <c r="K763" s="353"/>
    </row>
    <row r="764" spans="1:11">
      <c r="D764" s="351"/>
      <c r="E764" s="1125"/>
      <c r="F764" s="1125"/>
      <c r="G764" s="353"/>
      <c r="H764" s="353"/>
      <c r="I764" s="336"/>
      <c r="J764" s="353"/>
      <c r="K764" s="353"/>
    </row>
    <row r="765" spans="1:11" s="357" customFormat="1" ht="14.4">
      <c r="A765" s="355"/>
      <c r="B765" s="338" t="s">
        <v>314</v>
      </c>
      <c r="C765" s="356"/>
      <c r="D765" s="1247" t="s">
        <v>527</v>
      </c>
      <c r="E765" s="1247"/>
      <c r="F765" s="1247"/>
      <c r="I765" s="940"/>
    </row>
    <row r="766" spans="1:11" s="357" customFormat="1">
      <c r="A766" s="356"/>
      <c r="B766" s="356"/>
      <c r="C766" s="356"/>
      <c r="D766" s="1247"/>
      <c r="E766" s="1247"/>
      <c r="F766" s="1247"/>
      <c r="I766" s="940"/>
    </row>
    <row r="767" spans="1:11" s="357" customFormat="1">
      <c r="A767" s="356"/>
      <c r="B767" s="356"/>
      <c r="C767" s="356"/>
      <c r="D767" s="1247"/>
      <c r="E767" s="1247"/>
      <c r="F767" s="1247"/>
      <c r="I767" s="940"/>
    </row>
    <row r="768" spans="1:11" s="357" customFormat="1">
      <c r="A768" s="356"/>
      <c r="B768" s="356"/>
      <c r="C768" s="356"/>
      <c r="D768" s="1247"/>
      <c r="E768" s="1247"/>
      <c r="F768" s="1247"/>
      <c r="I768" s="940"/>
    </row>
    <row r="769" spans="1:11" s="357" customFormat="1">
      <c r="A769" s="356"/>
      <c r="B769" s="356"/>
      <c r="C769" s="356"/>
      <c r="D769" s="351"/>
      <c r="I769" s="940"/>
    </row>
    <row r="770" spans="1:11" s="357" customFormat="1" ht="14.4">
      <c r="A770" s="337"/>
      <c r="B770" s="338" t="s">
        <v>309</v>
      </c>
      <c r="C770" s="356"/>
      <c r="D770" s="1272" t="s">
        <v>528</v>
      </c>
      <c r="E770" s="1272"/>
      <c r="F770" s="1272"/>
      <c r="I770" s="940"/>
    </row>
    <row r="771" spans="1:11" s="357" customFormat="1">
      <c r="A771" s="356"/>
      <c r="B771" s="356"/>
      <c r="C771" s="356"/>
      <c r="D771" s="1272"/>
      <c r="E771" s="1272"/>
      <c r="F771" s="1272"/>
      <c r="I771" s="940"/>
    </row>
    <row r="772" spans="1:11" s="357" customFormat="1">
      <c r="A772" s="356"/>
      <c r="B772" s="356"/>
      <c r="C772" s="356"/>
      <c r="D772" s="1272"/>
      <c r="E772" s="1272"/>
      <c r="F772" s="1272"/>
      <c r="I772" s="940"/>
    </row>
    <row r="773" spans="1:11">
      <c r="D773" s="351"/>
      <c r="E773" s="1125"/>
      <c r="F773" s="1125"/>
      <c r="G773" s="353"/>
      <c r="H773" s="353"/>
      <c r="I773" s="336"/>
      <c r="J773" s="353"/>
      <c r="K773" s="353"/>
    </row>
    <row r="774" spans="1:11" ht="14.4">
      <c r="A774" s="337"/>
      <c r="B774" s="338" t="s">
        <v>314</v>
      </c>
      <c r="D774" s="1247" t="s">
        <v>529</v>
      </c>
      <c r="E774" s="1247"/>
      <c r="F774" s="1247"/>
      <c r="G774" s="353"/>
      <c r="H774" s="353"/>
      <c r="I774" s="336"/>
      <c r="J774" s="353"/>
      <c r="K774" s="353"/>
    </row>
    <row r="775" spans="1:11">
      <c r="D775" s="1247"/>
      <c r="E775" s="1247"/>
      <c r="F775" s="1247"/>
      <c r="G775" s="353"/>
      <c r="H775" s="353"/>
      <c r="I775" s="336"/>
      <c r="J775" s="353"/>
      <c r="K775" s="353"/>
    </row>
    <row r="776" spans="1:11">
      <c r="D776" s="1124"/>
      <c r="E776" s="1124"/>
      <c r="F776" s="1124"/>
      <c r="G776" s="353"/>
      <c r="H776" s="353"/>
      <c r="I776" s="336"/>
      <c r="J776" s="353"/>
      <c r="K776" s="353"/>
    </row>
    <row r="777" spans="1:11">
      <c r="B777" s="338" t="s">
        <v>314</v>
      </c>
      <c r="D777" s="1247" t="s">
        <v>530</v>
      </c>
      <c r="E777" s="1247"/>
      <c r="F777" s="1247"/>
      <c r="G777" s="353"/>
      <c r="H777" s="353"/>
      <c r="I777" s="336"/>
      <c r="J777" s="353"/>
      <c r="K777" s="353"/>
    </row>
    <row r="778" spans="1:11">
      <c r="D778" s="1247"/>
      <c r="E778" s="1247"/>
      <c r="F778" s="1247"/>
      <c r="G778" s="353"/>
      <c r="H778" s="353"/>
      <c r="I778" s="336"/>
      <c r="J778" s="353"/>
      <c r="K778" s="353"/>
    </row>
    <row r="779" spans="1:11">
      <c r="D779" s="1247"/>
      <c r="E779" s="1247"/>
      <c r="F779" s="1247"/>
      <c r="G779" s="353"/>
      <c r="H779" s="353"/>
      <c r="I779" s="336"/>
      <c r="J779" s="353"/>
      <c r="K779" s="353"/>
    </row>
    <row r="780" spans="1:11">
      <c r="D780" s="1124"/>
      <c r="E780" s="1124"/>
      <c r="F780" s="1124"/>
      <c r="G780" s="353"/>
      <c r="H780" s="353"/>
      <c r="I780" s="336"/>
      <c r="J780" s="353"/>
      <c r="K780" s="353"/>
    </row>
    <row r="781" spans="1:11">
      <c r="A781" s="1279" t="s">
        <v>531</v>
      </c>
      <c r="B781" s="1279"/>
      <c r="C781" s="1279"/>
      <c r="D781" s="1279"/>
      <c r="E781" s="1279"/>
      <c r="F781" s="1279"/>
      <c r="G781" s="1279"/>
      <c r="H781" s="815"/>
      <c r="I781" s="935"/>
    </row>
    <row r="782" spans="1:11">
      <c r="A782" s="38"/>
      <c r="B782" s="38"/>
      <c r="C782" s="1179"/>
      <c r="D782" s="2"/>
      <c r="E782" s="2"/>
      <c r="F782" s="2"/>
      <c r="G782" s="2"/>
      <c r="I782" s="1123"/>
    </row>
    <row r="783" spans="1:11">
      <c r="A783" s="38"/>
      <c r="B783" s="38"/>
      <c r="C783" s="1179"/>
      <c r="D783" s="1278" t="s">
        <v>532</v>
      </c>
      <c r="E783" s="1278"/>
      <c r="F783" s="1278"/>
      <c r="G783" s="2"/>
      <c r="I783" s="1123"/>
    </row>
    <row r="784" spans="1:11">
      <c r="A784" s="38"/>
      <c r="B784" s="38"/>
      <c r="C784" s="1179"/>
      <c r="D784" s="1259" t="s">
        <v>533</v>
      </c>
      <c r="E784" s="1259"/>
      <c r="F784" s="1259"/>
      <c r="G784" s="2"/>
      <c r="I784" s="1123"/>
    </row>
    <row r="785" spans="1:9">
      <c r="A785" s="38"/>
      <c r="B785" s="38"/>
      <c r="C785" s="1179"/>
      <c r="D785" s="1130"/>
      <c r="E785" s="1130"/>
      <c r="F785" s="1130"/>
      <c r="G785" s="2"/>
      <c r="I785" s="1123"/>
    </row>
    <row r="786" spans="1:9">
      <c r="A786" s="38"/>
      <c r="B786" s="338" t="s">
        <v>309</v>
      </c>
      <c r="C786" s="1179"/>
      <c r="D786" s="1280" t="s">
        <v>534</v>
      </c>
      <c r="E786" s="1280"/>
      <c r="F786" s="1280"/>
      <c r="G786" s="2"/>
      <c r="I786" s="336"/>
    </row>
    <row r="787" spans="1:9">
      <c r="A787" s="38"/>
      <c r="B787" s="38"/>
      <c r="C787" s="1179"/>
      <c r="D787" s="1280"/>
      <c r="E787" s="1280"/>
      <c r="F787" s="1280"/>
      <c r="G787" s="2"/>
      <c r="I787" s="1123"/>
    </row>
    <row r="788" spans="1:9">
      <c r="A788" s="98"/>
      <c r="B788" s="98"/>
      <c r="C788" s="98"/>
      <c r="D788" s="1280"/>
      <c r="E788" s="1280"/>
      <c r="F788" s="1280"/>
      <c r="G788" s="68"/>
      <c r="I788" s="1123"/>
    </row>
    <row r="789" spans="1:9">
      <c r="A789" s="1179"/>
      <c r="B789" s="1179"/>
      <c r="C789" s="1179"/>
      <c r="D789" s="1140"/>
      <c r="E789" s="2"/>
      <c r="F789" s="2"/>
      <c r="G789" s="2"/>
      <c r="I789" s="1123"/>
    </row>
    <row r="790" spans="1:9">
      <c r="A790" s="97"/>
      <c r="B790" s="338" t="s">
        <v>314</v>
      </c>
      <c r="C790" s="97"/>
      <c r="D790" s="1280" t="s">
        <v>535</v>
      </c>
      <c r="E790" s="1280"/>
      <c r="F790" s="1280"/>
      <c r="G790" s="2"/>
      <c r="I790" s="336"/>
    </row>
    <row r="791" spans="1:9">
      <c r="A791" s="97"/>
      <c r="B791" s="97"/>
      <c r="C791" s="97"/>
      <c r="D791" s="1280"/>
      <c r="E791" s="1280"/>
      <c r="F791" s="1280"/>
      <c r="G791" s="2"/>
      <c r="I791" s="1123"/>
    </row>
    <row r="792" spans="1:9">
      <c r="A792" s="97"/>
      <c r="B792" s="97"/>
      <c r="C792" s="97"/>
      <c r="D792" s="1280"/>
      <c r="E792" s="1280"/>
      <c r="F792" s="1280"/>
      <c r="G792" s="2"/>
      <c r="I792" s="1123"/>
    </row>
    <row r="793" spans="1:9">
      <c r="A793" s="98"/>
      <c r="B793" s="98"/>
      <c r="C793" s="98"/>
      <c r="D793" s="2"/>
      <c r="E793" s="784"/>
      <c r="F793" s="784"/>
      <c r="G793" s="784"/>
      <c r="I793" s="1123"/>
    </row>
    <row r="794" spans="1:9" ht="14.4">
      <c r="A794" s="99"/>
      <c r="B794" s="338" t="s">
        <v>314</v>
      </c>
      <c r="C794" s="785"/>
      <c r="D794" s="1280" t="s">
        <v>536</v>
      </c>
      <c r="E794" s="1280"/>
      <c r="F794" s="1280"/>
      <c r="G794" s="784"/>
      <c r="I794" s="336"/>
    </row>
    <row r="795" spans="1:9" ht="14.4">
      <c r="A795" s="99"/>
      <c r="B795" s="99"/>
      <c r="C795" s="785"/>
      <c r="D795" s="1280"/>
      <c r="E795" s="1280"/>
      <c r="F795" s="1280"/>
      <c r="G795" s="784"/>
      <c r="I795" s="1123"/>
    </row>
    <row r="796" spans="1:9" ht="14.4">
      <c r="A796" s="99"/>
      <c r="B796" s="99"/>
      <c r="C796" s="785"/>
      <c r="D796" s="1280"/>
      <c r="E796" s="1280"/>
      <c r="F796" s="1280"/>
      <c r="G796" s="784"/>
      <c r="I796" s="1123"/>
    </row>
    <row r="797" spans="1:9" ht="14.4">
      <c r="A797" s="99"/>
      <c r="B797" s="99"/>
      <c r="C797" s="785"/>
      <c r="D797" s="68"/>
      <c r="E797" s="2"/>
      <c r="F797" s="2"/>
      <c r="G797" s="784"/>
      <c r="I797" s="1123"/>
    </row>
    <row r="798" spans="1:9" ht="14.4">
      <c r="A798" s="99"/>
      <c r="B798" s="338" t="s">
        <v>314</v>
      </c>
      <c r="C798" s="785"/>
      <c r="D798" s="1280" t="s">
        <v>537</v>
      </c>
      <c r="E798" s="1280"/>
      <c r="F798" s="1280"/>
      <c r="G798" s="784"/>
      <c r="I798" s="336"/>
    </row>
    <row r="799" spans="1:9" ht="14.4">
      <c r="A799" s="99"/>
      <c r="B799" s="99"/>
      <c r="C799" s="785"/>
      <c r="D799" s="1280"/>
      <c r="E799" s="1280"/>
      <c r="F799" s="1280"/>
      <c r="G799" s="784"/>
      <c r="I799" s="1123"/>
    </row>
    <row r="800" spans="1:9" ht="14.4">
      <c r="A800" s="99"/>
      <c r="B800" s="99"/>
      <c r="C800" s="785"/>
      <c r="D800" s="1280"/>
      <c r="E800" s="1280"/>
      <c r="F800" s="1280"/>
      <c r="G800" s="784"/>
      <c r="I800" s="1123"/>
    </row>
    <row r="801" spans="1:9" ht="14.4">
      <c r="A801" s="99"/>
      <c r="B801" s="99"/>
      <c r="C801" s="785"/>
      <c r="D801" s="1280"/>
      <c r="E801" s="1280"/>
      <c r="F801" s="1280"/>
      <c r="G801" s="784"/>
      <c r="I801" s="1123"/>
    </row>
    <row r="802" spans="1:9" ht="14.4">
      <c r="A802" s="99"/>
      <c r="B802" s="99"/>
      <c r="C802" s="785"/>
      <c r="D802" s="1280"/>
      <c r="E802" s="1280"/>
      <c r="F802" s="1280"/>
      <c r="G802" s="784"/>
      <c r="I802" s="1123"/>
    </row>
    <row r="803" spans="1:9" ht="14.4">
      <c r="A803" s="99"/>
      <c r="B803" s="99"/>
      <c r="C803" s="785"/>
      <c r="D803" s="1280"/>
      <c r="E803" s="1280"/>
      <c r="F803" s="1280"/>
      <c r="G803" s="784"/>
      <c r="I803" s="1123"/>
    </row>
    <row r="804" spans="1:9" ht="14.4">
      <c r="A804" s="99"/>
      <c r="B804" s="99"/>
      <c r="C804" s="785"/>
      <c r="D804" s="1280" t="s">
        <v>538</v>
      </c>
      <c r="E804" s="1280"/>
      <c r="F804" s="1280"/>
      <c r="G804" s="784"/>
      <c r="I804" s="1123"/>
    </row>
    <row r="805" spans="1:9" ht="14.4">
      <c r="A805" s="99"/>
      <c r="B805" s="99"/>
      <c r="C805" s="785"/>
      <c r="D805" s="1280"/>
      <c r="E805" s="1280"/>
      <c r="F805" s="1280"/>
      <c r="G805" s="784"/>
      <c r="I805" s="1123"/>
    </row>
    <row r="806" spans="1:9" ht="14.4">
      <c r="A806" s="99"/>
      <c r="B806" s="99"/>
      <c r="C806" s="785"/>
      <c r="D806" s="1280"/>
      <c r="E806" s="1280"/>
      <c r="F806" s="1280"/>
      <c r="G806" s="784"/>
      <c r="I806" s="1123"/>
    </row>
    <row r="807" spans="1:9" ht="14.4">
      <c r="A807" s="99"/>
      <c r="B807" s="1179"/>
      <c r="C807" s="785"/>
      <c r="D807" s="786"/>
      <c r="E807" s="786"/>
      <c r="F807" s="786"/>
      <c r="G807" s="784"/>
      <c r="I807" s="1123"/>
    </row>
    <row r="808" spans="1:9" ht="14.4">
      <c r="A808" s="99"/>
      <c r="B808" s="338" t="s">
        <v>314</v>
      </c>
      <c r="C808" s="785"/>
      <c r="D808" s="1280" t="s">
        <v>539</v>
      </c>
      <c r="E808" s="1280"/>
      <c r="F808" s="1280"/>
      <c r="G808" s="784"/>
      <c r="I808" s="336"/>
    </row>
    <row r="809" spans="1:9" ht="14.4">
      <c r="A809" s="99"/>
      <c r="B809" s="99"/>
      <c r="C809" s="785"/>
      <c r="D809" s="1280"/>
      <c r="E809" s="1280"/>
      <c r="F809" s="1280"/>
      <c r="G809" s="784"/>
      <c r="I809" s="1123"/>
    </row>
    <row r="810" spans="1:9" ht="14.4">
      <c r="A810" s="99"/>
      <c r="B810" s="99"/>
      <c r="C810" s="785"/>
      <c r="D810" s="1280"/>
      <c r="E810" s="1280"/>
      <c r="F810" s="1280"/>
      <c r="G810" s="784"/>
      <c r="I810" s="1123"/>
    </row>
    <row r="811" spans="1:9" ht="14.4">
      <c r="A811" s="99"/>
      <c r="B811" s="99"/>
      <c r="C811" s="785"/>
      <c r="D811" s="1280"/>
      <c r="E811" s="1280"/>
      <c r="F811" s="1280"/>
      <c r="G811" s="784"/>
      <c r="I811" s="1123"/>
    </row>
    <row r="812" spans="1:9" ht="14.4">
      <c r="A812" s="99"/>
      <c r="B812" s="99"/>
      <c r="C812" s="785"/>
      <c r="D812" s="1280"/>
      <c r="E812" s="1280"/>
      <c r="F812" s="1280"/>
      <c r="G812" s="784"/>
      <c r="I812" s="1123"/>
    </row>
    <row r="813" spans="1:9" ht="14.4">
      <c r="A813" s="99"/>
      <c r="B813" s="99"/>
      <c r="C813" s="785"/>
      <c r="D813" s="1280"/>
      <c r="E813" s="1280"/>
      <c r="F813" s="1280"/>
      <c r="G813" s="784"/>
      <c r="I813" s="1123"/>
    </row>
    <row r="814" spans="1:9" ht="14.4">
      <c r="A814" s="99"/>
      <c r="B814" s="99"/>
      <c r="C814" s="785"/>
      <c r="D814" s="1136"/>
      <c r="E814" s="1136"/>
      <c r="F814" s="1136"/>
      <c r="G814" s="784"/>
      <c r="I814" s="1123"/>
    </row>
    <row r="815" spans="1:9" ht="14.4">
      <c r="A815" s="99"/>
      <c r="B815" s="338" t="s">
        <v>314</v>
      </c>
      <c r="C815" s="785"/>
      <c r="D815" s="1280" t="s">
        <v>540</v>
      </c>
      <c r="E815" s="1280"/>
      <c r="F815" s="1280"/>
      <c r="G815" s="784"/>
      <c r="I815" s="336"/>
    </row>
    <row r="816" spans="1:9" ht="14.4">
      <c r="A816" s="99"/>
      <c r="B816" s="99"/>
      <c r="C816" s="785"/>
      <c r="D816" s="1280"/>
      <c r="E816" s="1280"/>
      <c r="F816" s="1280"/>
      <c r="G816" s="784"/>
      <c r="I816" s="1123"/>
    </row>
    <row r="817" spans="1:9" ht="14.4">
      <c r="A817" s="99"/>
      <c r="B817" s="99"/>
      <c r="C817" s="785"/>
      <c r="D817" s="1280"/>
      <c r="E817" s="1280"/>
      <c r="F817" s="1280"/>
      <c r="G817" s="784"/>
      <c r="I817" s="1123"/>
    </row>
    <row r="818" spans="1:9" ht="14.4">
      <c r="A818" s="99"/>
      <c r="B818" s="99"/>
      <c r="C818" s="785"/>
      <c r="D818" s="1280"/>
      <c r="E818" s="1280"/>
      <c r="F818" s="1280"/>
      <c r="G818" s="784"/>
      <c r="I818" s="1123"/>
    </row>
    <row r="819" spans="1:9" ht="14.4">
      <c r="A819" s="99"/>
      <c r="B819" s="99"/>
      <c r="C819" s="785"/>
      <c r="D819" s="1280"/>
      <c r="E819" s="1280"/>
      <c r="F819" s="1280"/>
      <c r="G819" s="784"/>
      <c r="I819" s="1123"/>
    </row>
    <row r="820" spans="1:9" ht="14.4">
      <c r="A820" s="99"/>
      <c r="B820" s="99"/>
      <c r="C820" s="785"/>
      <c r="D820" s="1280"/>
      <c r="E820" s="1280"/>
      <c r="F820" s="1280"/>
      <c r="G820" s="784"/>
      <c r="I820" s="1123"/>
    </row>
    <row r="821" spans="1:9" ht="14.4">
      <c r="A821" s="99"/>
      <c r="B821" s="99"/>
      <c r="C821" s="785"/>
      <c r="D821" s="1136"/>
      <c r="E821" s="1136"/>
      <c r="F821" s="1136"/>
      <c r="G821" s="784"/>
      <c r="I821" s="1123"/>
    </row>
    <row r="822" spans="1:9" ht="14.4">
      <c r="A822" s="99"/>
      <c r="B822" s="338" t="s">
        <v>314</v>
      </c>
      <c r="C822" s="785"/>
      <c r="D822" s="1252" t="s">
        <v>541</v>
      </c>
      <c r="E822" s="1252"/>
      <c r="F822" s="1252"/>
      <c r="G822" s="784"/>
      <c r="I822" s="336"/>
    </row>
    <row r="823" spans="1:9" ht="14.4">
      <c r="A823" s="99"/>
      <c r="B823" s="99"/>
      <c r="C823" s="785"/>
      <c r="D823" s="1252"/>
      <c r="E823" s="1252"/>
      <c r="F823" s="1252"/>
      <c r="G823" s="784"/>
      <c r="I823" s="1123"/>
    </row>
    <row r="824" spans="1:9">
      <c r="A824" s="1178"/>
      <c r="B824" s="1178"/>
      <c r="C824" s="785"/>
      <c r="D824" s="1252"/>
      <c r="E824" s="1252"/>
      <c r="F824" s="1252"/>
      <c r="G824" s="784"/>
      <c r="I824" s="1123"/>
    </row>
    <row r="825" spans="1:9" ht="14.4">
      <c r="A825" s="99"/>
      <c r="B825" s="1178"/>
      <c r="C825" s="785"/>
      <c r="D825" s="1252"/>
      <c r="E825" s="1252"/>
      <c r="F825" s="1252"/>
      <c r="G825" s="784"/>
      <c r="I825" s="1123"/>
    </row>
    <row r="826" spans="1:9" ht="12.75" customHeight="1">
      <c r="A826" s="99"/>
      <c r="B826" s="1178"/>
      <c r="C826" s="785"/>
      <c r="D826" s="1252"/>
      <c r="E826" s="1252"/>
      <c r="F826" s="1252"/>
      <c r="G826" s="784"/>
      <c r="I826" s="1123"/>
    </row>
    <row r="827" spans="1:9" ht="12.75" customHeight="1">
      <c r="A827" s="99"/>
      <c r="B827" s="1178"/>
      <c r="C827" s="785"/>
      <c r="D827" s="1252"/>
      <c r="E827" s="1252"/>
      <c r="F827" s="1252"/>
      <c r="G827" s="784"/>
      <c r="I827" s="1123"/>
    </row>
    <row r="828" spans="1:9" ht="12.75" customHeight="1">
      <c r="A828" s="1178"/>
      <c r="B828" s="1178"/>
      <c r="C828" s="785"/>
      <c r="D828" s="784"/>
      <c r="E828" s="2"/>
      <c r="F828" s="2"/>
      <c r="G828" s="784"/>
      <c r="I828" s="1123"/>
    </row>
    <row r="829" spans="1:9" ht="12.75" customHeight="1">
      <c r="A829" s="1273" t="s">
        <v>542</v>
      </c>
      <c r="B829" s="1273"/>
      <c r="C829" s="1273"/>
      <c r="D829" s="1273"/>
      <c r="E829" s="1273"/>
      <c r="F829" s="1273"/>
      <c r="G829" s="1273"/>
      <c r="H829" s="815"/>
      <c r="I829" s="935"/>
    </row>
    <row r="830" spans="1:9" ht="12.75" customHeight="1">
      <c r="A830" s="97"/>
      <c r="B830" s="97"/>
      <c r="C830" s="785"/>
      <c r="D830" s="784"/>
      <c r="E830" s="784"/>
      <c r="F830" s="784"/>
      <c r="G830" s="784"/>
      <c r="I830" s="1123"/>
    </row>
    <row r="831" spans="1:9" ht="12.75" customHeight="1">
      <c r="A831" s="99"/>
      <c r="B831" s="99"/>
      <c r="C831" s="1179"/>
      <c r="D831" s="1277" t="s">
        <v>543</v>
      </c>
      <c r="E831" s="1277"/>
      <c r="F831" s="1277"/>
      <c r="G831" s="2"/>
      <c r="I831" s="1123"/>
    </row>
    <row r="832" spans="1:9" ht="14.25" customHeight="1">
      <c r="A832" s="99"/>
      <c r="B832" s="99"/>
      <c r="C832" s="1179"/>
      <c r="D832" s="1224" t="s">
        <v>544</v>
      </c>
      <c r="E832" s="1224"/>
      <c r="F832" s="1224"/>
      <c r="G832" s="2"/>
      <c r="I832" s="1123"/>
    </row>
    <row r="833" spans="1:9" ht="12.75" customHeight="1">
      <c r="A833" s="99"/>
      <c r="B833" s="99"/>
      <c r="C833" s="1179"/>
      <c r="D833" s="1113"/>
      <c r="E833" s="1113"/>
      <c r="F833" s="1113"/>
      <c r="G833" s="2"/>
      <c r="I833" s="1123"/>
    </row>
    <row r="834" spans="1:9" ht="12.75" customHeight="1">
      <c r="A834" s="1179"/>
      <c r="B834" s="338" t="s">
        <v>309</v>
      </c>
      <c r="C834" s="785"/>
      <c r="D834" s="1224" t="s">
        <v>545</v>
      </c>
      <c r="E834" s="1224"/>
      <c r="F834" s="1224"/>
      <c r="G834" s="2"/>
      <c r="I834" s="1123" t="s">
        <v>546</v>
      </c>
    </row>
    <row r="835" spans="1:9" ht="14.25" customHeight="1">
      <c r="A835" s="1178"/>
      <c r="B835" s="1178"/>
      <c r="C835" s="785"/>
      <c r="E835" s="823" t="s">
        <v>375</v>
      </c>
      <c r="F835" s="1142"/>
      <c r="G835" s="2"/>
      <c r="I835" s="1123"/>
    </row>
    <row r="836" spans="1:9" ht="12.75" customHeight="1">
      <c r="A836" s="1178"/>
      <c r="B836" s="1178"/>
      <c r="C836" s="785"/>
      <c r="D836" s="787"/>
      <c r="E836" s="2"/>
      <c r="F836" s="2"/>
      <c r="G836" s="2"/>
      <c r="I836" s="1123"/>
    </row>
    <row r="837" spans="1:9" ht="14.25" hidden="1" customHeight="1">
      <c r="A837" s="1178"/>
      <c r="B837" s="338" t="s">
        <v>547</v>
      </c>
      <c r="C837" s="785"/>
      <c r="D837" s="1282" t="s">
        <v>548</v>
      </c>
      <c r="E837" s="1282"/>
      <c r="F837" s="1282"/>
      <c r="G837" s="2"/>
      <c r="I837" s="1123"/>
    </row>
    <row r="838" spans="1:9" ht="12.75" hidden="1" customHeight="1">
      <c r="A838" s="1178"/>
      <c r="B838" s="1178"/>
      <c r="C838" s="785"/>
      <c r="D838" s="1282"/>
      <c r="E838" s="1282"/>
      <c r="F838" s="1282"/>
      <c r="G838" s="2"/>
      <c r="I838" s="1123"/>
    </row>
    <row r="839" spans="1:9" ht="12.75" hidden="1" customHeight="1">
      <c r="A839" s="1178"/>
      <c r="B839" s="1178"/>
      <c r="C839" s="785"/>
      <c r="D839" s="1282"/>
      <c r="E839" s="1282"/>
      <c r="F839" s="1282"/>
      <c r="G839" s="2"/>
      <c r="I839" s="1123"/>
    </row>
    <row r="840" spans="1:9" ht="12.75" hidden="1" customHeight="1">
      <c r="A840" s="1178"/>
      <c r="B840" s="1178"/>
      <c r="C840" s="785"/>
      <c r="D840" s="1282"/>
      <c r="E840" s="1282"/>
      <c r="F840" s="1282"/>
      <c r="G840" s="2"/>
      <c r="I840" s="1123"/>
    </row>
    <row r="841" spans="1:9" ht="12.75" hidden="1" customHeight="1">
      <c r="A841" s="1178"/>
      <c r="B841" s="1178"/>
      <c r="C841" s="785"/>
      <c r="D841" s="1282"/>
      <c r="E841" s="1282"/>
      <c r="F841" s="1282"/>
      <c r="G841" s="2"/>
      <c r="I841" s="1123"/>
    </row>
    <row r="842" spans="1:9" ht="12.75" hidden="1" customHeight="1">
      <c r="A842" s="1178"/>
      <c r="B842" s="1178"/>
      <c r="C842" s="785"/>
      <c r="D842" s="1282"/>
      <c r="E842" s="1282"/>
      <c r="F842" s="1282"/>
      <c r="G842" s="2"/>
      <c r="I842" s="1123"/>
    </row>
    <row r="843" spans="1:9" ht="12.75" hidden="1" customHeight="1">
      <c r="A843" s="1178"/>
      <c r="B843" s="1178"/>
      <c r="C843" s="785"/>
      <c r="D843" s="1282"/>
      <c r="E843" s="1282"/>
      <c r="F843" s="1282"/>
      <c r="G843" s="2"/>
      <c r="I843" s="1123"/>
    </row>
    <row r="844" spans="1:9" ht="12.75" hidden="1" customHeight="1">
      <c r="A844" s="1178"/>
      <c r="B844" s="1178"/>
      <c r="C844" s="785"/>
      <c r="D844" s="1282"/>
      <c r="E844" s="1282"/>
      <c r="F844" s="1282"/>
      <c r="G844" s="2"/>
      <c r="I844" s="1123"/>
    </row>
    <row r="845" spans="1:9" ht="12.75" hidden="1" customHeight="1">
      <c r="A845" s="1178"/>
      <c r="B845" s="1178"/>
      <c r="C845" s="785"/>
      <c r="D845" s="1282"/>
      <c r="E845" s="1282"/>
      <c r="F845" s="1282"/>
      <c r="G845" s="2"/>
      <c r="I845" s="1123"/>
    </row>
    <row r="846" spans="1:9" ht="12.75" hidden="1" customHeight="1">
      <c r="A846" s="1178"/>
      <c r="B846" s="1178"/>
      <c r="C846" s="785"/>
      <c r="D846" s="1282"/>
      <c r="E846" s="1282"/>
      <c r="F846" s="1282"/>
      <c r="G846" s="2"/>
      <c r="I846" s="1123"/>
    </row>
    <row r="847" spans="1:9" ht="12.75" hidden="1" customHeight="1">
      <c r="A847" s="1178"/>
      <c r="B847" s="1178"/>
      <c r="C847" s="785"/>
      <c r="D847" s="787"/>
      <c r="E847" s="2"/>
      <c r="F847" s="2"/>
      <c r="G847" s="2"/>
      <c r="I847" s="1123"/>
    </row>
    <row r="848" spans="1:9" ht="12.75" customHeight="1">
      <c r="A848" s="99"/>
      <c r="B848" s="338" t="s">
        <v>309</v>
      </c>
      <c r="C848" s="785"/>
      <c r="D848" s="1224" t="s">
        <v>549</v>
      </c>
      <c r="E848" s="1224"/>
      <c r="F848" s="1224"/>
      <c r="G848" s="2"/>
      <c r="I848" s="1123" t="s">
        <v>550</v>
      </c>
    </row>
    <row r="849" spans="1:9" ht="12.75" customHeight="1">
      <c r="A849" s="99"/>
      <c r="B849" s="99"/>
      <c r="C849" s="785"/>
      <c r="D849" s="1224"/>
      <c r="E849" s="1224"/>
      <c r="F849" s="1224"/>
      <c r="G849" s="2"/>
      <c r="I849" s="1123"/>
    </row>
    <row r="850" spans="1:9" ht="12.75" customHeight="1">
      <c r="A850" s="99"/>
      <c r="B850" s="99"/>
      <c r="C850" s="785"/>
      <c r="D850" s="1224"/>
      <c r="E850" s="1224"/>
      <c r="F850" s="1224"/>
      <c r="G850" s="2"/>
      <c r="I850" s="1123"/>
    </row>
    <row r="851" spans="1:9" ht="12.75" customHeight="1">
      <c r="A851" s="99"/>
      <c r="B851" s="99"/>
      <c r="C851" s="785"/>
      <c r="D851" s="68"/>
      <c r="E851" s="2"/>
      <c r="F851" s="2"/>
      <c r="G851" s="2"/>
      <c r="I851" s="1123"/>
    </row>
    <row r="852" spans="1:9" ht="12.75" customHeight="1">
      <c r="A852" s="788"/>
      <c r="B852" s="338" t="s">
        <v>309</v>
      </c>
      <c r="C852" s="785"/>
      <c r="D852" s="1277" t="s">
        <v>551</v>
      </c>
      <c r="E852" s="1277"/>
      <c r="F852" s="1277"/>
      <c r="G852" s="2"/>
      <c r="I852" s="1123"/>
    </row>
    <row r="853" spans="1:9" ht="12.75" customHeight="1">
      <c r="A853" s="1179"/>
      <c r="B853" s="788"/>
      <c r="C853" s="785"/>
      <c r="D853" s="1277"/>
      <c r="E853" s="1277"/>
      <c r="F853" s="1277"/>
      <c r="G853" s="2"/>
      <c r="I853" s="1123"/>
    </row>
    <row r="854" spans="1:9" ht="12.75" customHeight="1">
      <c r="A854" s="99"/>
      <c r="B854" s="1179"/>
      <c r="C854" s="785"/>
      <c r="D854" s="1224" t="s">
        <v>552</v>
      </c>
      <c r="E854" s="1224"/>
      <c r="F854" s="1224"/>
      <c r="G854" s="2"/>
      <c r="I854" s="1123"/>
    </row>
    <row r="855" spans="1:9" ht="12.75" customHeight="1">
      <c r="A855" s="99"/>
      <c r="B855" s="99"/>
      <c r="C855" s="785"/>
      <c r="D855" s="1224"/>
      <c r="E855" s="1224"/>
      <c r="F855" s="1224"/>
      <c r="G855" s="2"/>
      <c r="I855" s="1123"/>
    </row>
    <row r="856" spans="1:9" ht="12.75" customHeight="1">
      <c r="A856" s="99"/>
      <c r="B856" s="99"/>
      <c r="C856" s="785"/>
      <c r="D856" s="1224"/>
      <c r="E856" s="1224"/>
      <c r="F856" s="1224"/>
      <c r="G856" s="2"/>
      <c r="I856" s="1123"/>
    </row>
    <row r="857" spans="1:9" ht="12.75" customHeight="1">
      <c r="A857" s="99"/>
      <c r="B857" s="99"/>
      <c r="C857" s="785"/>
      <c r="D857" s="1224"/>
      <c r="E857" s="1224"/>
      <c r="F857" s="1224"/>
      <c r="G857" s="2"/>
      <c r="I857" s="1123"/>
    </row>
    <row r="858" spans="1:9" ht="12.75" customHeight="1">
      <c r="A858" s="99"/>
      <c r="B858" s="99"/>
      <c r="C858" s="785"/>
      <c r="D858" s="1224"/>
      <c r="E858" s="1224"/>
      <c r="F858" s="1224"/>
      <c r="G858" s="2"/>
      <c r="I858" s="1123"/>
    </row>
    <row r="859" spans="1:9" ht="12.75" customHeight="1">
      <c r="A859" s="99"/>
      <c r="B859" s="99"/>
      <c r="C859" s="785"/>
      <c r="D859" s="1224"/>
      <c r="E859" s="1224"/>
      <c r="F859" s="1224"/>
      <c r="G859" s="2"/>
      <c r="I859" s="1123"/>
    </row>
    <row r="860" spans="1:9" ht="12.75" customHeight="1">
      <c r="A860" s="99"/>
      <c r="B860" s="99"/>
      <c r="C860" s="785"/>
      <c r="D860" s="68"/>
      <c r="E860" s="2"/>
      <c r="F860" s="2"/>
      <c r="G860" s="2"/>
      <c r="I860" s="1123"/>
    </row>
    <row r="861" spans="1:9" ht="12.75" customHeight="1">
      <c r="A861" s="99"/>
      <c r="B861" s="338" t="s">
        <v>314</v>
      </c>
      <c r="C861" s="785"/>
      <c r="D861" s="1224" t="s">
        <v>553</v>
      </c>
      <c r="E861" s="1224"/>
      <c r="F861" s="1224"/>
      <c r="G861" s="2"/>
      <c r="I861" s="1123" t="s">
        <v>554</v>
      </c>
    </row>
    <row r="862" spans="1:9" ht="12.75" customHeight="1">
      <c r="A862" s="99"/>
      <c r="B862" s="99"/>
      <c r="C862" s="785"/>
      <c r="D862" s="1224" t="s">
        <v>555</v>
      </c>
      <c r="E862" s="1224"/>
      <c r="F862" s="1224"/>
      <c r="G862" s="2"/>
      <c r="I862" s="1123"/>
    </row>
    <row r="863" spans="1:9" ht="12.75" customHeight="1">
      <c r="A863" s="99"/>
      <c r="B863" s="99"/>
      <c r="C863" s="785"/>
      <c r="E863" s="823" t="s">
        <v>384</v>
      </c>
      <c r="F863" s="1142"/>
      <c r="G863" s="2"/>
      <c r="I863" s="1123"/>
    </row>
    <row r="864" spans="1:9" ht="12.75" customHeight="1">
      <c r="A864" s="99"/>
      <c r="B864" s="99"/>
      <c r="C864" s="785"/>
      <c r="D864" s="68"/>
      <c r="E864" s="2"/>
      <c r="F864" s="2"/>
      <c r="G864" s="2"/>
      <c r="I864" s="1123"/>
    </row>
    <row r="865" spans="1:9" ht="12.75" customHeight="1">
      <c r="A865" s="99"/>
      <c r="B865" s="338" t="s">
        <v>314</v>
      </c>
      <c r="C865" s="785"/>
      <c r="D865" s="1224" t="s">
        <v>556</v>
      </c>
      <c r="E865" s="1224"/>
      <c r="F865" s="1224"/>
      <c r="G865" s="2"/>
      <c r="I865" s="1123" t="s">
        <v>557</v>
      </c>
    </row>
    <row r="866" spans="1:9" ht="12.75" customHeight="1">
      <c r="A866" s="99"/>
      <c r="B866" s="99"/>
      <c r="C866" s="785"/>
      <c r="D866" s="1224"/>
      <c r="E866" s="1224"/>
      <c r="F866" s="1224"/>
      <c r="G866" s="2"/>
      <c r="I866" s="1123"/>
    </row>
    <row r="867" spans="1:9" ht="12.75" customHeight="1">
      <c r="A867" s="99"/>
      <c r="B867" s="99"/>
      <c r="C867" s="785"/>
      <c r="D867" s="1224"/>
      <c r="E867" s="1224"/>
      <c r="F867" s="1224"/>
      <c r="G867" s="2"/>
      <c r="I867" s="1123"/>
    </row>
    <row r="868" spans="1:9" ht="12.75" customHeight="1">
      <c r="A868" s="99"/>
      <c r="B868" s="99"/>
      <c r="C868" s="785"/>
      <c r="D868" s="1224"/>
      <c r="E868" s="1224"/>
      <c r="F868" s="1224"/>
      <c r="G868" s="2"/>
      <c r="I868" s="1123"/>
    </row>
    <row r="869" spans="1:9" ht="12.75" customHeight="1">
      <c r="A869" s="97"/>
      <c r="B869" s="97"/>
      <c r="C869" s="97"/>
      <c r="D869" s="68"/>
      <c r="E869" s="2"/>
      <c r="F869" s="2"/>
      <c r="G869" s="2"/>
      <c r="I869" s="1123"/>
    </row>
    <row r="870" spans="1:9" ht="12.75" customHeight="1">
      <c r="A870" s="1134" t="s">
        <v>558</v>
      </c>
      <c r="B870" s="1134"/>
      <c r="C870" s="1159"/>
      <c r="D870" s="1159"/>
      <c r="E870" s="1159"/>
      <c r="F870" s="1159"/>
      <c r="G870" s="1159"/>
      <c r="H870" s="815"/>
      <c r="I870" s="935"/>
    </row>
    <row r="871" spans="1:9" ht="12.75" customHeight="1">
      <c r="A871" s="97"/>
      <c r="B871" s="97"/>
      <c r="C871" s="97"/>
      <c r="D871" s="789"/>
      <c r="E871" s="2"/>
      <c r="F871" s="2"/>
      <c r="G871" s="2"/>
      <c r="I871" s="1123"/>
    </row>
    <row r="872" spans="1:9" ht="12.75" customHeight="1">
      <c r="A872" s="1179"/>
      <c r="B872" s="1179"/>
      <c r="C872" s="98"/>
      <c r="D872" s="1286" t="s">
        <v>559</v>
      </c>
      <c r="E872" s="1286"/>
      <c r="F872" s="1286"/>
      <c r="G872" s="784"/>
      <c r="I872" s="1123"/>
    </row>
    <row r="873" spans="1:9" ht="12.75" customHeight="1">
      <c r="A873" s="1179"/>
      <c r="B873" s="1179"/>
      <c r="C873" s="98"/>
      <c r="D873" s="1281" t="s">
        <v>560</v>
      </c>
      <c r="E873" s="1281"/>
      <c r="F873" s="1281"/>
      <c r="G873" s="784"/>
      <c r="I873" s="1123"/>
    </row>
    <row r="874" spans="1:9" ht="12.75" customHeight="1">
      <c r="A874" s="1179"/>
      <c r="B874" s="1179"/>
      <c r="C874" s="98"/>
      <c r="D874" s="1137"/>
      <c r="E874" s="1137"/>
      <c r="F874" s="1137"/>
      <c r="G874" s="784"/>
      <c r="I874" s="1123"/>
    </row>
    <row r="875" spans="1:9" ht="12.75" customHeight="1">
      <c r="A875" s="99"/>
      <c r="B875" s="338" t="s">
        <v>309</v>
      </c>
      <c r="C875" s="1179"/>
      <c r="D875" s="1264" t="s">
        <v>561</v>
      </c>
      <c r="E875" s="1264"/>
      <c r="F875" s="1264"/>
      <c r="G875" s="784"/>
      <c r="I875" s="1123" t="s">
        <v>554</v>
      </c>
    </row>
    <row r="876" spans="1:9" ht="12.75" customHeight="1">
      <c r="A876" s="1179"/>
      <c r="B876" s="1179"/>
      <c r="C876" s="1179"/>
      <c r="D876" s="1" t="s">
        <v>355</v>
      </c>
      <c r="E876" s="823" t="s">
        <v>384</v>
      </c>
      <c r="F876" s="824"/>
      <c r="G876" s="784"/>
      <c r="I876" s="1123"/>
    </row>
    <row r="877" spans="1:9" ht="12.75" customHeight="1">
      <c r="A877" s="1179"/>
      <c r="B877" s="1179"/>
      <c r="C877" s="1179"/>
      <c r="D877" s="68"/>
      <c r="E877" s="784"/>
      <c r="F877" s="784"/>
      <c r="G877" s="784"/>
      <c r="I877" s="1123"/>
    </row>
    <row r="878" spans="1:9" ht="12.75" customHeight="1">
      <c r="A878" s="99"/>
      <c r="B878" s="338" t="s">
        <v>309</v>
      </c>
      <c r="C878" s="1179"/>
      <c r="D878" s="1224" t="s">
        <v>562</v>
      </c>
      <c r="E878" s="1274"/>
      <c r="F878" s="1274"/>
      <c r="G878" s="2"/>
      <c r="I878" s="1123" t="s">
        <v>557</v>
      </c>
    </row>
    <row r="879" spans="1:9" ht="12.75" customHeight="1">
      <c r="A879" s="1179"/>
      <c r="B879" s="1179"/>
      <c r="C879" s="1179"/>
      <c r="D879" s="1274"/>
      <c r="E879" s="1274"/>
      <c r="F879" s="1274"/>
      <c r="G879" s="2"/>
      <c r="I879" s="1123"/>
    </row>
    <row r="880" spans="1:9" ht="12.75" customHeight="1">
      <c r="A880" s="1179"/>
      <c r="B880" s="1179"/>
      <c r="C880" s="1179"/>
      <c r="D880" s="68"/>
      <c r="E880" s="2"/>
      <c r="F880" s="2"/>
      <c r="G880" s="2"/>
      <c r="I880" s="1123"/>
    </row>
    <row r="881" spans="1:9" ht="12.75" customHeight="1">
      <c r="A881" s="1179"/>
      <c r="B881" s="338" t="s">
        <v>314</v>
      </c>
      <c r="C881" s="1179"/>
      <c r="D881" s="1275" t="s">
        <v>563</v>
      </c>
      <c r="E881" s="1275"/>
      <c r="F881" s="1275"/>
      <c r="G881" s="784"/>
      <c r="I881" s="1123"/>
    </row>
    <row r="882" spans="1:9" ht="12.75" customHeight="1">
      <c r="A882" s="1179"/>
      <c r="B882" s="790"/>
      <c r="C882" s="1179"/>
      <c r="D882" s="1275"/>
      <c r="E882" s="1275"/>
      <c r="F882" s="1275"/>
      <c r="G882" s="784"/>
      <c r="I882" s="1123"/>
    </row>
    <row r="883" spans="1:9" ht="12.75" customHeight="1">
      <c r="A883" s="99"/>
      <c r="B883"/>
      <c r="C883" s="1179"/>
      <c r="D883" s="1224" t="s">
        <v>552</v>
      </c>
      <c r="E883" s="1224"/>
      <c r="F883" s="1224"/>
      <c r="G883" s="784"/>
      <c r="I883" s="1123"/>
    </row>
    <row r="884" spans="1:9" ht="12.75" customHeight="1">
      <c r="A884" s="99"/>
      <c r="B884" s="99"/>
      <c r="C884" s="1179"/>
      <c r="D884" s="1224"/>
      <c r="E884" s="1224"/>
      <c r="F884" s="1224"/>
      <c r="G884" s="784"/>
      <c r="I884" s="1123"/>
    </row>
    <row r="885" spans="1:9" ht="12.75" customHeight="1">
      <c r="A885" s="99"/>
      <c r="B885" s="99"/>
      <c r="C885" s="1179"/>
      <c r="D885" s="1224"/>
      <c r="E885" s="1224"/>
      <c r="F885" s="1224"/>
      <c r="G885" s="784"/>
      <c r="I885" s="1123"/>
    </row>
    <row r="886" spans="1:9" ht="12.75" customHeight="1">
      <c r="A886" s="99"/>
      <c r="B886" s="99"/>
      <c r="C886" s="1179"/>
      <c r="D886" s="1224"/>
      <c r="E886" s="1224"/>
      <c r="F886" s="1224"/>
      <c r="G886" s="784"/>
      <c r="I886" s="1123"/>
    </row>
    <row r="887" spans="1:9" ht="12.75" customHeight="1">
      <c r="A887" s="99"/>
      <c r="B887" s="99"/>
      <c r="C887" s="1179"/>
      <c r="D887" s="1224"/>
      <c r="E887" s="1224"/>
      <c r="F887" s="1224"/>
      <c r="G887" s="784"/>
      <c r="I887" s="1123"/>
    </row>
    <row r="888" spans="1:9" ht="12.75" customHeight="1">
      <c r="A888" s="99"/>
      <c r="B888" s="99"/>
      <c r="C888" s="1179"/>
      <c r="D888" s="1224"/>
      <c r="E888" s="1224"/>
      <c r="F888" s="1224"/>
      <c r="G888" s="784"/>
      <c r="I888" s="1123"/>
    </row>
    <row r="889" spans="1:9" ht="12.75" customHeight="1">
      <c r="A889" s="99"/>
      <c r="B889" s="99"/>
      <c r="C889" s="1179"/>
      <c r="D889" s="68"/>
      <c r="E889" s="784"/>
      <c r="F889" s="784"/>
      <c r="G889" s="784"/>
      <c r="I889" s="1123"/>
    </row>
    <row r="890" spans="1:9" ht="12.75" customHeight="1">
      <c r="A890" s="99"/>
      <c r="B890" s="338" t="s">
        <v>314</v>
      </c>
      <c r="C890" s="1179"/>
      <c r="D890" s="1265" t="s">
        <v>553</v>
      </c>
      <c r="E890" s="1265"/>
      <c r="F890" s="1265"/>
      <c r="G890" s="784"/>
      <c r="I890" s="1123"/>
    </row>
    <row r="891" spans="1:9" ht="12.75" customHeight="1">
      <c r="A891" s="99"/>
      <c r="B891" s="99"/>
      <c r="C891" s="1179"/>
      <c r="D891" s="1265" t="s">
        <v>555</v>
      </c>
      <c r="E891" s="1265"/>
      <c r="F891" s="1265"/>
      <c r="G891" s="784"/>
      <c r="I891" s="1123"/>
    </row>
    <row r="892" spans="1:9" ht="12.75" customHeight="1">
      <c r="A892" s="99"/>
      <c r="B892" s="99"/>
      <c r="C892" s="1179"/>
      <c r="D892" s="1" t="s">
        <v>564</v>
      </c>
      <c r="E892" s="823" t="s">
        <v>384</v>
      </c>
      <c r="F892" s="825"/>
      <c r="G892" s="784"/>
      <c r="I892" s="1123"/>
    </row>
    <row r="893" spans="1:9" ht="12.75" customHeight="1">
      <c r="A893" s="99"/>
      <c r="B893" s="99"/>
      <c r="C893" s="1179"/>
      <c r="D893" s="68"/>
      <c r="E893" s="784"/>
      <c r="F893" s="784"/>
      <c r="G893" s="784"/>
      <c r="I893" s="1123"/>
    </row>
    <row r="894" spans="1:9" ht="12.75" customHeight="1">
      <c r="A894" s="99"/>
      <c r="B894" s="338" t="s">
        <v>314</v>
      </c>
      <c r="C894" s="1179"/>
      <c r="D894" s="1224" t="s">
        <v>556</v>
      </c>
      <c r="E894" s="1224"/>
      <c r="F894" s="1224"/>
      <c r="G894" s="784"/>
      <c r="I894" s="1123"/>
    </row>
    <row r="895" spans="1:9" ht="12.75" customHeight="1">
      <c r="A895" s="99"/>
      <c r="B895" s="99"/>
      <c r="C895" s="1179"/>
      <c r="D895" s="1224"/>
      <c r="E895" s="1224"/>
      <c r="F895" s="1224"/>
      <c r="G895" s="784"/>
      <c r="I895" s="1123"/>
    </row>
    <row r="896" spans="1:9" ht="12.75" customHeight="1">
      <c r="A896" s="99"/>
      <c r="B896" s="99"/>
      <c r="C896" s="1179"/>
      <c r="D896" s="1224"/>
      <c r="E896" s="1224"/>
      <c r="F896" s="1224"/>
      <c r="G896" s="784"/>
      <c r="I896" s="1123"/>
    </row>
    <row r="897" spans="1:9" ht="12.75" customHeight="1">
      <c r="A897" s="99"/>
      <c r="B897" s="99"/>
      <c r="C897" s="1179"/>
      <c r="D897" s="1224"/>
      <c r="E897" s="1224"/>
      <c r="F897" s="1224"/>
      <c r="G897" s="784"/>
      <c r="I897" s="1123"/>
    </row>
    <row r="898" spans="1:9" ht="12.75" customHeight="1">
      <c r="A898" s="68"/>
      <c r="B898" s="68"/>
      <c r="C898" s="785"/>
      <c r="D898" s="784"/>
      <c r="E898" s="784"/>
      <c r="F898" s="784"/>
      <c r="G898" s="784"/>
      <c r="I898" s="1123"/>
    </row>
    <row r="899" spans="1:9" ht="12.75" customHeight="1">
      <c r="A899" s="1273" t="s">
        <v>565</v>
      </c>
      <c r="B899" s="1273"/>
      <c r="C899" s="1273"/>
      <c r="D899" s="1273"/>
      <c r="E899" s="1273"/>
      <c r="F899" s="1273"/>
      <c r="G899" s="1273"/>
      <c r="H899" s="815"/>
      <c r="I899" s="935"/>
    </row>
    <row r="900" spans="1:9" ht="12.75" customHeight="1">
      <c r="A900" s="38"/>
      <c r="B900" s="38"/>
      <c r="C900" s="38"/>
      <c r="D900" s="38"/>
      <c r="E900" s="38"/>
      <c r="F900" s="38"/>
      <c r="G900" s="38"/>
      <c r="I900" s="1123"/>
    </row>
    <row r="901" spans="1:9" ht="12.75" customHeight="1">
      <c r="A901" s="38"/>
      <c r="B901" s="38"/>
      <c r="C901" s="38"/>
      <c r="D901" s="1289" t="s">
        <v>566</v>
      </c>
      <c r="E901" s="1289"/>
      <c r="F901" s="1289"/>
      <c r="G901" s="38"/>
      <c r="I901" s="1123"/>
    </row>
    <row r="902" spans="1:9" ht="12.75" customHeight="1">
      <c r="A902" s="38"/>
      <c r="B902" s="38"/>
      <c r="C902" s="38"/>
      <c r="D902" s="1143"/>
      <c r="E902" s="1143"/>
      <c r="F902" s="1143"/>
      <c r="G902" s="38"/>
      <c r="I902" s="1123"/>
    </row>
    <row r="903" spans="1:9" ht="12.75" customHeight="1">
      <c r="A903" s="38"/>
      <c r="B903" s="338" t="s">
        <v>309</v>
      </c>
      <c r="C903" s="38"/>
      <c r="D903" s="1141" t="s">
        <v>567</v>
      </c>
      <c r="E903" s="1143"/>
      <c r="F903" s="1143"/>
      <c r="G903" s="38"/>
      <c r="I903" s="1123"/>
    </row>
    <row r="904" spans="1:9" ht="12.75" customHeight="1">
      <c r="A904" s="38"/>
      <c r="B904" s="38"/>
      <c r="C904" s="38"/>
      <c r="D904" s="1143"/>
      <c r="E904" s="1143"/>
      <c r="F904" s="1143"/>
      <c r="G904" s="38"/>
      <c r="I904" s="1123"/>
    </row>
    <row r="905" spans="1:9" ht="12.75" customHeight="1">
      <c r="A905" s="1179"/>
      <c r="B905" s="1179"/>
      <c r="C905" s="785"/>
      <c r="D905" s="1289" t="s">
        <v>568</v>
      </c>
      <c r="E905" s="1289"/>
      <c r="F905" s="1289"/>
      <c r="G905" s="784"/>
      <c r="I905" s="1123"/>
    </row>
    <row r="906" spans="1:9" ht="12.75" customHeight="1">
      <c r="A906" s="97"/>
      <c r="B906" s="97"/>
      <c r="C906" s="97"/>
      <c r="D906" s="1264" t="s">
        <v>569</v>
      </c>
      <c r="E906" s="1264"/>
      <c r="F906" s="1264"/>
      <c r="G906" s="784"/>
      <c r="I906" s="1123"/>
    </row>
    <row r="907" spans="1:9" ht="12.75" customHeight="1">
      <c r="A907" s="785"/>
      <c r="B907" s="785"/>
      <c r="C907" s="785"/>
      <c r="D907" s="1"/>
      <c r="E907" s="784"/>
      <c r="F907" s="784"/>
      <c r="G907" s="784"/>
      <c r="I907" s="1123"/>
    </row>
    <row r="908" spans="1:9" ht="12.75" customHeight="1">
      <c r="A908" s="99"/>
      <c r="B908" s="338" t="s">
        <v>309</v>
      </c>
      <c r="C908" s="1179"/>
      <c r="D908" s="1224" t="s">
        <v>570</v>
      </c>
      <c r="E908" s="1224"/>
      <c r="F908" s="1224"/>
      <c r="G908" s="2"/>
      <c r="I908" s="1123"/>
    </row>
    <row r="909" spans="1:9" ht="12.75" customHeight="1">
      <c r="A909" s="1179"/>
      <c r="B909" s="1179"/>
      <c r="C909" s="1179"/>
      <c r="D909" s="1224"/>
      <c r="E909" s="1224"/>
      <c r="F909" s="1224"/>
      <c r="G909" s="2"/>
      <c r="I909" s="1123"/>
    </row>
    <row r="910" spans="1:9" ht="12.75" customHeight="1">
      <c r="A910" s="97"/>
      <c r="B910" s="97"/>
      <c r="C910" s="97"/>
      <c r="D910" s="1224" t="s">
        <v>571</v>
      </c>
      <c r="E910" s="1224"/>
      <c r="F910" s="1224"/>
      <c r="G910" s="784"/>
      <c r="I910" s="1123"/>
    </row>
    <row r="911" spans="1:9" ht="12.75" customHeight="1">
      <c r="A911" s="97"/>
      <c r="B911" s="97"/>
      <c r="C911" s="97"/>
      <c r="D911" s="1224"/>
      <c r="E911" s="1224"/>
      <c r="F911" s="1224"/>
      <c r="G911" s="784"/>
      <c r="I911" s="1123"/>
    </row>
    <row r="912" spans="1:9" ht="12.75" customHeight="1">
      <c r="A912" s="97"/>
      <c r="B912" s="97"/>
      <c r="C912" s="97"/>
      <c r="D912" s="2"/>
      <c r="E912" s="2"/>
      <c r="F912" s="784"/>
      <c r="G912" s="784"/>
      <c r="I912" s="1123"/>
    </row>
    <row r="913" spans="1:9" ht="12.75" customHeight="1">
      <c r="A913" s="99"/>
      <c r="B913" s="338" t="s">
        <v>309</v>
      </c>
      <c r="C913" s="98"/>
      <c r="D913" s="1228" t="s">
        <v>572</v>
      </c>
      <c r="E913" s="1228"/>
      <c r="F913" s="1228"/>
      <c r="G913" s="784"/>
      <c r="I913" s="1123"/>
    </row>
    <row r="914" spans="1:9" ht="12.75" customHeight="1">
      <c r="A914" s="99"/>
      <c r="B914" s="99"/>
      <c r="C914" s="98"/>
      <c r="D914" s="1228"/>
      <c r="E914" s="1228"/>
      <c r="F914" s="1228"/>
      <c r="G914" s="784"/>
      <c r="I914" s="1123"/>
    </row>
    <row r="915" spans="1:9" ht="12.75" customHeight="1">
      <c r="A915" s="99"/>
      <c r="B915" s="99"/>
      <c r="C915" s="98"/>
      <c r="D915" s="1228"/>
      <c r="E915" s="1228"/>
      <c r="F915" s="1228"/>
      <c r="G915" s="784"/>
      <c r="I915" s="1123"/>
    </row>
    <row r="916" spans="1:9" ht="12.75" customHeight="1">
      <c r="A916" s="99"/>
      <c r="B916" s="99"/>
      <c r="C916" s="98"/>
      <c r="D916" s="1228"/>
      <c r="E916" s="1228"/>
      <c r="F916" s="1228"/>
      <c r="G916" s="784"/>
      <c r="I916" s="1123"/>
    </row>
    <row r="917" spans="1:9" ht="12.75" customHeight="1">
      <c r="A917" s="99"/>
      <c r="B917" s="99"/>
      <c r="C917" s="98"/>
      <c r="D917" s="1228"/>
      <c r="E917" s="1228"/>
      <c r="F917" s="1228"/>
      <c r="G917" s="784"/>
      <c r="I917" s="1123"/>
    </row>
    <row r="918" spans="1:9" ht="12.75" customHeight="1">
      <c r="A918" s="98"/>
      <c r="B918" s="98"/>
      <c r="C918" s="98"/>
      <c r="D918" s="1228"/>
      <c r="E918" s="1228"/>
      <c r="F918" s="1228"/>
      <c r="G918" s="784"/>
      <c r="I918" s="1123"/>
    </row>
    <row r="919" spans="1:9" ht="12.75" customHeight="1">
      <c r="A919" s="98"/>
      <c r="B919" s="98"/>
      <c r="C919" s="98"/>
      <c r="D919" s="1228"/>
      <c r="E919" s="1228"/>
      <c r="F919" s="1228"/>
      <c r="G919" s="784"/>
      <c r="I919" s="1123"/>
    </row>
    <row r="920" spans="1:9" ht="12.75" customHeight="1">
      <c r="A920" s="98"/>
      <c r="B920" s="98"/>
      <c r="C920" s="98"/>
      <c r="D920" s="1228"/>
      <c r="E920" s="1228"/>
      <c r="F920" s="1228"/>
      <c r="G920" s="784"/>
      <c r="I920" s="1123"/>
    </row>
    <row r="921" spans="1:9" ht="12.75" customHeight="1">
      <c r="A921" s="98"/>
      <c r="B921" s="98"/>
      <c r="C921" s="98"/>
      <c r="D921" s="1116"/>
      <c r="E921" s="1116"/>
      <c r="F921" s="1116"/>
      <c r="G921" s="784"/>
      <c r="I921" s="1123"/>
    </row>
    <row r="922" spans="1:9" ht="12.75" customHeight="1">
      <c r="A922" s="785"/>
      <c r="B922" s="338" t="s">
        <v>314</v>
      </c>
      <c r="C922" s="785"/>
      <c r="D922" s="1224" t="s">
        <v>573</v>
      </c>
      <c r="E922" s="1224"/>
      <c r="F922" s="1224"/>
      <c r="G922" s="784"/>
      <c r="I922" s="1123"/>
    </row>
    <row r="923" spans="1:9" ht="12.75" customHeight="1">
      <c r="A923" s="785"/>
      <c r="B923" s="785"/>
      <c r="C923" s="785"/>
      <c r="D923" s="1224"/>
      <c r="E923" s="1224"/>
      <c r="F923" s="1224"/>
      <c r="G923" s="784"/>
      <c r="I923" s="1123"/>
    </row>
    <row r="924" spans="1:9" ht="12.75" customHeight="1">
      <c r="A924" s="785"/>
      <c r="B924" s="785"/>
      <c r="C924" s="785"/>
      <c r="D924" s="784"/>
      <c r="E924" s="784"/>
      <c r="F924" s="784"/>
      <c r="G924" s="784"/>
      <c r="I924" s="1123"/>
    </row>
    <row r="925" spans="1:9" ht="12.75" customHeight="1">
      <c r="A925" s="785"/>
      <c r="B925" s="338" t="s">
        <v>314</v>
      </c>
      <c r="C925" s="785"/>
      <c r="D925" s="1252" t="s">
        <v>574</v>
      </c>
      <c r="E925" s="1252"/>
      <c r="F925" s="1252"/>
      <c r="G925" s="784"/>
      <c r="I925" s="1123"/>
    </row>
    <row r="926" spans="1:9" ht="12.75" customHeight="1">
      <c r="A926" s="785"/>
      <c r="B926" s="785"/>
      <c r="C926" s="785"/>
      <c r="D926" s="1252"/>
      <c r="E926" s="1252"/>
      <c r="F926" s="1252"/>
      <c r="G926" s="784"/>
      <c r="I926" s="1123"/>
    </row>
    <row r="927" spans="1:9" ht="12.75" customHeight="1">
      <c r="A927" s="785"/>
      <c r="B927" s="785"/>
      <c r="C927" s="785"/>
      <c r="D927" s="1252"/>
      <c r="E927" s="1252"/>
      <c r="F927" s="1252"/>
      <c r="G927" s="784"/>
      <c r="I927" s="1123"/>
    </row>
    <row r="928" spans="1:9" ht="12.75" customHeight="1">
      <c r="A928" s="785"/>
      <c r="B928" s="785"/>
      <c r="C928" s="785"/>
      <c r="D928" s="1252"/>
      <c r="E928" s="1252"/>
      <c r="F928" s="1252"/>
      <c r="G928" s="784"/>
      <c r="I928" s="1123"/>
    </row>
    <row r="929" spans="1:9" ht="12.75" customHeight="1">
      <c r="A929" s="785"/>
      <c r="B929" s="785"/>
      <c r="C929" s="785"/>
      <c r="D929" s="68"/>
      <c r="E929" s="784"/>
      <c r="F929" s="784"/>
      <c r="G929" s="784"/>
      <c r="I929" s="1123"/>
    </row>
    <row r="930" spans="1:9" ht="12.75" customHeight="1">
      <c r="A930" s="785"/>
      <c r="B930" s="338" t="s">
        <v>314</v>
      </c>
      <c r="C930" s="785"/>
      <c r="D930" s="1264" t="s">
        <v>575</v>
      </c>
      <c r="E930" s="1264"/>
      <c r="F930" s="1264"/>
      <c r="G930" s="784"/>
      <c r="I930" s="1123"/>
    </row>
    <row r="931" spans="1:9" ht="12.75" customHeight="1">
      <c r="A931" s="785"/>
      <c r="B931" s="785"/>
      <c r="C931" s="785"/>
      <c r="D931" s="68"/>
      <c r="E931" s="784"/>
      <c r="F931" s="784"/>
      <c r="G931" s="784"/>
      <c r="I931" s="1123"/>
    </row>
    <row r="932" spans="1:9" ht="12.75" customHeight="1">
      <c r="A932" s="785"/>
      <c r="B932" s="338" t="s">
        <v>314</v>
      </c>
      <c r="C932" s="785"/>
      <c r="D932" s="1264" t="s">
        <v>576</v>
      </c>
      <c r="E932" s="1264"/>
      <c r="F932" s="1264"/>
      <c r="G932" s="784"/>
      <c r="I932" s="1123"/>
    </row>
    <row r="933" spans="1:9" ht="12.75" customHeight="1">
      <c r="A933" s="98"/>
      <c r="B933" s="98"/>
      <c r="C933" s="98"/>
      <c r="D933" s="1"/>
      <c r="E933" s="2"/>
      <c r="F933" s="784"/>
      <c r="G933" s="784"/>
      <c r="I933" s="1123"/>
    </row>
    <row r="934" spans="1:9" ht="12.75" customHeight="1">
      <c r="A934" s="791"/>
      <c r="B934" s="338" t="s">
        <v>309</v>
      </c>
      <c r="C934" s="792"/>
      <c r="D934" s="1228" t="s">
        <v>577</v>
      </c>
      <c r="E934" s="1228"/>
      <c r="F934" s="1228"/>
      <c r="G934" s="793"/>
      <c r="I934" s="1123"/>
    </row>
    <row r="935" spans="1:9" ht="12.75" customHeight="1">
      <c r="A935" s="791"/>
      <c r="B935" s="791"/>
      <c r="C935" s="792"/>
      <c r="D935" s="1228"/>
      <c r="E935" s="1228"/>
      <c r="F935" s="1228"/>
      <c r="G935" s="793"/>
      <c r="I935" s="1123"/>
    </row>
    <row r="936" spans="1:9" ht="12.75" customHeight="1">
      <c r="A936" s="791"/>
      <c r="B936" s="791"/>
      <c r="C936" s="792"/>
      <c r="D936" s="1228"/>
      <c r="E936" s="1228"/>
      <c r="F936" s="1228"/>
      <c r="G936" s="793"/>
      <c r="I936" s="1123"/>
    </row>
    <row r="937" spans="1:9" ht="12.75" customHeight="1">
      <c r="A937" s="791"/>
      <c r="B937" s="791"/>
      <c r="C937" s="792"/>
      <c r="D937" s="1228"/>
      <c r="E937" s="1228"/>
      <c r="F937" s="1228"/>
      <c r="G937" s="793"/>
      <c r="I937" s="1123"/>
    </row>
    <row r="938" spans="1:9" ht="12.75" customHeight="1">
      <c r="A938" s="791"/>
      <c r="B938" s="791"/>
      <c r="C938" s="792"/>
      <c r="D938" s="1228"/>
      <c r="E938" s="1228"/>
      <c r="F938" s="1228"/>
      <c r="G938" s="793"/>
      <c r="I938" s="1123"/>
    </row>
    <row r="939" spans="1:9" ht="12.75" customHeight="1">
      <c r="A939" s="791"/>
      <c r="B939" s="791"/>
      <c r="C939" s="792"/>
      <c r="D939" s="1228"/>
      <c r="E939" s="1228"/>
      <c r="F939" s="1228"/>
      <c r="G939" s="793"/>
      <c r="I939" s="1123"/>
    </row>
    <row r="940" spans="1:9" ht="12.75" customHeight="1">
      <c r="A940" s="791"/>
      <c r="B940" s="791"/>
      <c r="C940" s="792"/>
      <c r="D940" s="1228"/>
      <c r="E940" s="1228"/>
      <c r="F940" s="1228"/>
      <c r="G940" s="793"/>
      <c r="I940" s="1123"/>
    </row>
    <row r="941" spans="1:9" ht="12.75" customHeight="1">
      <c r="A941" s="791"/>
      <c r="B941" s="791"/>
      <c r="C941" s="792"/>
      <c r="D941" s="1228"/>
      <c r="E941" s="1228"/>
      <c r="F941" s="1228"/>
      <c r="G941" s="793"/>
      <c r="I941" s="1123"/>
    </row>
    <row r="942" spans="1:9" ht="12.75" customHeight="1">
      <c r="A942" s="791"/>
      <c r="B942" s="791"/>
      <c r="C942" s="792"/>
      <c r="D942" s="1228"/>
      <c r="E942" s="1228"/>
      <c r="F942" s="1228"/>
      <c r="G942" s="793"/>
      <c r="I942" s="1123"/>
    </row>
    <row r="943" spans="1:9" ht="12.75" customHeight="1">
      <c r="A943" s="98"/>
      <c r="B943" s="98"/>
      <c r="C943" s="98"/>
      <c r="D943" s="1"/>
      <c r="E943" s="2"/>
      <c r="F943" s="784"/>
      <c r="G943" s="784"/>
      <c r="I943" s="1123"/>
    </row>
    <row r="944" spans="1:9" ht="12.75" customHeight="1">
      <c r="A944" s="99"/>
      <c r="B944" s="338" t="s">
        <v>309</v>
      </c>
      <c r="C944" s="98"/>
      <c r="D944" s="1283" t="s">
        <v>578</v>
      </c>
      <c r="E944" s="1283"/>
      <c r="F944" s="1283"/>
      <c r="G944" s="784"/>
      <c r="I944" s="1123"/>
    </row>
    <row r="945" spans="1:9" ht="12.75" customHeight="1">
      <c r="A945" s="99"/>
      <c r="B945" s="99"/>
      <c r="C945" s="98"/>
      <c r="D945" s="1283"/>
      <c r="E945" s="1283"/>
      <c r="F945" s="1283"/>
      <c r="G945" s="784"/>
      <c r="I945" s="1123"/>
    </row>
    <row r="946" spans="1:9" ht="12.75" customHeight="1">
      <c r="A946" s="99"/>
      <c r="B946" s="99"/>
      <c r="C946" s="98"/>
      <c r="D946" s="1283"/>
      <c r="E946" s="1283"/>
      <c r="F946" s="1283"/>
      <c r="G946" s="784"/>
      <c r="I946" s="1123"/>
    </row>
    <row r="947" spans="1:9" ht="12.75" customHeight="1">
      <c r="A947" s="99"/>
      <c r="B947" s="99"/>
      <c r="C947" s="98"/>
      <c r="D947" s="1283"/>
      <c r="E947" s="1283"/>
      <c r="F947" s="1283"/>
      <c r="G947" s="784"/>
      <c r="I947" s="1123"/>
    </row>
    <row r="948" spans="1:9" ht="12.75" customHeight="1">
      <c r="A948" s="99"/>
      <c r="B948" s="99"/>
      <c r="C948" s="98"/>
      <c r="D948" s="1283"/>
      <c r="E948" s="1283"/>
      <c r="F948" s="1283"/>
      <c r="G948" s="784"/>
      <c r="I948" s="1123"/>
    </row>
    <row r="949" spans="1:9" ht="12.75" customHeight="1">
      <c r="A949" s="99"/>
      <c r="B949" s="99"/>
      <c r="C949" s="98"/>
      <c r="D949" s="1283"/>
      <c r="E949" s="1283"/>
      <c r="F949" s="1283"/>
      <c r="G949" s="784"/>
      <c r="I949" s="1123"/>
    </row>
    <row r="950" spans="1:9" ht="12.75" customHeight="1">
      <c r="A950" s="99"/>
      <c r="B950" s="99"/>
      <c r="C950" s="98"/>
      <c r="D950" s="1283"/>
      <c r="E950" s="1283"/>
      <c r="F950" s="1283"/>
      <c r="G950" s="784"/>
      <c r="I950" s="1123"/>
    </row>
    <row r="951" spans="1:9" ht="12.75" customHeight="1">
      <c r="A951" s="99"/>
      <c r="B951" s="99"/>
      <c r="C951" s="98"/>
      <c r="D951" s="1138"/>
      <c r="E951" s="1138"/>
      <c r="F951" s="1138"/>
      <c r="G951" s="784"/>
      <c r="I951" s="1123"/>
    </row>
    <row r="952" spans="1:9" ht="12.75" customHeight="1">
      <c r="A952" s="99"/>
      <c r="B952" s="338" t="s">
        <v>309</v>
      </c>
      <c r="C952" s="98"/>
      <c r="D952" s="1227" t="s">
        <v>579</v>
      </c>
      <c r="E952" s="1227"/>
      <c r="F952" s="1227"/>
      <c r="G952" s="784"/>
      <c r="I952" s="1123"/>
    </row>
    <row r="953" spans="1:9" ht="12.75" customHeight="1">
      <c r="A953" s="99"/>
      <c r="B953" s="99"/>
      <c r="C953" s="98"/>
      <c r="D953" s="1227"/>
      <c r="E953" s="1227"/>
      <c r="F953" s="1227"/>
      <c r="G953" s="784"/>
      <c r="I953" s="1123"/>
    </row>
    <row r="954" spans="1:9" ht="12.75" customHeight="1">
      <c r="A954" s="99"/>
      <c r="B954" s="99"/>
      <c r="C954" s="98"/>
      <c r="D954" s="1227"/>
      <c r="E954" s="1227"/>
      <c r="F954" s="1227"/>
      <c r="G954" s="784"/>
      <c r="I954" s="1123"/>
    </row>
    <row r="955" spans="1:9" ht="12.75" customHeight="1">
      <c r="A955" s="99"/>
      <c r="B955" s="99"/>
      <c r="C955" s="98"/>
      <c r="D955" s="1227"/>
      <c r="E955" s="1227"/>
      <c r="F955" s="1227"/>
      <c r="G955" s="784"/>
      <c r="I955" s="1123"/>
    </row>
    <row r="956" spans="1:9" ht="12.75" customHeight="1">
      <c r="A956" s="99"/>
      <c r="B956" s="99"/>
      <c r="C956" s="98"/>
      <c r="D956" s="1227"/>
      <c r="E956" s="1227"/>
      <c r="F956" s="1227"/>
      <c r="G956" s="784"/>
      <c r="I956" s="1123"/>
    </row>
    <row r="957" spans="1:9" ht="12.75" customHeight="1">
      <c r="A957" s="99"/>
      <c r="B957" s="99"/>
      <c r="C957" s="98"/>
      <c r="D957" s="1227"/>
      <c r="E957" s="1227"/>
      <c r="F957" s="1227"/>
      <c r="G957" s="784"/>
      <c r="I957" s="1123"/>
    </row>
    <row r="958" spans="1:9" ht="12.75" customHeight="1">
      <c r="A958" s="99"/>
      <c r="B958" s="99"/>
      <c r="C958" s="98"/>
      <c r="D958" s="1138"/>
      <c r="E958" s="1138"/>
      <c r="F958" s="1138"/>
      <c r="G958" s="784"/>
      <c r="I958" s="1123"/>
    </row>
    <row r="959" spans="1:9" ht="12.75" customHeight="1">
      <c r="A959" s="785"/>
      <c r="B959" s="338" t="s">
        <v>314</v>
      </c>
      <c r="C959" s="785"/>
      <c r="D959" s="1252" t="s">
        <v>580</v>
      </c>
      <c r="E959" s="1252"/>
      <c r="F959" s="1252"/>
      <c r="G959" s="784"/>
      <c r="I959" s="1123"/>
    </row>
    <row r="960" spans="1:9" ht="12.75" customHeight="1">
      <c r="A960" s="785"/>
      <c r="B960" s="785"/>
      <c r="C960" s="785"/>
      <c r="D960" s="1252"/>
      <c r="E960" s="1252"/>
      <c r="F960" s="1252"/>
      <c r="G960" s="784"/>
      <c r="I960" s="1123"/>
    </row>
    <row r="961" spans="1:9" ht="12.75" customHeight="1">
      <c r="A961" s="785"/>
      <c r="B961" s="785"/>
      <c r="C961" s="785"/>
      <c r="D961" s="1252"/>
      <c r="E961" s="1252"/>
      <c r="F961" s="1252"/>
      <c r="G961" s="784"/>
      <c r="I961" s="1123"/>
    </row>
    <row r="962" spans="1:9" ht="12.75" customHeight="1">
      <c r="A962" s="99"/>
      <c r="B962" s="99"/>
      <c r="C962" s="98"/>
      <c r="D962" s="1138"/>
      <c r="E962" s="1138"/>
      <c r="F962" s="1138"/>
      <c r="G962" s="784"/>
      <c r="I962" s="1123"/>
    </row>
    <row r="963" spans="1:9" ht="12.75" customHeight="1">
      <c r="A963" s="99"/>
      <c r="B963" s="99"/>
      <c r="C963" s="98"/>
      <c r="D963" s="668"/>
      <c r="E963" s="2"/>
      <c r="F963" s="784"/>
      <c r="G963" s="784"/>
      <c r="I963" s="1123"/>
    </row>
    <row r="964" spans="1:9" ht="12.75" customHeight="1">
      <c r="A964" s="99"/>
      <c r="B964" s="338" t="s">
        <v>314</v>
      </c>
      <c r="C964" s="98"/>
      <c r="D964" s="1228" t="s">
        <v>581</v>
      </c>
      <c r="E964" s="1228"/>
      <c r="F964" s="1228"/>
      <c r="G964" s="784"/>
      <c r="I964" s="1123"/>
    </row>
    <row r="965" spans="1:9" ht="12.75" customHeight="1">
      <c r="A965" s="99"/>
      <c r="B965" s="99"/>
      <c r="C965" s="98"/>
      <c r="D965" s="1228"/>
      <c r="E965" s="1228"/>
      <c r="F965" s="1228"/>
      <c r="G965" s="784"/>
      <c r="I965" s="1123"/>
    </row>
    <row r="966" spans="1:9" ht="12.75" customHeight="1">
      <c r="A966" s="99"/>
      <c r="B966" s="99"/>
      <c r="C966" s="98"/>
      <c r="D966" s="1228"/>
      <c r="E966" s="1228"/>
      <c r="F966" s="1228"/>
      <c r="G966" s="784"/>
      <c r="I966" s="1123"/>
    </row>
    <row r="967" spans="1:9" ht="12.75" customHeight="1">
      <c r="A967" s="99"/>
      <c r="B967" s="99"/>
      <c r="C967" s="98"/>
      <c r="D967" s="1228"/>
      <c r="E967" s="1228"/>
      <c r="F967" s="1228"/>
      <c r="G967" s="784"/>
      <c r="I967" s="1123"/>
    </row>
    <row r="968" spans="1:9" ht="12.75" customHeight="1">
      <c r="A968" s="785"/>
      <c r="B968" s="785"/>
      <c r="C968" s="785"/>
      <c r="D968" s="1118"/>
      <c r="E968" s="1118"/>
      <c r="F968" s="1118"/>
      <c r="G968" s="1118"/>
      <c r="I968" s="1123"/>
    </row>
    <row r="969" spans="1:9" ht="12.75" customHeight="1">
      <c r="A969" s="1179"/>
      <c r="B969" s="1179"/>
      <c r="C969" s="1179"/>
      <c r="D969" s="1286" t="s">
        <v>582</v>
      </c>
      <c r="E969" s="1286"/>
      <c r="F969" s="1286"/>
      <c r="G969" s="2"/>
      <c r="I969" s="1123"/>
    </row>
    <row r="970" spans="1:9" ht="12.75" customHeight="1">
      <c r="A970" s="99"/>
      <c r="B970" s="338" t="s">
        <v>314</v>
      </c>
      <c r="C970" s="1179"/>
      <c r="D970" s="1264" t="s">
        <v>583</v>
      </c>
      <c r="E970" s="1264"/>
      <c r="F970" s="1264"/>
      <c r="G970" s="2"/>
      <c r="I970" s="1123"/>
    </row>
    <row r="971" spans="1:9" ht="12.75" customHeight="1">
      <c r="A971" s="1179"/>
      <c r="B971" s="1179"/>
      <c r="C971" s="1179"/>
      <c r="D971" s="2"/>
      <c r="E971" s="2"/>
      <c r="F971" s="2"/>
      <c r="G971" s="2"/>
      <c r="I971" s="1123"/>
    </row>
    <row r="972" spans="1:9" ht="12.75" customHeight="1">
      <c r="A972" s="1179"/>
      <c r="B972" s="1179"/>
      <c r="C972" s="1179"/>
      <c r="D972" s="1286" t="s">
        <v>584</v>
      </c>
      <c r="E972" s="1286"/>
      <c r="F972" s="1286"/>
      <c r="G972"/>
      <c r="I972" s="1123"/>
    </row>
    <row r="973" spans="1:9" ht="12.75" customHeight="1">
      <c r="A973" s="99"/>
      <c r="B973" s="338" t="s">
        <v>309</v>
      </c>
      <c r="C973" s="1179"/>
      <c r="D973" s="1224" t="s">
        <v>585</v>
      </c>
      <c r="E973" s="1224"/>
      <c r="F973" s="1224"/>
      <c r="G973"/>
      <c r="I973" s="1123"/>
    </row>
    <row r="974" spans="1:9" ht="12.75" customHeight="1">
      <c r="A974" s="99"/>
      <c r="B974" s="99"/>
      <c r="C974" s="1179"/>
      <c r="D974" s="1224"/>
      <c r="E974" s="1224"/>
      <c r="F974" s="1224"/>
      <c r="G974"/>
      <c r="I974" s="1123"/>
    </row>
    <row r="975" spans="1:9" ht="12.75" customHeight="1">
      <c r="A975" s="99"/>
      <c r="B975" s="99"/>
      <c r="C975" s="1179"/>
      <c r="D975" s="1224"/>
      <c r="E975" s="1224"/>
      <c r="F975" s="1224"/>
      <c r="G975"/>
      <c r="I975" s="1123"/>
    </row>
    <row r="976" spans="1:9" ht="12.75" customHeight="1">
      <c r="A976" s="99"/>
      <c r="B976" s="99"/>
      <c r="C976" s="1179"/>
      <c r="D976" s="1224"/>
      <c r="E976" s="1224"/>
      <c r="F976" s="1224"/>
      <c r="G976"/>
      <c r="I976" s="1123"/>
    </row>
    <row r="977" spans="1:9" ht="12.75" customHeight="1">
      <c r="A977" s="99"/>
      <c r="B977" s="99"/>
      <c r="C977" s="1179"/>
      <c r="D977" s="1224"/>
      <c r="E977" s="1224"/>
      <c r="F977" s="1224"/>
      <c r="G977"/>
      <c r="I977" s="1123"/>
    </row>
    <row r="978" spans="1:9" ht="12.75" customHeight="1">
      <c r="A978" s="99"/>
      <c r="B978" s="99"/>
      <c r="C978" s="1179"/>
      <c r="D978" s="1224"/>
      <c r="E978" s="1224"/>
      <c r="F978" s="1224"/>
      <c r="G978"/>
      <c r="I978" s="1123"/>
    </row>
    <row r="979" spans="1:9" ht="12.75" customHeight="1">
      <c r="A979" s="99"/>
      <c r="B979" s="99"/>
      <c r="C979" s="1179"/>
      <c r="D979" s="1224"/>
      <c r="E979" s="1224"/>
      <c r="F979" s="1224"/>
      <c r="G979"/>
      <c r="I979" s="1123"/>
    </row>
    <row r="980" spans="1:9" ht="12.75" customHeight="1">
      <c r="A980" s="99"/>
      <c r="B980" s="99"/>
      <c r="C980" s="1179"/>
      <c r="D980" s="1224"/>
      <c r="E980" s="1224"/>
      <c r="F980" s="1224"/>
      <c r="G980"/>
      <c r="I980" s="1123"/>
    </row>
    <row r="981" spans="1:9" ht="12.75" customHeight="1">
      <c r="A981" s="99"/>
      <c r="B981" s="99"/>
      <c r="C981" s="1179"/>
      <c r="D981" s="1224"/>
      <c r="E981" s="1224"/>
      <c r="F981" s="1224"/>
      <c r="G981"/>
      <c r="I981" s="1123"/>
    </row>
    <row r="982" spans="1:9" ht="12.75" customHeight="1">
      <c r="A982" s="99"/>
      <c r="B982" s="99"/>
      <c r="C982" s="1179"/>
      <c r="D982" s="1224"/>
      <c r="E982" s="1224"/>
      <c r="F982" s="1224"/>
      <c r="G982"/>
      <c r="I982" s="1123"/>
    </row>
    <row r="983" spans="1:9" ht="12.75" customHeight="1">
      <c r="A983" s="99"/>
      <c r="B983" s="99"/>
      <c r="C983" s="1179"/>
      <c r="D983" s="1224"/>
      <c r="E983" s="1224"/>
      <c r="F983" s="1224"/>
      <c r="G983"/>
      <c r="I983" s="1123"/>
    </row>
    <row r="984" spans="1:9" ht="12.75" customHeight="1">
      <c r="A984" s="99"/>
      <c r="B984" s="99"/>
      <c r="C984" s="1179"/>
      <c r="D984" s="1224"/>
      <c r="E984" s="1224"/>
      <c r="F984" s="1224"/>
      <c r="G984"/>
      <c r="I984" s="1123"/>
    </row>
    <row r="985" spans="1:9" ht="12.75" customHeight="1">
      <c r="A985" s="99"/>
      <c r="B985" s="99"/>
      <c r="C985" s="1179"/>
      <c r="D985" s="1224"/>
      <c r="E985" s="1224"/>
      <c r="F985" s="1224"/>
      <c r="G985"/>
      <c r="I985" s="1123"/>
    </row>
    <row r="986" spans="1:9" ht="12.75" customHeight="1">
      <c r="A986" s="99"/>
      <c r="B986" s="99"/>
      <c r="C986" s="1179"/>
      <c r="D986" s="1224"/>
      <c r="E986" s="1224"/>
      <c r="F986" s="1224"/>
      <c r="G986"/>
      <c r="I986" s="1123"/>
    </row>
    <row r="987" spans="1:9" ht="12.75" customHeight="1">
      <c r="A987" s="99"/>
      <c r="B987" s="99"/>
      <c r="C987" s="1179"/>
      <c r="D987" s="1224"/>
      <c r="E987" s="1224"/>
      <c r="F987" s="1224"/>
      <c r="G987" s="2"/>
      <c r="I987" s="1123"/>
    </row>
    <row r="988" spans="1:9" ht="12.75" customHeight="1">
      <c r="A988" s="1179"/>
      <c r="B988" s="1179"/>
      <c r="C988" s="1179"/>
      <c r="D988" s="2"/>
      <c r="E988" s="2"/>
      <c r="F988" s="2"/>
      <c r="G988" s="2"/>
      <c r="I988" s="1123"/>
    </row>
    <row r="989" spans="1:9" ht="12.75" customHeight="1">
      <c r="A989" s="1273" t="s">
        <v>586</v>
      </c>
      <c r="B989" s="1273"/>
      <c r="C989" s="1273"/>
      <c r="D989" s="1273"/>
      <c r="E989" s="1273"/>
      <c r="F989" s="1273"/>
      <c r="G989" s="1273"/>
      <c r="H989" s="815"/>
      <c r="I989" s="935"/>
    </row>
    <row r="990" spans="1:9" ht="12.75" customHeight="1">
      <c r="A990" s="68"/>
      <c r="B990" s="68"/>
      <c r="C990" s="1179"/>
      <c r="D990" s="2"/>
      <c r="E990" s="2"/>
      <c r="F990" s="2"/>
      <c r="G990" s="2"/>
      <c r="I990" s="1123"/>
    </row>
    <row r="991" spans="1:9" ht="12.75" customHeight="1">
      <c r="A991" s="1179"/>
      <c r="B991" s="1179"/>
      <c r="C991" s="785"/>
      <c r="D991" s="1286" t="s">
        <v>587</v>
      </c>
      <c r="E991" s="1286"/>
      <c r="F991" s="1286"/>
      <c r="G991" s="2"/>
      <c r="I991" s="1123"/>
    </row>
    <row r="992" spans="1:9" ht="12.75" customHeight="1">
      <c r="A992" s="97"/>
      <c r="B992" s="97"/>
      <c r="C992" s="97"/>
      <c r="D992" s="1264" t="s">
        <v>588</v>
      </c>
      <c r="E992" s="1264"/>
      <c r="F992" s="1264"/>
      <c r="G992" s="2"/>
      <c r="I992" s="1123"/>
    </row>
    <row r="993" spans="1:9" ht="12.75" customHeight="1">
      <c r="A993" s="97"/>
      <c r="B993" s="97"/>
      <c r="C993" s="97"/>
      <c r="D993" s="2"/>
      <c r="E993" s="2"/>
      <c r="F993" s="784"/>
      <c r="G993"/>
      <c r="I993" s="1123"/>
    </row>
    <row r="994" spans="1:9" ht="12.75" customHeight="1">
      <c r="A994" s="1179"/>
      <c r="B994" s="338" t="s">
        <v>309</v>
      </c>
      <c r="C994" s="1179"/>
      <c r="D994" s="1288" t="s">
        <v>589</v>
      </c>
      <c r="E994" s="1288"/>
      <c r="F994" s="1288"/>
      <c r="G994"/>
      <c r="I994" s="1123"/>
    </row>
    <row r="995" spans="1:9" ht="12.75" customHeight="1">
      <c r="A995" s="1179"/>
      <c r="B995" s="1179"/>
      <c r="C995" s="1179"/>
      <c r="D995" s="1288"/>
      <c r="E995" s="1288"/>
      <c r="F995" s="1288"/>
      <c r="G995"/>
      <c r="I995" s="1123"/>
    </row>
    <row r="996" spans="1:9" ht="12.75" customHeight="1">
      <c r="A996" s="1179"/>
      <c r="B996" s="1179"/>
      <c r="C996" s="1179"/>
      <c r="D996" s="1142"/>
      <c r="E996" s="823" t="s">
        <v>590</v>
      </c>
      <c r="F996" s="1142"/>
      <c r="G996"/>
      <c r="I996" s="1123"/>
    </row>
    <row r="997" spans="1:9" ht="12.75" customHeight="1">
      <c r="A997" s="1179"/>
      <c r="B997" s="1179"/>
      <c r="C997" s="1179"/>
      <c r="D997" s="1230" t="s">
        <v>591</v>
      </c>
      <c r="E997" s="1230"/>
      <c r="F997" s="1230"/>
      <c r="G997"/>
      <c r="I997" s="1123"/>
    </row>
    <row r="998" spans="1:9" ht="12.75" customHeight="1">
      <c r="A998" s="1179"/>
      <c r="B998" s="1179"/>
      <c r="C998" s="1179"/>
      <c r="D998" s="1230"/>
      <c r="E998" s="1230"/>
      <c r="F998" s="1230"/>
      <c r="G998"/>
      <c r="I998" s="1123"/>
    </row>
    <row r="999" spans="1:9" ht="12.75" customHeight="1">
      <c r="A999" s="98"/>
      <c r="B999" s="98"/>
      <c r="C999" s="98"/>
      <c r="D999" s="1230"/>
      <c r="E999" s="1230"/>
      <c r="F999" s="1230"/>
      <c r="G999"/>
      <c r="I999" s="1123"/>
    </row>
    <row r="1000" spans="1:9" ht="12.75" customHeight="1">
      <c r="A1000" s="98"/>
      <c r="B1000" s="98"/>
      <c r="C1000" s="98"/>
      <c r="D1000" s="1230"/>
      <c r="E1000" s="1230"/>
      <c r="F1000" s="1230"/>
      <c r="G1000"/>
      <c r="I1000" s="1123"/>
    </row>
    <row r="1001" spans="1:9" ht="12.75" customHeight="1">
      <c r="A1001" s="98"/>
      <c r="B1001" s="98"/>
      <c r="C1001" s="98"/>
      <c r="D1001" s="1116"/>
      <c r="E1001" s="1116"/>
      <c r="F1001" s="1116"/>
      <c r="G1001"/>
      <c r="I1001" s="1123"/>
    </row>
    <row r="1002" spans="1:9" ht="12.75" customHeight="1">
      <c r="A1002" s="98"/>
      <c r="B1002" s="338" t="s">
        <v>314</v>
      </c>
      <c r="C1002" s="98"/>
      <c r="D1002" s="1224" t="s">
        <v>592</v>
      </c>
      <c r="E1002" s="1224"/>
      <c r="F1002" s="1224"/>
      <c r="G1002"/>
      <c r="I1002" s="1123"/>
    </row>
    <row r="1003" spans="1:9" ht="12.75" customHeight="1">
      <c r="A1003" s="98"/>
      <c r="B1003" s="98"/>
      <c r="C1003" s="98"/>
      <c r="D1003" s="1224"/>
      <c r="E1003" s="1224"/>
      <c r="F1003" s="1224"/>
      <c r="G1003"/>
      <c r="I1003" s="1123"/>
    </row>
    <row r="1004" spans="1:9" ht="12.75" customHeight="1">
      <c r="A1004" s="98"/>
      <c r="B1004" s="98"/>
      <c r="C1004" s="98"/>
      <c r="D1004" s="1224"/>
      <c r="E1004" s="1224"/>
      <c r="F1004" s="1224"/>
      <c r="G1004"/>
      <c r="I1004" s="1123"/>
    </row>
    <row r="1005" spans="1:9" ht="12.75" customHeight="1">
      <c r="A1005" s="98"/>
      <c r="B1005" s="98"/>
      <c r="C1005" s="98"/>
      <c r="D1005" s="1224"/>
      <c r="E1005" s="1224"/>
      <c r="F1005" s="1224"/>
      <c r="G1005"/>
      <c r="I1005" s="1123"/>
    </row>
    <row r="1006" spans="1:9" ht="12.75" customHeight="1">
      <c r="A1006" s="98"/>
      <c r="B1006" s="98"/>
      <c r="C1006" s="98"/>
      <c r="D1006" s="1113"/>
      <c r="E1006" s="1113"/>
      <c r="F1006" s="1113"/>
      <c r="G1006"/>
      <c r="I1006" s="1123"/>
    </row>
    <row r="1007" spans="1:9" ht="12.75" customHeight="1">
      <c r="A1007" s="98"/>
      <c r="B1007" s="338" t="s">
        <v>314</v>
      </c>
      <c r="C1007" s="98"/>
      <c r="D1007" s="1224" t="s">
        <v>593</v>
      </c>
      <c r="E1007" s="1224"/>
      <c r="F1007" s="1224"/>
      <c r="G1007"/>
      <c r="I1007" s="1123"/>
    </row>
    <row r="1008" spans="1:9" ht="12.75" customHeight="1">
      <c r="A1008" s="98"/>
      <c r="B1008" s="98"/>
      <c r="C1008" s="98"/>
      <c r="D1008" s="1224"/>
      <c r="E1008" s="1224"/>
      <c r="F1008" s="1224"/>
      <c r="G1008"/>
      <c r="I1008" s="1123"/>
    </row>
    <row r="1009" spans="1:9" ht="12.75" customHeight="1">
      <c r="A1009" s="98"/>
      <c r="B1009" s="98"/>
      <c r="C1009" s="98"/>
      <c r="D1009" s="1113"/>
      <c r="E1009" s="1113"/>
      <c r="F1009" s="1113"/>
      <c r="G1009"/>
      <c r="I1009" s="1123"/>
    </row>
    <row r="1010" spans="1:9" ht="12.75" customHeight="1">
      <c r="A1010" s="99"/>
      <c r="B1010" s="338" t="s">
        <v>314</v>
      </c>
      <c r="C1010" s="1179"/>
      <c r="D1010" s="1264" t="s">
        <v>594</v>
      </c>
      <c r="E1010" s="1264"/>
      <c r="F1010" s="1264"/>
      <c r="G1010"/>
      <c r="I1010" s="1123"/>
    </row>
    <row r="1011" spans="1:9" ht="12.75" customHeight="1">
      <c r="A1011" s="1179"/>
      <c r="B1011" s="1179"/>
      <c r="C1011" s="1179"/>
      <c r="D1011" s="2"/>
      <c r="E1011" s="2"/>
      <c r="F1011" s="2"/>
      <c r="G1011"/>
      <c r="I1011" s="1123"/>
    </row>
    <row r="1012" spans="1:9" ht="12.75" customHeight="1">
      <c r="A1012" s="99"/>
      <c r="B1012" s="338" t="s">
        <v>314</v>
      </c>
      <c r="C1012" s="1179"/>
      <c r="D1012" s="1264" t="s">
        <v>595</v>
      </c>
      <c r="E1012" s="1264"/>
      <c r="F1012" s="1264"/>
      <c r="G1012"/>
      <c r="I1012" s="1123"/>
    </row>
    <row r="1013" spans="1:9" ht="12.75" customHeight="1">
      <c r="A1013" s="1179"/>
      <c r="B1013" s="1179"/>
      <c r="C1013" s="1179"/>
      <c r="D1013" s="68"/>
      <c r="E1013" s="2"/>
      <c r="F1013" s="2"/>
      <c r="G1013"/>
      <c r="I1013" s="1123"/>
    </row>
    <row r="1014" spans="1:9" ht="12.75" customHeight="1">
      <c r="A1014" s="99"/>
      <c r="B1014" s="338" t="s">
        <v>309</v>
      </c>
      <c r="C1014" s="1179"/>
      <c r="D1014" s="1264" t="s">
        <v>596</v>
      </c>
      <c r="E1014" s="1264"/>
      <c r="F1014" s="1264"/>
      <c r="G1014"/>
      <c r="I1014" s="1123"/>
    </row>
    <row r="1015" spans="1:9" ht="12.75" customHeight="1">
      <c r="A1015" s="1179"/>
      <c r="B1015" s="1179"/>
      <c r="C1015" s="1179"/>
      <c r="D1015" s="68"/>
      <c r="E1015" s="2"/>
      <c r="F1015" s="2"/>
      <c r="G1015"/>
      <c r="I1015" s="1123"/>
    </row>
    <row r="1016" spans="1:9" ht="12.75" customHeight="1">
      <c r="A1016" s="99"/>
      <c r="B1016" s="338" t="s">
        <v>314</v>
      </c>
      <c r="C1016" s="1179"/>
      <c r="D1016" s="1224" t="s">
        <v>597</v>
      </c>
      <c r="E1016" s="1224"/>
      <c r="F1016" s="1224"/>
      <c r="G1016"/>
      <c r="I1016" s="1123"/>
    </row>
    <row r="1017" spans="1:9" ht="12.75" customHeight="1">
      <c r="A1017" s="99"/>
      <c r="B1017" s="99"/>
      <c r="C1017" s="1179"/>
      <c r="D1017" s="1224"/>
      <c r="E1017" s="1224"/>
      <c r="F1017" s="1224"/>
      <c r="G1017"/>
      <c r="I1017" s="1123"/>
    </row>
    <row r="1018" spans="1:9" ht="12.75" customHeight="1">
      <c r="A1018" s="99"/>
      <c r="B1018" s="99"/>
      <c r="C1018" s="1179"/>
      <c r="D1018" s="68"/>
      <c r="E1018" s="2"/>
      <c r="F1018" s="2"/>
      <c r="G1018" s="2"/>
      <c r="I1018" s="1123"/>
    </row>
    <row r="1019" spans="1:9" ht="12.75" customHeight="1">
      <c r="A1019" s="144"/>
      <c r="B1019" s="338" t="s">
        <v>314</v>
      </c>
      <c r="C1019" s="794"/>
      <c r="D1019" s="1280" t="s">
        <v>598</v>
      </c>
      <c r="E1019" s="1280"/>
      <c r="F1019" s="1280"/>
      <c r="G1019" s="795"/>
      <c r="I1019" s="1123"/>
    </row>
    <row r="1020" spans="1:9" ht="12.75" customHeight="1">
      <c r="A1020" s="794"/>
      <c r="B1020" s="794"/>
      <c r="C1020" s="794"/>
      <c r="D1020" s="1280"/>
      <c r="E1020" s="1280"/>
      <c r="F1020" s="1280"/>
      <c r="G1020" s="795"/>
      <c r="I1020" s="1123"/>
    </row>
    <row r="1021" spans="1:9" ht="12.75" customHeight="1">
      <c r="A1021" s="794"/>
      <c r="B1021" s="794"/>
      <c r="C1021" s="794"/>
      <c r="D1021" s="1141"/>
      <c r="E1021" s="795"/>
      <c r="F1021" s="795"/>
      <c r="G1021" s="795"/>
      <c r="I1021" s="1123"/>
    </row>
    <row r="1022" spans="1:9" ht="12.75" customHeight="1">
      <c r="A1022" s="144"/>
      <c r="B1022" s="338" t="s">
        <v>314</v>
      </c>
      <c r="C1022" s="794"/>
      <c r="D1022" s="1287" t="s">
        <v>599</v>
      </c>
      <c r="E1022" s="1287"/>
      <c r="F1022" s="1287"/>
      <c r="G1022" s="795"/>
      <c r="I1022" s="1123"/>
    </row>
    <row r="1023" spans="1:9" ht="12.75" customHeight="1">
      <c r="A1023" s="794"/>
      <c r="B1023" s="794"/>
      <c r="C1023" s="794"/>
      <c r="D1023" s="1141"/>
      <c r="E1023" s="795"/>
      <c r="F1023" s="795"/>
      <c r="G1023" s="795"/>
      <c r="I1023" s="1123"/>
    </row>
    <row r="1024" spans="1:9" ht="12.75" customHeight="1">
      <c r="A1024" s="99"/>
      <c r="B1024" s="338" t="s">
        <v>314</v>
      </c>
      <c r="C1024" s="1179"/>
      <c r="D1024" s="1264" t="s">
        <v>600</v>
      </c>
      <c r="E1024" s="1264"/>
      <c r="F1024" s="1264"/>
      <c r="G1024" s="2"/>
      <c r="I1024" s="1123"/>
    </row>
    <row r="1025" spans="1:9" ht="12.75" customHeight="1">
      <c r="A1025" s="99"/>
      <c r="B1025" s="99"/>
      <c r="C1025" s="1179"/>
      <c r="D1025" s="68"/>
      <c r="E1025" s="2"/>
      <c r="F1025" s="2"/>
      <c r="G1025" s="2"/>
      <c r="I1025" s="1123"/>
    </row>
    <row r="1026" spans="1:9" ht="12.75" customHeight="1">
      <c r="A1026" s="99"/>
      <c r="B1026" s="338" t="s">
        <v>309</v>
      </c>
      <c r="C1026" s="1179"/>
      <c r="D1026" s="1224" t="s">
        <v>601</v>
      </c>
      <c r="E1026" s="1224"/>
      <c r="F1026" s="1224"/>
      <c r="G1026" s="2"/>
      <c r="I1026" s="1123"/>
    </row>
    <row r="1027" spans="1:9" ht="12.75" customHeight="1">
      <c r="A1027" s="99"/>
      <c r="B1027" s="99"/>
      <c r="C1027" s="1179"/>
      <c r="D1027" s="1224"/>
      <c r="E1027" s="1224"/>
      <c r="F1027" s="1224"/>
      <c r="G1027" s="2"/>
      <c r="I1027" s="1123"/>
    </row>
    <row r="1028" spans="1:9" ht="12.75" customHeight="1">
      <c r="A1028" s="1179"/>
      <c r="B1028" s="1179"/>
      <c r="C1028" s="1179"/>
      <c r="D1028" s="2"/>
      <c r="E1028" s="2"/>
      <c r="F1028" s="2"/>
      <c r="G1028" s="2"/>
      <c r="I1028" s="1123"/>
    </row>
    <row r="1029" spans="1:9" ht="12.75" customHeight="1">
      <c r="A1029" s="1273" t="s">
        <v>602</v>
      </c>
      <c r="B1029" s="1273"/>
      <c r="C1029" s="1273"/>
      <c r="D1029" s="1273"/>
      <c r="E1029" s="1273"/>
      <c r="F1029" s="1273"/>
      <c r="G1029" s="1273"/>
      <c r="H1029" s="815"/>
      <c r="I1029" s="935"/>
    </row>
    <row r="1030" spans="1:9" ht="12.75" customHeight="1">
      <c r="A1030" s="1179"/>
      <c r="B1030" s="1179"/>
      <c r="C1030" s="1179"/>
      <c r="D1030" s="2"/>
      <c r="E1030" s="2"/>
      <c r="F1030" s="2"/>
      <c r="G1030" s="2"/>
      <c r="I1030" s="1123"/>
    </row>
    <row r="1031" spans="1:9" ht="12.75" customHeight="1">
      <c r="A1031" s="1179"/>
      <c r="B1031" s="1179"/>
      <c r="C1031" s="1179"/>
      <c r="D1031" s="1289" t="s">
        <v>603</v>
      </c>
      <c r="E1031" s="1289"/>
      <c r="F1031" s="1289"/>
      <c r="G1031" s="2"/>
      <c r="I1031" s="1123"/>
    </row>
    <row r="1032" spans="1:9" ht="12.75" customHeight="1">
      <c r="A1032" s="1179"/>
      <c r="B1032" s="1179"/>
      <c r="C1032" s="1179"/>
      <c r="D1032" s="1287" t="s">
        <v>604</v>
      </c>
      <c r="E1032" s="1287"/>
      <c r="F1032" s="1287"/>
      <c r="G1032" s="2"/>
      <c r="I1032" s="1123"/>
    </row>
    <row r="1033" spans="1:9" ht="12.75" customHeight="1">
      <c r="A1033" s="97"/>
      <c r="B1033" s="97"/>
      <c r="C1033" s="97"/>
      <c r="D1033" s="2"/>
      <c r="E1033" s="2"/>
      <c r="F1033" s="2"/>
      <c r="G1033" s="2"/>
      <c r="I1033" s="1123"/>
    </row>
    <row r="1034" spans="1:9" ht="12.75" customHeight="1">
      <c r="A1034" s="99"/>
      <c r="B1034" s="99"/>
      <c r="C1034" s="98"/>
      <c r="D1034" s="1289" t="s">
        <v>605</v>
      </c>
      <c r="E1034" s="1289"/>
      <c r="F1034" s="1289"/>
      <c r="G1034" s="2"/>
      <c r="I1034" s="1123"/>
    </row>
    <row r="1035" spans="1:9" ht="12.75" customHeight="1">
      <c r="A1035" s="1179"/>
      <c r="B1035" s="338" t="s">
        <v>309</v>
      </c>
      <c r="C1035" s="1179"/>
      <c r="D1035" s="1287" t="s">
        <v>606</v>
      </c>
      <c r="E1035" s="1287"/>
      <c r="F1035" s="1287"/>
      <c r="G1035" s="2"/>
      <c r="I1035" s="1123"/>
    </row>
    <row r="1036" spans="1:9" ht="12.75" customHeight="1">
      <c r="A1036" s="1179"/>
      <c r="B1036" s="99"/>
      <c r="C1036" s="1179"/>
      <c r="D1036" s="1287" t="s">
        <v>607</v>
      </c>
      <c r="E1036" s="1287"/>
      <c r="F1036" s="1287"/>
      <c r="G1036" s="2"/>
      <c r="I1036" s="1123"/>
    </row>
    <row r="1037" spans="1:9" ht="12.75" customHeight="1">
      <c r="A1037" s="1179"/>
      <c r="B1037" s="1179"/>
      <c r="C1037" s="1179"/>
      <c r="D1037" s="1287"/>
      <c r="E1037" s="1287"/>
      <c r="F1037" s="1287"/>
      <c r="G1037" s="2"/>
      <c r="I1037" s="1123"/>
    </row>
    <row r="1038" spans="1:9" ht="12.75" customHeight="1">
      <c r="A1038" s="1273" t="s">
        <v>608</v>
      </c>
      <c r="B1038" s="1273"/>
      <c r="C1038" s="1273"/>
      <c r="D1038" s="1273"/>
      <c r="E1038" s="1273"/>
      <c r="F1038" s="1273"/>
      <c r="G1038" s="1273"/>
      <c r="H1038" s="815"/>
      <c r="I1038" s="935"/>
    </row>
    <row r="1039" spans="1:9" ht="12.75" customHeight="1">
      <c r="A1039" s="68"/>
      <c r="B1039" s="68"/>
      <c r="C1039" s="1179"/>
      <c r="D1039" s="2"/>
      <c r="E1039" s="2"/>
      <c r="F1039" s="2"/>
      <c r="G1039" s="2"/>
      <c r="I1039" s="1123"/>
    </row>
    <row r="1040" spans="1:9" ht="12.75" hidden="1" customHeight="1">
      <c r="A1040" s="68"/>
      <c r="B1040" s="272"/>
      <c r="D1040" s="1294" t="s">
        <v>609</v>
      </c>
      <c r="E1040" s="1294"/>
      <c r="F1040" s="1294"/>
      <c r="G1040" s="2"/>
      <c r="I1040" s="1123"/>
    </row>
    <row r="1041" spans="1:9" ht="12.75" hidden="1" customHeight="1">
      <c r="A1041" s="68"/>
      <c r="B1041" s="338" t="s">
        <v>547</v>
      </c>
      <c r="D1041" s="1256" t="s">
        <v>606</v>
      </c>
      <c r="E1041" s="1256"/>
      <c r="F1041" s="1256"/>
      <c r="G1041" s="2"/>
      <c r="I1041" s="1123"/>
    </row>
    <row r="1042" spans="1:9" ht="12.75" hidden="1" customHeight="1">
      <c r="A1042" s="68"/>
      <c r="B1042" s="272"/>
      <c r="D1042" s="1256" t="s">
        <v>610</v>
      </c>
      <c r="E1042" s="1256"/>
      <c r="F1042" s="1256"/>
      <c r="G1042" s="2"/>
      <c r="I1042" s="1123"/>
    </row>
    <row r="1043" spans="1:9" ht="12.75" hidden="1" customHeight="1">
      <c r="A1043" s="68"/>
      <c r="B1043" s="272"/>
      <c r="D1043" s="1129"/>
      <c r="E1043" s="1129"/>
      <c r="F1043" s="1129"/>
      <c r="G1043" s="2"/>
      <c r="I1043" s="1123"/>
    </row>
    <row r="1044" spans="1:9" ht="12.75" customHeight="1">
      <c r="A1044" s="68"/>
      <c r="B1044" s="68"/>
      <c r="C1044" s="1179"/>
      <c r="D1044" s="1295" t="s">
        <v>611</v>
      </c>
      <c r="E1044" s="1295"/>
      <c r="F1044" s="1295"/>
      <c r="G1044" s="2"/>
      <c r="I1044" s="1123"/>
    </row>
    <row r="1045" spans="1:9" ht="12.75" customHeight="1">
      <c r="A1045" s="198"/>
      <c r="B1045" s="198"/>
      <c r="C1045" s="198"/>
      <c r="D1045" s="1265" t="s">
        <v>612</v>
      </c>
      <c r="E1045" s="1265"/>
      <c r="F1045" s="1265"/>
      <c r="G1045" s="57"/>
      <c r="I1045" s="1123"/>
    </row>
    <row r="1046" spans="1:9" ht="12.75" customHeight="1">
      <c r="A1046" s="99"/>
      <c r="B1046" s="338" t="s">
        <v>314</v>
      </c>
      <c r="C1046" s="1179"/>
      <c r="D1046" s="1265" t="s">
        <v>613</v>
      </c>
      <c r="E1046" s="1265"/>
      <c r="F1046" s="1265"/>
      <c r="G1046" s="2"/>
      <c r="I1046" s="1123"/>
    </row>
    <row r="1047" spans="1:9" ht="12.75" customHeight="1">
      <c r="A1047" s="1179"/>
      <c r="B1047" s="1179"/>
      <c r="C1047" s="1179"/>
      <c r="D1047" s="823" t="s">
        <v>614</v>
      </c>
      <c r="E1047" s="55"/>
      <c r="F1047" s="55"/>
      <c r="G1047" s="2"/>
      <c r="I1047" s="1123"/>
    </row>
    <row r="1048" spans="1:9">
      <c r="A1048" s="272"/>
      <c r="B1048" s="272"/>
      <c r="C1048" s="272"/>
      <c r="I1048" s="1123"/>
    </row>
    <row r="1049" spans="1:9">
      <c r="A1049" s="1273" t="s">
        <v>615</v>
      </c>
      <c r="B1049" s="1273"/>
      <c r="C1049" s="1273"/>
      <c r="D1049" s="1273"/>
      <c r="E1049" s="1273"/>
      <c r="F1049" s="1273"/>
      <c r="G1049" s="1273"/>
      <c r="H1049" s="815"/>
      <c r="I1049" s="935"/>
    </row>
    <row r="1050" spans="1:9">
      <c r="A1050" s="272"/>
      <c r="B1050" s="272"/>
      <c r="C1050" s="272"/>
      <c r="I1050" s="1123"/>
    </row>
    <row r="1051" spans="1:9">
      <c r="A1051" s="272"/>
      <c r="B1051" s="272"/>
      <c r="C1051" s="272"/>
      <c r="D1051" s="274" t="s">
        <v>616</v>
      </c>
      <c r="I1051" s="1123"/>
    </row>
    <row r="1052" spans="1:9">
      <c r="A1052" s="272"/>
      <c r="B1052" s="272"/>
      <c r="C1052" s="272"/>
      <c r="D1052" s="272" t="s">
        <v>617</v>
      </c>
      <c r="I1052" s="1123"/>
    </row>
    <row r="1053" spans="1:9">
      <c r="A1053" s="272"/>
      <c r="B1053" s="272"/>
      <c r="C1053" s="272"/>
      <c r="D1053" s="274"/>
      <c r="I1053" s="1123"/>
    </row>
    <row r="1054" spans="1:9">
      <c r="A1054" s="272"/>
      <c r="B1054" s="338" t="s">
        <v>314</v>
      </c>
      <c r="C1054" s="272"/>
      <c r="D1054" s="1291" t="s">
        <v>618</v>
      </c>
      <c r="E1054" s="1291"/>
      <c r="F1054" s="1291"/>
      <c r="I1054" s="1123"/>
    </row>
    <row r="1055" spans="1:9">
      <c r="A1055" s="272"/>
      <c r="B1055" s="272"/>
      <c r="C1055" s="272"/>
      <c r="D1055" s="1291"/>
      <c r="E1055" s="1291"/>
      <c r="F1055" s="1291"/>
      <c r="I1055" s="1123"/>
    </row>
    <row r="1056" spans="1:9">
      <c r="A1056" s="272"/>
      <c r="B1056" s="272"/>
      <c r="C1056" s="272"/>
      <c r="D1056" s="1291"/>
      <c r="E1056" s="1291"/>
      <c r="F1056" s="1291"/>
      <c r="I1056" s="1123"/>
    </row>
    <row r="1057" spans="1:9">
      <c r="A1057" s="272"/>
      <c r="B1057" s="272"/>
      <c r="C1057" s="272"/>
      <c r="D1057" s="1291"/>
      <c r="E1057" s="1291"/>
      <c r="F1057" s="1291"/>
      <c r="I1057" s="1123"/>
    </row>
    <row r="1058" spans="1:9">
      <c r="A1058" s="272"/>
      <c r="B1058" s="272"/>
      <c r="C1058" s="272"/>
      <c r="I1058" s="1123"/>
    </row>
    <row r="1059" spans="1:9">
      <c r="A1059" s="272"/>
      <c r="B1059" s="272"/>
      <c r="C1059" s="272"/>
      <c r="D1059" s="274" t="s">
        <v>619</v>
      </c>
      <c r="I1059" s="1123"/>
    </row>
    <row r="1060" spans="1:9">
      <c r="A1060" s="272"/>
      <c r="B1060" s="272"/>
      <c r="C1060" s="272"/>
      <c r="D1060" s="272" t="s">
        <v>620</v>
      </c>
      <c r="I1060" s="1123"/>
    </row>
    <row r="1061" spans="1:9">
      <c r="A1061" s="272"/>
      <c r="B1061" s="272"/>
      <c r="C1061" s="272"/>
      <c r="I1061" s="1123"/>
    </row>
    <row r="1062" spans="1:9">
      <c r="A1062" s="272"/>
      <c r="B1062" s="338" t="s">
        <v>309</v>
      </c>
      <c r="C1062" s="272"/>
      <c r="D1062" s="272" t="s">
        <v>567</v>
      </c>
      <c r="I1062" s="1123"/>
    </row>
    <row r="1063" spans="1:9">
      <c r="A1063" s="272"/>
      <c r="B1063" s="272"/>
      <c r="C1063" s="272"/>
      <c r="I1063" s="1123"/>
    </row>
    <row r="1064" spans="1:9">
      <c r="A1064" s="272"/>
      <c r="B1064" s="338" t="s">
        <v>309</v>
      </c>
      <c r="C1064" s="272"/>
      <c r="D1064" s="1291" t="s">
        <v>621</v>
      </c>
      <c r="E1064" s="1291"/>
      <c r="F1064" s="1291"/>
      <c r="I1064" s="1123"/>
    </row>
    <row r="1065" spans="1:9">
      <c r="A1065" s="272"/>
      <c r="B1065" s="272"/>
      <c r="C1065" s="272"/>
      <c r="D1065" s="1291"/>
      <c r="E1065" s="1291"/>
      <c r="F1065" s="1291"/>
      <c r="I1065" s="1123"/>
    </row>
    <row r="1066" spans="1:9">
      <c r="A1066" s="272"/>
      <c r="B1066" s="272"/>
      <c r="C1066" s="272"/>
      <c r="D1066" s="1291"/>
      <c r="E1066" s="1291"/>
      <c r="F1066" s="1291"/>
      <c r="I1066" s="1123"/>
    </row>
    <row r="1067" spans="1:9">
      <c r="A1067" s="272"/>
      <c r="B1067" s="272"/>
      <c r="C1067" s="272"/>
      <c r="D1067" s="1291"/>
      <c r="E1067" s="1291"/>
      <c r="F1067" s="1291"/>
      <c r="I1067" s="1123"/>
    </row>
    <row r="1068" spans="1:9">
      <c r="A1068" s="272"/>
      <c r="B1068" s="272"/>
      <c r="C1068" s="272"/>
      <c r="D1068" s="1291"/>
      <c r="E1068" s="1291"/>
      <c r="F1068" s="1291"/>
      <c r="I1068" s="1123"/>
    </row>
    <row r="1069" spans="1:9">
      <c r="A1069" s="272"/>
      <c r="B1069" s="272"/>
      <c r="C1069" s="272"/>
      <c r="I1069" s="1123"/>
    </row>
    <row r="1070" spans="1:9">
      <c r="A1070" s="1273" t="s">
        <v>622</v>
      </c>
      <c r="B1070" s="1273"/>
      <c r="C1070" s="1273"/>
      <c r="D1070" s="1273"/>
      <c r="E1070" s="1273"/>
      <c r="F1070" s="1273"/>
      <c r="G1070" s="1273"/>
      <c r="H1070" s="815"/>
      <c r="I1070" s="935"/>
    </row>
    <row r="1071" spans="1:9">
      <c r="A1071" s="272"/>
      <c r="B1071" s="272"/>
      <c r="C1071" s="272"/>
      <c r="I1071" s="1123"/>
    </row>
    <row r="1072" spans="1:9">
      <c r="A1072" s="272"/>
      <c r="B1072" s="272"/>
      <c r="C1072" s="272"/>
      <c r="I1072" s="1123"/>
    </row>
    <row r="1073" spans="1:9">
      <c r="A1073" s="272"/>
      <c r="B1073" s="338" t="s">
        <v>309</v>
      </c>
      <c r="C1073" s="272"/>
      <c r="D1073" s="376" t="s">
        <v>623</v>
      </c>
      <c r="I1073" s="1123"/>
    </row>
    <row r="1074" spans="1:9">
      <c r="A1074" s="272"/>
      <c r="B1074" s="272"/>
      <c r="C1074" s="272"/>
      <c r="D1074" s="376" t="s">
        <v>624</v>
      </c>
      <c r="I1074" s="1123"/>
    </row>
    <row r="1075" spans="1:9">
      <c r="A1075" s="272"/>
      <c r="B1075" s="272"/>
      <c r="C1075" s="272"/>
      <c r="D1075" s="376"/>
      <c r="I1075" s="1123"/>
    </row>
    <row r="1076" spans="1:9">
      <c r="A1076" s="272"/>
      <c r="B1076" s="338" t="s">
        <v>314</v>
      </c>
      <c r="C1076" s="272"/>
      <c r="D1076" s="376" t="s">
        <v>625</v>
      </c>
      <c r="I1076" s="1123"/>
    </row>
    <row r="1077" spans="1:9">
      <c r="A1077" s="272"/>
      <c r="B1077" s="272"/>
      <c r="C1077" s="272"/>
      <c r="D1077" s="376" t="s">
        <v>626</v>
      </c>
      <c r="I1077" s="1123"/>
    </row>
    <row r="1078" spans="1:9">
      <c r="A1078" s="272"/>
      <c r="B1078" s="272"/>
      <c r="C1078" s="272"/>
      <c r="D1078" s="376"/>
      <c r="I1078" s="1123"/>
    </row>
    <row r="1079" spans="1:9">
      <c r="A1079" s="272"/>
      <c r="B1079" s="338" t="s">
        <v>314</v>
      </c>
      <c r="C1079" s="272"/>
      <c r="D1079" s="69" t="s">
        <v>627</v>
      </c>
      <c r="I1079" s="1123"/>
    </row>
    <row r="1080" spans="1:9">
      <c r="A1080" s="272"/>
      <c r="B1080" s="272"/>
      <c r="C1080" s="272"/>
      <c r="D1080" s="1224" t="s">
        <v>628</v>
      </c>
      <c r="E1080" s="1224"/>
      <c r="F1080" s="1224"/>
      <c r="I1080" s="1123"/>
    </row>
    <row r="1081" spans="1:9">
      <c r="A1081" s="272"/>
      <c r="B1081" s="272"/>
      <c r="C1081" s="272"/>
      <c r="D1081" s="1224"/>
      <c r="E1081" s="1224"/>
      <c r="F1081" s="1224"/>
      <c r="I1081" s="1123"/>
    </row>
    <row r="1082" spans="1:9">
      <c r="A1082" s="272"/>
      <c r="B1082" s="272"/>
      <c r="C1082" s="272"/>
      <c r="D1082" s="1224"/>
      <c r="E1082" s="1224"/>
      <c r="F1082" s="1224"/>
      <c r="I1082" s="1123"/>
    </row>
    <row r="1083" spans="1:9">
      <c r="A1083" s="272"/>
      <c r="B1083" s="272"/>
      <c r="C1083" s="272"/>
      <c r="D1083" s="1224"/>
      <c r="E1083" s="1224"/>
      <c r="F1083" s="1224"/>
      <c r="I1083" s="1123"/>
    </row>
    <row r="1084" spans="1:9">
      <c r="A1084" s="272"/>
      <c r="B1084" s="272"/>
      <c r="C1084" s="272"/>
      <c r="D1084" s="69" t="s">
        <v>629</v>
      </c>
      <c r="I1084" s="1123"/>
    </row>
    <row r="1085" spans="1:9">
      <c r="A1085" s="272"/>
      <c r="B1085" s="272"/>
      <c r="C1085" s="272"/>
      <c r="D1085" s="69"/>
      <c r="I1085" s="1123"/>
    </row>
    <row r="1086" spans="1:9">
      <c r="A1086" s="272"/>
      <c r="B1086" s="272"/>
      <c r="C1086" s="272"/>
      <c r="D1086" s="376" t="s">
        <v>630</v>
      </c>
      <c r="I1086" s="1123"/>
    </row>
    <row r="1087" spans="1:9">
      <c r="A1087" s="272"/>
      <c r="B1087" s="338" t="s">
        <v>314</v>
      </c>
      <c r="C1087" s="272"/>
      <c r="D1087" s="1290" t="s">
        <v>631</v>
      </c>
      <c r="E1087" s="1290"/>
      <c r="F1087" s="1290"/>
      <c r="I1087" s="1123"/>
    </row>
    <row r="1088" spans="1:9">
      <c r="A1088" s="272"/>
      <c r="B1088" s="272"/>
      <c r="C1088" s="272"/>
      <c r="D1088" s="1290"/>
      <c r="E1088" s="1290"/>
      <c r="F1088" s="1290"/>
      <c r="I1088" s="1123"/>
    </row>
    <row r="1089" spans="1:9">
      <c r="A1089" s="272"/>
      <c r="B1089" s="272"/>
      <c r="C1089" s="272"/>
      <c r="D1089" s="1290"/>
      <c r="E1089" s="1290"/>
      <c r="F1089" s="1290"/>
      <c r="I1089" s="1123"/>
    </row>
    <row r="1090" spans="1:9">
      <c r="A1090" s="272"/>
      <c r="B1090" s="272"/>
      <c r="C1090" s="272"/>
      <c r="D1090" s="1290"/>
      <c r="E1090" s="1290"/>
      <c r="F1090" s="1290"/>
      <c r="I1090" s="1123"/>
    </row>
    <row r="1091" spans="1:9">
      <c r="A1091" s="272"/>
      <c r="B1091" s="272"/>
      <c r="C1091" s="272"/>
      <c r="D1091" s="1290"/>
      <c r="E1091" s="1290"/>
      <c r="F1091" s="1290"/>
      <c r="I1091" s="1123"/>
    </row>
    <row r="1092" spans="1:9">
      <c r="A1092" s="272"/>
      <c r="B1092" s="272"/>
      <c r="C1092" s="272"/>
      <c r="D1092" s="376" t="s">
        <v>632</v>
      </c>
      <c r="I1092" s="1123"/>
    </row>
    <row r="1093" spans="1:9">
      <c r="A1093" s="272"/>
      <c r="B1093" s="272"/>
      <c r="C1093" s="272"/>
      <c r="I1093" s="1123"/>
    </row>
    <row r="1094" spans="1:9">
      <c r="A1094" s="272"/>
      <c r="B1094" s="338" t="s">
        <v>314</v>
      </c>
      <c r="C1094" s="272"/>
      <c r="D1094" s="1240" t="s">
        <v>633</v>
      </c>
      <c r="E1094" s="1240"/>
      <c r="F1094" s="1240"/>
      <c r="I1094" s="1123"/>
    </row>
    <row r="1095" spans="1:9">
      <c r="A1095" s="272"/>
      <c r="B1095" s="272"/>
      <c r="C1095" s="272"/>
      <c r="D1095" s="1240"/>
      <c r="E1095" s="1240"/>
      <c r="F1095" s="1240"/>
      <c r="I1095" s="1123"/>
    </row>
    <row r="1096" spans="1:9">
      <c r="A1096" s="272"/>
      <c r="B1096" s="272"/>
      <c r="C1096" s="272"/>
      <c r="D1096" s="1240"/>
      <c r="E1096" s="1240"/>
      <c r="F1096" s="1240"/>
      <c r="I1096" s="1123"/>
    </row>
    <row r="1097" spans="1:9">
      <c r="A1097" s="272"/>
      <c r="B1097" s="272"/>
      <c r="C1097" s="272"/>
      <c r="I1097" s="1123"/>
    </row>
    <row r="1098" spans="1:9">
      <c r="A1098" s="1273" t="s">
        <v>634</v>
      </c>
      <c r="B1098" s="1273"/>
      <c r="C1098" s="1273"/>
      <c r="D1098" s="1273"/>
      <c r="E1098" s="1273"/>
      <c r="F1098" s="1273"/>
      <c r="G1098" s="1273"/>
      <c r="H1098" s="815"/>
      <c r="I1098" s="935"/>
    </row>
    <row r="1099" spans="1:9">
      <c r="A1099" s="272"/>
      <c r="B1099" s="272"/>
      <c r="C1099" s="272"/>
      <c r="I1099" s="1123"/>
    </row>
    <row r="1100" spans="1:9">
      <c r="A1100" s="272"/>
      <c r="B1100" s="272"/>
      <c r="C1100" s="272"/>
      <c r="I1100" s="1123"/>
    </row>
    <row r="1101" spans="1:9" ht="12.75" customHeight="1">
      <c r="A1101" s="272"/>
      <c r="B1101" s="338" t="s">
        <v>314</v>
      </c>
      <c r="C1101" s="272"/>
      <c r="D1101" s="1292" t="s">
        <v>635</v>
      </c>
      <c r="E1101" s="1292"/>
      <c r="F1101" s="1292"/>
      <c r="I1101" s="1123"/>
    </row>
    <row r="1102" spans="1:9">
      <c r="A1102" s="272"/>
      <c r="B1102" s="272"/>
      <c r="C1102" s="272"/>
      <c r="D1102" s="1292"/>
      <c r="E1102" s="1292"/>
      <c r="F1102" s="1292"/>
      <c r="I1102" s="1123"/>
    </row>
    <row r="1103" spans="1:9">
      <c r="A1103" s="272"/>
      <c r="B1103" s="272"/>
      <c r="C1103" s="272"/>
      <c r="D1103" s="1293" t="s">
        <v>636</v>
      </c>
      <c r="E1103" s="1224"/>
      <c r="F1103" s="1224"/>
      <c r="I1103" s="1123"/>
    </row>
    <row r="1104" spans="1:9">
      <c r="A1104" s="272"/>
      <c r="B1104" s="272"/>
      <c r="C1104" s="272"/>
      <c r="D1104" s="376"/>
      <c r="I1104" s="1123"/>
    </row>
    <row r="1105" spans="1:9">
      <c r="A1105" s="272"/>
      <c r="B1105" s="338" t="s">
        <v>314</v>
      </c>
      <c r="C1105" s="272"/>
      <c r="D1105" s="1290" t="s">
        <v>637</v>
      </c>
      <c r="E1105" s="1290"/>
      <c r="F1105" s="1290"/>
      <c r="I1105" s="1123"/>
    </row>
    <row r="1106" spans="1:9">
      <c r="A1106" s="272"/>
      <c r="B1106" s="272"/>
      <c r="C1106" s="272"/>
      <c r="D1106" s="1290"/>
      <c r="E1106" s="1290"/>
      <c r="F1106" s="1290"/>
      <c r="I1106" s="1123"/>
    </row>
    <row r="1107" spans="1:9">
      <c r="A1107" s="272"/>
      <c r="B1107" s="272"/>
      <c r="C1107" s="272"/>
      <c r="D1107" s="376"/>
      <c r="I1107" s="1123"/>
    </row>
    <row r="1108" spans="1:9">
      <c r="A1108" s="272"/>
      <c r="B1108" s="338" t="s">
        <v>314</v>
      </c>
      <c r="C1108" s="272"/>
      <c r="D1108" s="1290" t="s">
        <v>638</v>
      </c>
      <c r="E1108" s="1290"/>
      <c r="F1108" s="1290"/>
      <c r="I1108" s="1123"/>
    </row>
    <row r="1109" spans="1:9">
      <c r="A1109" s="272"/>
      <c r="B1109" s="272"/>
      <c r="C1109" s="272"/>
      <c r="D1109" s="1290"/>
      <c r="E1109" s="1290"/>
      <c r="F1109" s="1290"/>
      <c r="I1109" s="1123"/>
    </row>
    <row r="1110" spans="1:9">
      <c r="A1110" s="272"/>
      <c r="B1110" s="272"/>
      <c r="C1110" s="272"/>
      <c r="D1110" s="1290"/>
      <c r="E1110" s="1290"/>
      <c r="F1110" s="1290"/>
      <c r="I1110" s="1123"/>
    </row>
    <row r="1111" spans="1:9">
      <c r="A1111" s="272"/>
      <c r="B1111" s="272"/>
      <c r="C1111" s="272"/>
      <c r="D1111" s="1290"/>
      <c r="E1111" s="1290"/>
      <c r="F1111" s="1290"/>
      <c r="I1111" s="1123"/>
    </row>
    <row r="1112" spans="1:9">
      <c r="A1112" s="272"/>
      <c r="B1112" s="272"/>
      <c r="C1112" s="272"/>
      <c r="D1112" s="1290"/>
      <c r="E1112" s="1290"/>
      <c r="F1112" s="1290"/>
      <c r="I1112" s="1123"/>
    </row>
    <row r="1113" spans="1:9">
      <c r="A1113" s="272"/>
      <c r="B1113" s="272"/>
      <c r="C1113" s="272"/>
      <c r="D1113" s="1290"/>
      <c r="E1113" s="1290"/>
      <c r="F1113" s="1290"/>
      <c r="I1113" s="1123"/>
    </row>
    <row r="1114" spans="1:9">
      <c r="A1114" s="272"/>
      <c r="B1114" s="272"/>
      <c r="C1114" s="272"/>
      <c r="D1114" s="376"/>
      <c r="I1114" s="335"/>
    </row>
    <row r="1115" spans="1:9">
      <c r="A1115" s="272"/>
      <c r="B1115" s="338" t="s">
        <v>309</v>
      </c>
      <c r="C1115" s="272"/>
      <c r="D1115" s="1290" t="s">
        <v>639</v>
      </c>
      <c r="E1115" s="1290"/>
      <c r="F1115" s="1290"/>
      <c r="I1115" s="1123"/>
    </row>
    <row r="1116" spans="1:9">
      <c r="A1116" s="272"/>
      <c r="B1116" s="272"/>
      <c r="C1116" s="272"/>
      <c r="D1116" s="1290"/>
      <c r="E1116" s="1290"/>
      <c r="F1116" s="1290"/>
      <c r="I1116" s="1123"/>
    </row>
    <row r="1117" spans="1:9">
      <c r="A1117" s="272"/>
      <c r="B1117" s="272"/>
      <c r="C1117" s="272"/>
      <c r="D1117" s="1290"/>
      <c r="E1117" s="1290"/>
      <c r="F1117" s="1290"/>
      <c r="I1117" s="1123"/>
    </row>
    <row r="1118" spans="1:9">
      <c r="A1118" s="272"/>
      <c r="B1118" s="272"/>
      <c r="C1118" s="272"/>
      <c r="D1118" s="376"/>
      <c r="I1118" s="1123"/>
    </row>
    <row r="1119" spans="1:9">
      <c r="A1119" s="272"/>
      <c r="B1119" s="338" t="s">
        <v>309</v>
      </c>
      <c r="C1119" s="272"/>
      <c r="D1119" s="1230" t="s">
        <v>640</v>
      </c>
      <c r="E1119" s="1230"/>
      <c r="F1119" s="1230"/>
      <c r="I1119" s="1123"/>
    </row>
    <row r="1120" spans="1:9">
      <c r="A1120" s="272"/>
      <c r="B1120" s="272"/>
      <c r="C1120" s="272"/>
      <c r="D1120" s="1230"/>
      <c r="E1120" s="1230"/>
      <c r="F1120" s="1230"/>
      <c r="I1120" s="1123"/>
    </row>
    <row r="1121" spans="1:9">
      <c r="A1121" s="272"/>
      <c r="B1121" s="272"/>
      <c r="C1121" s="272"/>
      <c r="D1121" s="1230"/>
      <c r="E1121" s="1230"/>
      <c r="F1121" s="1230"/>
      <c r="I1121" s="1123"/>
    </row>
    <row r="1122" spans="1:9">
      <c r="A1122" s="272"/>
      <c r="B1122" s="272"/>
      <c r="C1122" s="272"/>
      <c r="D1122" s="1118"/>
      <c r="E1122" s="1118"/>
      <c r="F1122" s="1118"/>
      <c r="I1122" s="1123"/>
    </row>
    <row r="1123" spans="1:9" ht="15.75" customHeight="1">
      <c r="A1123" s="272"/>
      <c r="B1123" s="338" t="s">
        <v>314</v>
      </c>
      <c r="C1123" s="272"/>
      <c r="D1123" s="1224" t="s">
        <v>641</v>
      </c>
      <c r="E1123" s="1224"/>
      <c r="F1123" s="1224"/>
      <c r="I1123" s="1123"/>
    </row>
    <row r="1124" spans="1:9">
      <c r="A1124" s="272"/>
      <c r="B1124" s="272"/>
      <c r="C1124" s="272"/>
      <c r="D1124" s="1224"/>
      <c r="E1124" s="1224"/>
      <c r="F1124" s="1224"/>
      <c r="I1124" s="1123"/>
    </row>
    <row r="1125" spans="1:9">
      <c r="A1125" s="272"/>
      <c r="B1125" s="272"/>
      <c r="C1125" s="272"/>
      <c r="D1125" s="1224"/>
      <c r="E1125" s="1224"/>
      <c r="F1125" s="1224"/>
      <c r="I1125" s="1123"/>
    </row>
    <row r="1126" spans="1:9">
      <c r="A1126" s="272"/>
      <c r="B1126" s="272"/>
      <c r="C1126" s="272"/>
      <c r="D1126" s="1224"/>
      <c r="E1126" s="1224"/>
      <c r="F1126" s="1224"/>
      <c r="I1126" s="1123"/>
    </row>
    <row r="1127" spans="1:9">
      <c r="A1127" s="272"/>
      <c r="B1127" s="272"/>
      <c r="C1127" s="272"/>
      <c r="D1127" s="1118"/>
      <c r="E1127" s="1118"/>
      <c r="F1127" s="1118"/>
      <c r="I1127" s="1123"/>
    </row>
    <row r="1128" spans="1:9">
      <c r="A1128" s="272"/>
      <c r="B1128" s="272"/>
      <c r="C1128" s="272"/>
      <c r="I1128" s="941"/>
    </row>
    <row r="1129" spans="1:9">
      <c r="A1129" s="272"/>
      <c r="B1129" s="272"/>
      <c r="C1129" s="272"/>
      <c r="I1129" s="1123"/>
    </row>
    <row r="1130" spans="1:9">
      <c r="A1130" s="272"/>
      <c r="B1130" s="272"/>
      <c r="C1130" s="272"/>
      <c r="I1130" s="1123"/>
    </row>
    <row r="1131" spans="1:9">
      <c r="A1131" s="272"/>
      <c r="B1131" s="272"/>
      <c r="C1131" s="272"/>
    </row>
    <row r="1132" spans="1:9">
      <c r="A1132" s="272"/>
      <c r="B1132" s="272"/>
      <c r="C1132" s="272"/>
    </row>
    <row r="1133" spans="1:9">
      <c r="A1133" s="272"/>
      <c r="B1133" s="272"/>
      <c r="C1133" s="272"/>
    </row>
    <row r="1134" spans="1:9">
      <c r="A1134" s="272"/>
      <c r="B1134" s="272"/>
      <c r="C1134" s="272"/>
    </row>
    <row r="1135" spans="1:9">
      <c r="A1135" s="272"/>
      <c r="B1135" s="272"/>
      <c r="C1135" s="272"/>
    </row>
    <row r="1136" spans="1:9">
      <c r="A1136" s="272"/>
      <c r="B1136" s="272"/>
      <c r="C1136" s="272"/>
    </row>
    <row r="1137" spans="1:3">
      <c r="A1137" s="272"/>
      <c r="B1137" s="272"/>
      <c r="C1137" s="272"/>
    </row>
    <row r="1138" spans="1:3">
      <c r="A1138" s="272"/>
      <c r="B1138" s="272"/>
      <c r="C1138" s="272"/>
    </row>
    <row r="1139" spans="1:3">
      <c r="A1139" s="272"/>
      <c r="B1139" s="272"/>
      <c r="C1139" s="272"/>
    </row>
    <row r="1140" spans="1:3">
      <c r="A1140" s="272"/>
      <c r="B1140" s="272"/>
      <c r="C1140" s="272"/>
    </row>
    <row r="1141" spans="1:3">
      <c r="A1141" s="272"/>
      <c r="B1141" s="272"/>
      <c r="C1141" s="272"/>
    </row>
    <row r="1142" spans="1:3">
      <c r="A1142" s="272"/>
      <c r="B1142" s="272"/>
      <c r="C1142" s="272"/>
    </row>
    <row r="1143" spans="1:3">
      <c r="A1143" s="272"/>
      <c r="B1143" s="272"/>
      <c r="C1143" s="272"/>
    </row>
    <row r="1144" spans="1:3">
      <c r="A1144" s="272"/>
      <c r="B1144" s="272"/>
      <c r="C1144" s="272"/>
    </row>
    <row r="1145" spans="1:3">
      <c r="A1145" s="272"/>
      <c r="B1145" s="272"/>
      <c r="C1145" s="272"/>
    </row>
    <row r="1146" spans="1:3"/>
    <row r="1147" spans="1:3"/>
    <row r="1148" spans="1:3"/>
    <row r="1149" spans="1:3"/>
    <row r="1150" spans="1:3"/>
    <row r="1151" spans="1:3"/>
    <row r="1152" spans="1:3"/>
    <row r="1153" spans="1:3">
      <c r="A1153" s="272"/>
      <c r="B1153" s="272"/>
      <c r="C1153" s="272"/>
    </row>
    <row r="1154" spans="1:3">
      <c r="A1154" s="272"/>
      <c r="B1154" s="272"/>
      <c r="C1154" s="272"/>
    </row>
    <row r="1155" spans="1:3">
      <c r="A1155" s="272"/>
      <c r="B1155" s="272"/>
      <c r="C1155" s="272"/>
    </row>
    <row r="1156" spans="1:3">
      <c r="A1156" s="272"/>
      <c r="B1156" s="272"/>
      <c r="C1156" s="272"/>
    </row>
    <row r="1157" spans="1:3">
      <c r="A1157" s="272"/>
      <c r="B1157" s="272"/>
      <c r="C1157" s="272"/>
    </row>
    <row r="1158" spans="1:3">
      <c r="A1158" s="272"/>
      <c r="B1158" s="272"/>
      <c r="C1158" s="272"/>
    </row>
    <row r="1159" spans="1:3">
      <c r="A1159" s="272"/>
      <c r="B1159" s="272"/>
      <c r="C1159" s="272"/>
    </row>
    <row r="1160" spans="1:3">
      <c r="A1160" s="272"/>
      <c r="B1160" s="272"/>
      <c r="C1160" s="272"/>
    </row>
    <row r="1161" spans="1:3">
      <c r="A1161" s="272"/>
      <c r="B1161" s="272"/>
      <c r="C1161" s="272"/>
    </row>
    <row r="1162" spans="1:3">
      <c r="A1162" s="272"/>
      <c r="B1162" s="272"/>
      <c r="C1162" s="272"/>
    </row>
    <row r="1163" spans="1:3">
      <c r="A1163" s="272"/>
      <c r="B1163" s="272"/>
      <c r="C1163" s="272"/>
    </row>
    <row r="1164" spans="1:3">
      <c r="A1164" s="272"/>
      <c r="B1164" s="272"/>
      <c r="C1164" s="272"/>
    </row>
    <row r="1165" spans="1:3">
      <c r="A1165" s="272"/>
      <c r="B1165" s="272"/>
      <c r="C1165" s="272"/>
    </row>
    <row r="1166" spans="1:3">
      <c r="A1166" s="272"/>
      <c r="B1166" s="272"/>
      <c r="C1166" s="272"/>
    </row>
    <row r="1167" spans="1:3">
      <c r="A1167" s="272"/>
      <c r="B1167" s="272"/>
      <c r="C1167" s="272"/>
    </row>
    <row r="1168" spans="1:3">
      <c r="A1168" s="272"/>
      <c r="B1168" s="272"/>
      <c r="C1168" s="272"/>
    </row>
    <row r="1169" spans="1:3">
      <c r="A1169" s="272"/>
      <c r="B1169" s="272"/>
      <c r="C1169" s="272"/>
    </row>
    <row r="1170" spans="1:3">
      <c r="A1170" s="272"/>
      <c r="B1170" s="272"/>
      <c r="C1170" s="272"/>
    </row>
    <row r="1171" spans="1:3">
      <c r="A1171" s="272"/>
      <c r="B1171" s="272"/>
      <c r="C1171" s="272"/>
    </row>
    <row r="1172" spans="1:3">
      <c r="A1172" s="272"/>
      <c r="B1172" s="272"/>
      <c r="C1172" s="272"/>
    </row>
    <row r="1173" spans="1:3">
      <c r="A1173" s="272"/>
      <c r="B1173" s="272"/>
      <c r="C1173" s="272"/>
    </row>
    <row r="1174" spans="1:3">
      <c r="A1174" s="272"/>
      <c r="B1174" s="272"/>
      <c r="C1174" s="272"/>
    </row>
    <row r="1175" spans="1:3">
      <c r="A1175" s="272"/>
      <c r="B1175" s="272"/>
      <c r="C1175" s="272"/>
    </row>
    <row r="1176" spans="1:3">
      <c r="A1176" s="272"/>
      <c r="B1176" s="272"/>
      <c r="C1176" s="272"/>
    </row>
    <row r="1177" spans="1:3">
      <c r="A1177" s="272"/>
      <c r="B1177" s="272"/>
      <c r="C1177" s="272"/>
    </row>
    <row r="1178" spans="1:3">
      <c r="A1178" s="272"/>
      <c r="B1178" s="272"/>
      <c r="C1178" s="272"/>
    </row>
    <row r="1179" spans="1:3">
      <c r="A1179" s="272"/>
      <c r="B1179" s="272"/>
      <c r="C1179" s="272"/>
    </row>
    <row r="1180" spans="1:3">
      <c r="A1180" s="272"/>
      <c r="B1180" s="272"/>
      <c r="C1180" s="272"/>
    </row>
    <row r="1181" spans="1:3">
      <c r="A1181" s="272"/>
      <c r="B1181" s="272"/>
      <c r="C1181" s="272"/>
    </row>
    <row r="1182" spans="1:3">
      <c r="A1182" s="272"/>
      <c r="B1182" s="272"/>
      <c r="C1182" s="272"/>
    </row>
    <row r="1183" spans="1:3">
      <c r="A1183" s="272"/>
      <c r="B1183" s="272"/>
      <c r="C1183" s="272"/>
    </row>
    <row r="1184" spans="1:3">
      <c r="A1184" s="272"/>
      <c r="B1184" s="272"/>
      <c r="C1184" s="272"/>
    </row>
    <row r="1185" spans="1:3">
      <c r="A1185" s="272"/>
      <c r="B1185" s="272"/>
      <c r="C1185" s="272"/>
    </row>
    <row r="1186" spans="1:3">
      <c r="A1186" s="272"/>
      <c r="B1186" s="272"/>
      <c r="C1186" s="272"/>
    </row>
    <row r="1187" spans="1:3">
      <c r="A1187" s="272"/>
      <c r="B1187" s="272"/>
      <c r="C1187" s="272"/>
    </row>
    <row r="1188" spans="1:3">
      <c r="A1188" s="272"/>
      <c r="B1188" s="272"/>
      <c r="C1188" s="272"/>
    </row>
    <row r="1189" spans="1:3">
      <c r="A1189" s="272"/>
      <c r="B1189" s="272"/>
      <c r="C1189" s="272"/>
    </row>
    <row r="1190" spans="1:3">
      <c r="A1190" s="272"/>
      <c r="B1190" s="272"/>
      <c r="C1190" s="272"/>
    </row>
    <row r="1191" spans="1:3">
      <c r="A1191" s="272"/>
      <c r="B1191" s="272"/>
      <c r="C1191" s="272"/>
    </row>
    <row r="1192" spans="1:3">
      <c r="A1192" s="272"/>
      <c r="B1192" s="272"/>
      <c r="C1192" s="272"/>
    </row>
    <row r="1193" spans="1:3">
      <c r="A1193" s="272"/>
      <c r="B1193" s="272"/>
      <c r="C1193" s="272"/>
    </row>
    <row r="1194" spans="1:3">
      <c r="A1194" s="272"/>
      <c r="B1194" s="272"/>
      <c r="C1194" s="272"/>
    </row>
    <row r="1195" spans="1:3">
      <c r="A1195" s="272"/>
      <c r="B1195" s="272"/>
      <c r="C1195" s="272"/>
    </row>
    <row r="1196" spans="1:3">
      <c r="A1196" s="272"/>
      <c r="B1196" s="272"/>
      <c r="C1196" s="272"/>
    </row>
    <row r="1197" spans="1:3">
      <c r="A1197" s="272"/>
      <c r="B1197" s="272"/>
      <c r="C1197" s="272"/>
    </row>
    <row r="1198" spans="1:3">
      <c r="A1198" s="272"/>
      <c r="B1198" s="272"/>
      <c r="C1198" s="272"/>
    </row>
    <row r="1199" spans="1:3">
      <c r="A1199" s="272"/>
      <c r="B1199" s="272"/>
      <c r="C1199" s="272"/>
    </row>
    <row r="1200" spans="1:3">
      <c r="A1200" s="272"/>
      <c r="B1200" s="272"/>
      <c r="C1200" s="272"/>
    </row>
    <row r="1201" spans="1:3">
      <c r="A1201" s="272"/>
      <c r="B1201" s="272"/>
      <c r="C1201" s="272"/>
    </row>
    <row r="1202" spans="1:3">
      <c r="A1202" s="272"/>
      <c r="B1202" s="272"/>
      <c r="C1202" s="272"/>
    </row>
    <row r="1203" spans="1:3">
      <c r="A1203" s="272"/>
      <c r="B1203" s="272"/>
      <c r="C1203" s="272"/>
    </row>
    <row r="1204" spans="1:3">
      <c r="A1204" s="272"/>
      <c r="B1204" s="272"/>
      <c r="C1204" s="272"/>
    </row>
    <row r="1205" spans="1:3">
      <c r="A1205" s="272"/>
      <c r="B1205" s="272"/>
      <c r="C1205" s="272"/>
    </row>
    <row r="1206" spans="1:3">
      <c r="A1206" s="272"/>
      <c r="B1206" s="272"/>
      <c r="C1206" s="272"/>
    </row>
    <row r="1207" spans="1:3">
      <c r="A1207" s="272"/>
      <c r="B1207" s="272"/>
      <c r="C1207" s="272"/>
    </row>
    <row r="1208" spans="1:3">
      <c r="A1208" s="272"/>
      <c r="B1208" s="272"/>
      <c r="C1208" s="272"/>
    </row>
    <row r="1209" spans="1:3">
      <c r="A1209" s="272"/>
      <c r="B1209" s="272"/>
      <c r="C1209" s="272"/>
    </row>
    <row r="1210" spans="1:3">
      <c r="A1210" s="272"/>
      <c r="B1210" s="272"/>
      <c r="C1210" s="272"/>
    </row>
    <row r="1211" spans="1:3">
      <c r="A1211" s="272"/>
      <c r="B1211" s="272"/>
      <c r="C1211" s="272"/>
    </row>
    <row r="1212" spans="1:3">
      <c r="A1212" s="272"/>
      <c r="B1212" s="272"/>
      <c r="C1212" s="272"/>
    </row>
    <row r="1213" spans="1:3">
      <c r="A1213" s="272"/>
      <c r="B1213" s="272"/>
      <c r="C1213" s="272"/>
    </row>
    <row r="1214" spans="1:3">
      <c r="A1214" s="272"/>
      <c r="B1214" s="272"/>
      <c r="C1214" s="272"/>
    </row>
    <row r="1215" spans="1:3">
      <c r="A1215" s="272"/>
      <c r="B1215" s="272"/>
      <c r="C1215" s="272"/>
    </row>
    <row r="1216" spans="1:3">
      <c r="A1216" s="272"/>
      <c r="B1216" s="272"/>
      <c r="C1216" s="272"/>
    </row>
    <row r="1217" spans="1:3">
      <c r="A1217" s="272"/>
      <c r="B1217" s="272"/>
      <c r="C1217" s="272"/>
    </row>
    <row r="1218" spans="1:3">
      <c r="A1218" s="272"/>
      <c r="B1218" s="272"/>
      <c r="C1218" s="272"/>
    </row>
    <row r="1219" spans="1:3">
      <c r="A1219" s="272"/>
      <c r="B1219" s="272"/>
      <c r="C1219" s="272"/>
    </row>
    <row r="1220" spans="1:3">
      <c r="A1220" s="272"/>
      <c r="B1220" s="272"/>
      <c r="C1220" s="272"/>
    </row>
    <row r="1221" spans="1:3">
      <c r="A1221" s="272"/>
      <c r="B1221" s="272"/>
      <c r="C1221" s="272"/>
    </row>
    <row r="1222" spans="1:3">
      <c r="A1222" s="272"/>
      <c r="B1222" s="272"/>
      <c r="C1222" s="272"/>
    </row>
    <row r="1223" spans="1:3">
      <c r="A1223" s="272"/>
      <c r="B1223" s="272"/>
      <c r="C1223" s="272"/>
    </row>
    <row r="1224" spans="1:3">
      <c r="A1224" s="272"/>
      <c r="B1224" s="272"/>
      <c r="C1224" s="272"/>
    </row>
    <row r="1225" spans="1:3">
      <c r="A1225" s="272"/>
      <c r="B1225" s="272"/>
      <c r="C1225" s="272"/>
    </row>
    <row r="1226" spans="1:3">
      <c r="A1226" s="272"/>
      <c r="B1226" s="272"/>
      <c r="C1226" s="272"/>
    </row>
    <row r="1227" spans="1:3">
      <c r="A1227" s="272"/>
      <c r="B1227" s="272"/>
      <c r="C1227" s="272"/>
    </row>
    <row r="1228" spans="1:3">
      <c r="A1228" s="272"/>
      <c r="B1228" s="272"/>
      <c r="C1228" s="272"/>
    </row>
    <row r="1229" spans="1:3">
      <c r="A1229" s="272"/>
      <c r="B1229" s="272"/>
      <c r="C1229" s="272"/>
    </row>
    <row r="1230" spans="1:3">
      <c r="A1230" s="272"/>
      <c r="B1230" s="272"/>
      <c r="C1230" s="272"/>
    </row>
    <row r="1231" spans="1:3">
      <c r="A1231" s="272"/>
      <c r="B1231" s="272"/>
      <c r="C1231" s="272"/>
    </row>
    <row r="1232" spans="1:3">
      <c r="A1232" s="272"/>
      <c r="B1232" s="272"/>
      <c r="C1232" s="272"/>
    </row>
    <row r="1233" spans="1:3">
      <c r="A1233" s="272"/>
      <c r="B1233" s="272"/>
      <c r="C1233" s="272"/>
    </row>
    <row r="1234" spans="1:3">
      <c r="A1234" s="272"/>
      <c r="B1234" s="272"/>
      <c r="C1234" s="272"/>
    </row>
    <row r="1235" spans="1:3">
      <c r="A1235" s="272"/>
      <c r="B1235" s="272"/>
      <c r="C1235" s="272"/>
    </row>
    <row r="1236" spans="1:3">
      <c r="A1236" s="272"/>
      <c r="B1236" s="272"/>
      <c r="C1236" s="272"/>
    </row>
    <row r="1237" spans="1:3">
      <c r="A1237" s="272"/>
      <c r="B1237" s="272"/>
      <c r="C1237" s="272"/>
    </row>
    <row r="1238" spans="1:3">
      <c r="A1238" s="272"/>
      <c r="B1238" s="272"/>
      <c r="C1238" s="272"/>
    </row>
    <row r="1239" spans="1:3">
      <c r="A1239" s="272"/>
      <c r="B1239" s="272"/>
      <c r="C1239" s="272"/>
    </row>
    <row r="1240" spans="1:3">
      <c r="A1240" s="272"/>
      <c r="B1240" s="272"/>
      <c r="C1240" s="272"/>
    </row>
    <row r="1241" spans="1:3">
      <c r="A1241" s="272"/>
      <c r="B1241" s="272"/>
      <c r="C1241" s="272"/>
    </row>
    <row r="1242" spans="1:3">
      <c r="A1242" s="272"/>
      <c r="B1242" s="272"/>
      <c r="C1242" s="272"/>
    </row>
    <row r="1243" spans="1:3">
      <c r="A1243" s="272"/>
      <c r="B1243" s="272"/>
      <c r="C1243" s="272"/>
    </row>
    <row r="1244" spans="1:3">
      <c r="A1244" s="272"/>
      <c r="B1244" s="272"/>
      <c r="C1244" s="272"/>
    </row>
    <row r="1245" spans="1:3">
      <c r="A1245" s="272"/>
      <c r="B1245" s="272"/>
      <c r="C1245" s="272"/>
    </row>
    <row r="1246" spans="1:3">
      <c r="A1246" s="272"/>
      <c r="B1246" s="272"/>
      <c r="C1246" s="272"/>
    </row>
    <row r="1247" spans="1:3">
      <c r="A1247" s="272"/>
      <c r="B1247" s="272"/>
      <c r="C1247" s="272"/>
    </row>
    <row r="1248" spans="1:3">
      <c r="A1248" s="272"/>
      <c r="B1248" s="272"/>
      <c r="C1248" s="272"/>
    </row>
    <row r="1249" spans="1:3">
      <c r="A1249" s="272"/>
      <c r="B1249" s="272"/>
      <c r="C1249" s="272"/>
    </row>
    <row r="1250" spans="1:3">
      <c r="A1250" s="272"/>
      <c r="B1250" s="272"/>
      <c r="C1250" s="272"/>
    </row>
    <row r="1251" spans="1:3">
      <c r="A1251" s="272"/>
      <c r="B1251" s="272"/>
      <c r="C1251" s="272"/>
    </row>
    <row r="1252" spans="1:3">
      <c r="A1252" s="272"/>
      <c r="B1252" s="272"/>
      <c r="C1252" s="272"/>
    </row>
    <row r="1253" spans="1:3">
      <c r="A1253" s="272"/>
      <c r="B1253" s="272"/>
      <c r="C1253" s="272"/>
    </row>
    <row r="1254" spans="1:3">
      <c r="A1254" s="272"/>
      <c r="B1254" s="272"/>
      <c r="C1254" s="272"/>
    </row>
    <row r="1255" spans="1:3">
      <c r="A1255" s="272"/>
      <c r="B1255" s="272"/>
      <c r="C1255" s="272"/>
    </row>
    <row r="1256" spans="1:3">
      <c r="A1256" s="272"/>
      <c r="B1256" s="272"/>
      <c r="C1256" s="272"/>
    </row>
    <row r="1257" spans="1:3">
      <c r="A1257" s="272"/>
      <c r="B1257" s="272"/>
      <c r="C1257" s="272"/>
    </row>
    <row r="1258" spans="1:3">
      <c r="A1258" s="272"/>
      <c r="B1258" s="272"/>
      <c r="C1258" s="272"/>
    </row>
    <row r="1259" spans="1:3">
      <c r="A1259" s="272"/>
      <c r="B1259" s="272"/>
      <c r="C1259" s="272"/>
    </row>
    <row r="1260" spans="1:3">
      <c r="A1260" s="272"/>
      <c r="B1260" s="272"/>
      <c r="C1260" s="272"/>
    </row>
    <row r="1261" spans="1:3">
      <c r="A1261" s="272"/>
      <c r="B1261" s="272"/>
      <c r="C1261" s="272"/>
    </row>
    <row r="1262" spans="1:3">
      <c r="A1262" s="272"/>
      <c r="B1262" s="272"/>
      <c r="C1262" s="272"/>
    </row>
    <row r="1263" spans="1:3">
      <c r="A1263" s="272"/>
      <c r="B1263" s="272"/>
      <c r="C1263" s="272"/>
    </row>
    <row r="1264" spans="1:3">
      <c r="A1264" s="272"/>
      <c r="B1264" s="272"/>
      <c r="C1264" s="272"/>
    </row>
    <row r="1265" spans="1:3">
      <c r="A1265" s="272"/>
      <c r="B1265" s="272"/>
      <c r="C1265" s="272"/>
    </row>
    <row r="1266" spans="1:3">
      <c r="A1266" s="272"/>
      <c r="B1266" s="272"/>
      <c r="C1266" s="272"/>
    </row>
    <row r="1267" spans="1:3">
      <c r="A1267" s="272"/>
      <c r="B1267" s="272"/>
      <c r="C1267" s="272"/>
    </row>
    <row r="1268" spans="1:3">
      <c r="A1268" s="272"/>
      <c r="B1268" s="272"/>
      <c r="C1268" s="272"/>
    </row>
    <row r="1269" spans="1:3">
      <c r="A1269" s="272"/>
      <c r="B1269" s="272"/>
      <c r="C1269" s="272"/>
    </row>
    <row r="1270" spans="1:3">
      <c r="A1270" s="272"/>
      <c r="B1270" s="272"/>
      <c r="C1270" s="272"/>
    </row>
    <row r="1271" spans="1:3">
      <c r="A1271" s="272"/>
      <c r="B1271" s="272"/>
      <c r="C1271" s="272"/>
    </row>
    <row r="1272" spans="1:3">
      <c r="A1272" s="272"/>
      <c r="B1272" s="272"/>
      <c r="C1272" s="272"/>
    </row>
    <row r="1273" spans="1:3">
      <c r="A1273" s="272"/>
      <c r="B1273" s="272"/>
      <c r="C1273" s="272"/>
    </row>
    <row r="1274" spans="1:3">
      <c r="A1274" s="272"/>
      <c r="B1274" s="272"/>
      <c r="C1274" s="272"/>
    </row>
    <row r="1275" spans="1:3">
      <c r="A1275" s="272"/>
      <c r="B1275" s="272"/>
      <c r="C1275" s="272"/>
    </row>
    <row r="1276" spans="1:3">
      <c r="A1276" s="272"/>
      <c r="B1276" s="272"/>
      <c r="C1276" s="272"/>
    </row>
    <row r="1277" spans="1:3">
      <c r="A1277" s="272"/>
      <c r="B1277" s="272"/>
      <c r="C1277" s="272"/>
    </row>
    <row r="1278" spans="1:3">
      <c r="A1278" s="272"/>
      <c r="B1278" s="272"/>
      <c r="C1278" s="272"/>
    </row>
    <row r="1279" spans="1:3">
      <c r="A1279" s="272"/>
      <c r="B1279" s="272"/>
      <c r="C1279" s="272"/>
    </row>
    <row r="1280" spans="1:3">
      <c r="A1280" s="272"/>
      <c r="B1280" s="272"/>
      <c r="C1280" s="272"/>
    </row>
    <row r="1281" spans="1:3">
      <c r="A1281" s="272"/>
      <c r="B1281" s="272"/>
      <c r="C1281" s="272"/>
    </row>
    <row r="1282" spans="1:3">
      <c r="A1282" s="272"/>
      <c r="B1282" s="272"/>
      <c r="C1282" s="272"/>
    </row>
    <row r="1283" spans="1:3">
      <c r="A1283" s="272"/>
      <c r="B1283" s="272"/>
      <c r="C1283" s="272"/>
    </row>
    <row r="1284" spans="1:3">
      <c r="A1284" s="272"/>
      <c r="B1284" s="272"/>
      <c r="C1284" s="272"/>
    </row>
    <row r="1285" spans="1:3">
      <c r="A1285" s="272"/>
      <c r="B1285" s="272"/>
      <c r="C1285" s="272"/>
    </row>
    <row r="1286" spans="1:3">
      <c r="A1286" s="272"/>
      <c r="B1286" s="272"/>
      <c r="C1286" s="272"/>
    </row>
    <row r="1287" spans="1:3">
      <c r="A1287" s="272"/>
      <c r="B1287" s="272"/>
      <c r="C1287" s="272"/>
    </row>
    <row r="1288" spans="1:3">
      <c r="A1288" s="272"/>
      <c r="B1288" s="272"/>
      <c r="C1288" s="272"/>
    </row>
    <row r="1289" spans="1:3">
      <c r="A1289" s="272"/>
      <c r="B1289" s="272"/>
      <c r="C1289" s="272"/>
    </row>
    <row r="1290" spans="1:3">
      <c r="A1290" s="272"/>
      <c r="B1290" s="272"/>
      <c r="C1290" s="272"/>
    </row>
    <row r="1291" spans="1:3">
      <c r="A1291" s="272"/>
      <c r="B1291" s="272"/>
      <c r="C1291" s="272"/>
    </row>
    <row r="1292" spans="1:3">
      <c r="A1292" s="272"/>
      <c r="B1292" s="272"/>
      <c r="C1292" s="272"/>
    </row>
    <row r="1293" spans="1:3">
      <c r="A1293" s="272"/>
      <c r="B1293" s="272"/>
      <c r="C1293" s="272"/>
    </row>
    <row r="1294" spans="1:3">
      <c r="A1294" s="272"/>
      <c r="B1294" s="272"/>
      <c r="C1294" s="272"/>
    </row>
    <row r="1295" spans="1:3">
      <c r="A1295" s="272"/>
      <c r="B1295" s="272"/>
      <c r="C1295" s="272"/>
    </row>
    <row r="1296" spans="1:3">
      <c r="A1296" s="272"/>
      <c r="B1296" s="272"/>
      <c r="C1296" s="272"/>
    </row>
    <row r="1297" spans="1:3">
      <c r="A1297" s="272"/>
      <c r="B1297" s="272"/>
      <c r="C1297" s="272"/>
    </row>
    <row r="1298" spans="1:3">
      <c r="A1298" s="272"/>
      <c r="B1298" s="272"/>
      <c r="C1298" s="272"/>
    </row>
    <row r="1299" spans="1:3">
      <c r="A1299" s="272"/>
      <c r="B1299" s="272"/>
      <c r="C1299" s="272"/>
    </row>
    <row r="1300" spans="1:3">
      <c r="A1300" s="272"/>
      <c r="B1300" s="272"/>
      <c r="C1300" s="272"/>
    </row>
    <row r="1301" spans="1:3">
      <c r="A1301" s="272"/>
      <c r="B1301" s="272"/>
      <c r="C1301" s="272"/>
    </row>
    <row r="1302" spans="1:3">
      <c r="A1302" s="272"/>
      <c r="B1302" s="272"/>
      <c r="C1302" s="272"/>
    </row>
    <row r="1303" spans="1:3">
      <c r="A1303" s="272"/>
      <c r="B1303" s="272"/>
      <c r="C1303" s="272"/>
    </row>
    <row r="1304" spans="1:3">
      <c r="A1304" s="272"/>
      <c r="B1304" s="272"/>
      <c r="C1304" s="272"/>
    </row>
    <row r="1305" spans="1:3">
      <c r="A1305" s="272"/>
      <c r="B1305" s="272"/>
      <c r="C1305" s="272"/>
    </row>
    <row r="1306" spans="1:3">
      <c r="A1306" s="272"/>
      <c r="B1306" s="272"/>
      <c r="C1306" s="272"/>
    </row>
    <row r="1307" spans="1:3">
      <c r="A1307" s="272"/>
      <c r="B1307" s="272"/>
      <c r="C1307" s="272"/>
    </row>
    <row r="1308" spans="1:3">
      <c r="A1308" s="272"/>
      <c r="B1308" s="272"/>
      <c r="C1308" s="272"/>
    </row>
    <row r="1309" spans="1:3">
      <c r="A1309" s="272"/>
      <c r="B1309" s="272"/>
      <c r="C1309" s="272"/>
    </row>
    <row r="1310" spans="1:3">
      <c r="A1310" s="272"/>
      <c r="B1310" s="272"/>
      <c r="C1310" s="272"/>
    </row>
    <row r="1311" spans="1:3">
      <c r="A1311" s="272"/>
      <c r="B1311" s="272"/>
      <c r="C1311" s="272"/>
    </row>
    <row r="1312" spans="1:3">
      <c r="A1312" s="272"/>
      <c r="B1312" s="272"/>
      <c r="C1312" s="272"/>
    </row>
    <row r="1313" spans="1:3">
      <c r="A1313" s="272"/>
      <c r="B1313" s="272"/>
      <c r="C1313" s="272"/>
    </row>
    <row r="1314" spans="1:3">
      <c r="A1314" s="272"/>
      <c r="B1314" s="272"/>
      <c r="C1314" s="272"/>
    </row>
    <row r="1315" spans="1:3">
      <c r="A1315" s="272"/>
      <c r="B1315" s="272"/>
      <c r="C1315" s="272"/>
    </row>
    <row r="1316" spans="1:3">
      <c r="A1316" s="272"/>
      <c r="B1316" s="272"/>
      <c r="C1316" s="272"/>
    </row>
    <row r="1317" spans="1:3">
      <c r="A1317" s="272"/>
      <c r="B1317" s="272"/>
      <c r="C1317" s="272"/>
    </row>
    <row r="1318" spans="1:3">
      <c r="A1318" s="272"/>
      <c r="B1318" s="272"/>
      <c r="C1318" s="272"/>
    </row>
    <row r="1319" spans="1:3">
      <c r="A1319" s="272"/>
      <c r="B1319" s="272"/>
      <c r="C1319" s="272"/>
    </row>
    <row r="1320" spans="1:3">
      <c r="A1320" s="272"/>
      <c r="B1320" s="272"/>
      <c r="C1320" s="272"/>
    </row>
    <row r="1321" spans="1:3">
      <c r="A1321" s="272"/>
      <c r="B1321" s="272"/>
      <c r="C1321" s="272"/>
    </row>
    <row r="1322" spans="1:3">
      <c r="A1322" s="272"/>
      <c r="B1322" s="272"/>
      <c r="C1322" s="272"/>
    </row>
    <row r="1323" spans="1:3">
      <c r="A1323" s="272"/>
      <c r="B1323" s="272"/>
      <c r="C1323" s="272"/>
    </row>
    <row r="1324" spans="1:3">
      <c r="A1324" s="272"/>
      <c r="B1324" s="272"/>
      <c r="C1324" s="272"/>
    </row>
    <row r="1325" spans="1:3">
      <c r="A1325" s="272"/>
      <c r="B1325" s="272"/>
      <c r="C1325" s="272"/>
    </row>
    <row r="1326" spans="1:3">
      <c r="A1326" s="272"/>
      <c r="B1326" s="272"/>
      <c r="C1326" s="272"/>
    </row>
    <row r="1327" spans="1:3">
      <c r="A1327" s="272"/>
      <c r="B1327" s="272"/>
      <c r="C1327" s="272"/>
    </row>
    <row r="1328" spans="1:3">
      <c r="A1328" s="272"/>
      <c r="B1328" s="272"/>
      <c r="C1328" s="272"/>
    </row>
    <row r="1329" spans="1:3">
      <c r="A1329" s="272"/>
      <c r="B1329" s="272"/>
      <c r="C1329" s="272"/>
    </row>
    <row r="1330" spans="1:3">
      <c r="A1330" s="272"/>
      <c r="B1330" s="272"/>
      <c r="C1330" s="272"/>
    </row>
    <row r="1331" spans="1:3">
      <c r="A1331" s="272"/>
      <c r="B1331" s="272"/>
      <c r="C1331" s="272"/>
    </row>
    <row r="1332" spans="1:3">
      <c r="A1332" s="272"/>
      <c r="B1332" s="272"/>
      <c r="C1332" s="272"/>
    </row>
    <row r="1333" spans="1:3">
      <c r="A1333" s="272"/>
      <c r="B1333" s="272"/>
      <c r="C1333" s="272"/>
    </row>
    <row r="1334" spans="1:3">
      <c r="A1334" s="272"/>
      <c r="B1334" s="272"/>
      <c r="C1334" s="272"/>
    </row>
    <row r="1335" spans="1:3">
      <c r="A1335" s="272"/>
      <c r="B1335" s="272"/>
      <c r="C1335" s="272"/>
    </row>
    <row r="1336" spans="1:3">
      <c r="A1336" s="272"/>
      <c r="B1336" s="272"/>
      <c r="C1336" s="272"/>
    </row>
    <row r="1337" spans="1:3">
      <c r="A1337" s="272"/>
      <c r="B1337" s="272"/>
      <c r="C1337" s="272"/>
    </row>
    <row r="1338" spans="1:3">
      <c r="A1338" s="272"/>
      <c r="B1338" s="272"/>
      <c r="C1338" s="272"/>
    </row>
    <row r="1339" spans="1:3">
      <c r="A1339" s="272"/>
      <c r="B1339" s="272"/>
      <c r="C1339" s="272"/>
    </row>
    <row r="1340" spans="1:3">
      <c r="A1340" s="272"/>
      <c r="B1340" s="272"/>
      <c r="C1340" s="272"/>
    </row>
    <row r="1341" spans="1:3">
      <c r="A1341" s="272"/>
      <c r="B1341" s="272"/>
      <c r="C1341" s="272"/>
    </row>
    <row r="1342" spans="1:3">
      <c r="A1342" s="272"/>
      <c r="B1342" s="272"/>
      <c r="C1342" s="272"/>
    </row>
    <row r="1343" spans="1:3">
      <c r="A1343" s="272"/>
      <c r="B1343" s="272"/>
      <c r="C1343" s="272"/>
    </row>
    <row r="1344" spans="1:3">
      <c r="A1344" s="272"/>
      <c r="B1344" s="272"/>
      <c r="C1344" s="272"/>
    </row>
    <row r="1345" spans="1:3">
      <c r="A1345" s="272"/>
      <c r="B1345" s="272"/>
      <c r="C1345" s="272"/>
    </row>
    <row r="1346" spans="1:3">
      <c r="A1346" s="272"/>
      <c r="B1346" s="272"/>
      <c r="C1346" s="272"/>
    </row>
    <row r="1347" spans="1:3">
      <c r="A1347" s="272"/>
      <c r="B1347" s="272"/>
      <c r="C1347" s="272"/>
    </row>
    <row r="1348" spans="1:3">
      <c r="A1348" s="272"/>
      <c r="B1348" s="272"/>
      <c r="C1348" s="272"/>
    </row>
    <row r="1349" spans="1:3">
      <c r="A1349" s="272"/>
      <c r="B1349" s="272"/>
      <c r="C1349" s="272"/>
    </row>
    <row r="1350" spans="1:3">
      <c r="A1350" s="272"/>
      <c r="B1350" s="272"/>
      <c r="C1350" s="272"/>
    </row>
    <row r="1351" spans="1:3">
      <c r="A1351" s="272"/>
      <c r="B1351" s="272"/>
      <c r="C1351" s="272"/>
    </row>
    <row r="1352" spans="1:3">
      <c r="A1352" s="272"/>
      <c r="B1352" s="272"/>
      <c r="C1352" s="272"/>
    </row>
    <row r="1353" spans="1:3">
      <c r="A1353" s="272"/>
      <c r="B1353" s="272"/>
      <c r="C1353" s="272"/>
    </row>
    <row r="1354" spans="1:3">
      <c r="A1354" s="272"/>
      <c r="B1354" s="272"/>
      <c r="C1354" s="272"/>
    </row>
    <row r="1355" spans="1:3">
      <c r="A1355" s="272"/>
      <c r="B1355" s="272"/>
      <c r="C1355" s="272"/>
    </row>
    <row r="1356" spans="1:3">
      <c r="A1356" s="272"/>
      <c r="B1356" s="272"/>
      <c r="C1356" s="272"/>
    </row>
    <row r="1357" spans="1:3">
      <c r="A1357" s="272"/>
      <c r="B1357" s="272"/>
      <c r="C1357" s="272"/>
    </row>
    <row r="1358" spans="1:3">
      <c r="A1358" s="272"/>
      <c r="B1358" s="272"/>
      <c r="C1358" s="272"/>
    </row>
    <row r="1359" spans="1:3">
      <c r="A1359" s="272"/>
      <c r="B1359" s="272"/>
      <c r="C1359" s="272"/>
    </row>
    <row r="1360" spans="1:3">
      <c r="A1360" s="272"/>
      <c r="B1360" s="272"/>
      <c r="C1360" s="272"/>
    </row>
    <row r="1361" spans="1:3">
      <c r="A1361" s="272"/>
      <c r="B1361" s="272"/>
      <c r="C1361" s="272"/>
    </row>
    <row r="1362" spans="1:3">
      <c r="A1362" s="272"/>
      <c r="B1362" s="272"/>
      <c r="C1362" s="272"/>
    </row>
    <row r="1363" spans="1:3">
      <c r="A1363" s="272"/>
      <c r="B1363" s="272"/>
      <c r="C1363" s="272"/>
    </row>
    <row r="1364" spans="1:3">
      <c r="A1364" s="272"/>
      <c r="B1364" s="272"/>
      <c r="C1364" s="272"/>
    </row>
    <row r="1365" spans="1:3">
      <c r="A1365" s="272"/>
      <c r="B1365" s="272"/>
      <c r="C1365" s="272"/>
    </row>
    <row r="1366" spans="1:3">
      <c r="A1366" s="272"/>
      <c r="B1366" s="272"/>
      <c r="C1366" s="272"/>
    </row>
    <row r="1367" spans="1:3">
      <c r="A1367" s="272"/>
      <c r="B1367" s="272"/>
      <c r="C1367" s="272"/>
    </row>
    <row r="1368" spans="1:3">
      <c r="A1368" s="272"/>
      <c r="B1368" s="272"/>
      <c r="C1368" s="272"/>
    </row>
    <row r="1369" spans="1:3">
      <c r="A1369" s="272"/>
      <c r="B1369" s="272"/>
      <c r="C1369" s="272"/>
    </row>
    <row r="1370" spans="1:3">
      <c r="A1370" s="272"/>
      <c r="B1370" s="272"/>
      <c r="C1370" s="272"/>
    </row>
    <row r="1371" spans="1:3">
      <c r="A1371" s="272"/>
      <c r="B1371" s="272"/>
      <c r="C1371" s="272"/>
    </row>
    <row r="1372" spans="1:3">
      <c r="A1372" s="272"/>
      <c r="B1372" s="272"/>
      <c r="C1372" s="272"/>
    </row>
    <row r="1373" spans="1:3">
      <c r="A1373" s="272"/>
      <c r="B1373" s="272"/>
      <c r="C1373" s="272"/>
    </row>
    <row r="1374" spans="1:3">
      <c r="A1374" s="272"/>
      <c r="B1374" s="272"/>
      <c r="C1374" s="272"/>
    </row>
    <row r="1375" spans="1:3">
      <c r="A1375" s="272"/>
      <c r="B1375" s="272"/>
      <c r="C1375" s="272"/>
    </row>
    <row r="1376" spans="1:3">
      <c r="A1376" s="272"/>
      <c r="B1376" s="272"/>
      <c r="C1376" s="272"/>
    </row>
    <row r="1377" spans="1:3">
      <c r="A1377" s="272"/>
      <c r="B1377" s="272"/>
      <c r="C1377" s="272"/>
    </row>
    <row r="1378" spans="1:3">
      <c r="A1378" s="272"/>
      <c r="B1378" s="272"/>
      <c r="C1378" s="272"/>
    </row>
    <row r="1379" spans="1:3">
      <c r="A1379" s="272"/>
      <c r="B1379" s="272"/>
      <c r="C1379" s="272"/>
    </row>
    <row r="1380" spans="1:3">
      <c r="A1380" s="272"/>
      <c r="B1380" s="272"/>
      <c r="C1380" s="272"/>
    </row>
    <row r="1381" spans="1:3">
      <c r="A1381" s="272"/>
      <c r="B1381" s="272"/>
      <c r="C1381" s="272"/>
    </row>
    <row r="1382" spans="1:3">
      <c r="A1382" s="272"/>
      <c r="B1382" s="272"/>
      <c r="C1382" s="272"/>
    </row>
    <row r="1383" spans="1:3">
      <c r="A1383" s="272"/>
      <c r="B1383" s="272"/>
      <c r="C1383" s="272"/>
    </row>
    <row r="1384" spans="1:3">
      <c r="A1384" s="272"/>
      <c r="B1384" s="272"/>
      <c r="C1384" s="272"/>
    </row>
    <row r="1385" spans="1:3">
      <c r="A1385" s="272"/>
      <c r="B1385" s="272"/>
      <c r="C1385" s="272"/>
    </row>
    <row r="1386" spans="1:3">
      <c r="A1386" s="272"/>
      <c r="B1386" s="272"/>
      <c r="C1386" s="272"/>
    </row>
    <row r="1387" spans="1:3">
      <c r="A1387" s="272"/>
      <c r="B1387" s="272"/>
      <c r="C1387" s="272"/>
    </row>
    <row r="1388" spans="1:3">
      <c r="A1388" s="272"/>
      <c r="B1388" s="272"/>
      <c r="C1388" s="272"/>
    </row>
    <row r="1389" spans="1:3">
      <c r="A1389" s="272"/>
      <c r="B1389" s="272"/>
      <c r="C1389" s="272"/>
    </row>
    <row r="1390" spans="1:3">
      <c r="A1390" s="272"/>
      <c r="B1390" s="272"/>
      <c r="C1390" s="272"/>
    </row>
    <row r="1391" spans="1:3">
      <c r="A1391" s="272"/>
      <c r="B1391" s="272"/>
      <c r="C1391" s="272"/>
    </row>
    <row r="1392" spans="1:3">
      <c r="A1392" s="272"/>
      <c r="B1392" s="272"/>
      <c r="C1392" s="272"/>
    </row>
    <row r="1393" spans="1:3"/>
    <row r="1394" spans="1:3"/>
    <row r="1395" spans="1:3">
      <c r="A1395" s="272"/>
      <c r="B1395" s="272"/>
      <c r="C1395" s="272"/>
    </row>
    <row r="1396" spans="1:3">
      <c r="A1396" s="272"/>
      <c r="B1396" s="272"/>
      <c r="C1396" s="272"/>
    </row>
    <row r="1397" spans="1:3">
      <c r="A1397" s="272"/>
      <c r="B1397" s="272"/>
      <c r="C1397" s="272"/>
    </row>
    <row r="1398" spans="1:3">
      <c r="A1398" s="272"/>
      <c r="B1398" s="272"/>
      <c r="C1398" s="272"/>
    </row>
    <row r="1399" spans="1:3">
      <c r="A1399" s="272"/>
      <c r="B1399" s="272"/>
      <c r="C1399" s="272"/>
    </row>
    <row r="1400" spans="1:3">
      <c r="A1400" s="272"/>
      <c r="B1400" s="272"/>
      <c r="C1400" s="272"/>
    </row>
    <row r="1401" spans="1:3">
      <c r="A1401" s="272"/>
      <c r="B1401" s="272"/>
      <c r="C1401" s="272"/>
    </row>
    <row r="1402" spans="1:3">
      <c r="A1402" s="272"/>
      <c r="B1402" s="272"/>
      <c r="C1402" s="272"/>
    </row>
    <row r="1403" spans="1:3">
      <c r="A1403" s="272"/>
      <c r="B1403" s="272"/>
      <c r="C1403" s="272"/>
    </row>
    <row r="1404" spans="1:3">
      <c r="A1404" s="272"/>
      <c r="B1404" s="272"/>
      <c r="C1404" s="272"/>
    </row>
    <row r="1405" spans="1:3">
      <c r="A1405" s="272"/>
      <c r="B1405" s="272"/>
      <c r="C1405" s="272"/>
    </row>
    <row r="1406" spans="1:3">
      <c r="A1406" s="272"/>
      <c r="B1406" s="272"/>
      <c r="C1406" s="272"/>
    </row>
    <row r="1407" spans="1:3">
      <c r="A1407" s="272"/>
      <c r="B1407" s="272"/>
      <c r="C1407" s="272"/>
    </row>
    <row r="1408" spans="1:3">
      <c r="A1408" s="272"/>
      <c r="B1408" s="272"/>
      <c r="C1408" s="272"/>
    </row>
    <row r="1409" spans="1:3">
      <c r="A1409" s="272"/>
      <c r="B1409" s="272"/>
      <c r="C1409" s="272"/>
    </row>
    <row r="1410" spans="1:3">
      <c r="A1410" s="272"/>
      <c r="B1410" s="272"/>
      <c r="C1410" s="272"/>
    </row>
    <row r="1411" spans="1:3">
      <c r="A1411" s="272"/>
      <c r="B1411" s="272"/>
      <c r="C1411" s="272"/>
    </row>
    <row r="1412" spans="1:3">
      <c r="A1412" s="272"/>
      <c r="B1412" s="272"/>
      <c r="C1412" s="272"/>
    </row>
    <row r="1413" spans="1:3">
      <c r="A1413" s="272"/>
      <c r="B1413" s="272"/>
      <c r="C1413" s="272"/>
    </row>
    <row r="1414" spans="1:3">
      <c r="A1414" s="272"/>
      <c r="B1414" s="272"/>
      <c r="C1414" s="272"/>
    </row>
    <row r="1415" spans="1:3">
      <c r="A1415" s="272"/>
      <c r="B1415" s="272"/>
      <c r="C1415" s="272"/>
    </row>
    <row r="1416" spans="1:3">
      <c r="A1416" s="272"/>
      <c r="B1416" s="272"/>
      <c r="C1416" s="272"/>
    </row>
    <row r="1417" spans="1:3">
      <c r="A1417" s="272"/>
      <c r="B1417" s="272"/>
      <c r="C1417" s="272"/>
    </row>
    <row r="1418" spans="1:3">
      <c r="A1418" s="272"/>
      <c r="B1418" s="272"/>
      <c r="C1418" s="272"/>
    </row>
    <row r="1419" spans="1:3">
      <c r="A1419" s="272"/>
      <c r="B1419" s="272"/>
      <c r="C1419" s="272"/>
    </row>
    <row r="1420" spans="1:3">
      <c r="A1420" s="272"/>
      <c r="B1420" s="272"/>
      <c r="C1420" s="272"/>
    </row>
    <row r="1421" spans="1:3">
      <c r="A1421" s="272"/>
      <c r="B1421" s="272"/>
      <c r="C1421" s="272"/>
    </row>
    <row r="1422" spans="1:3">
      <c r="A1422" s="272"/>
      <c r="B1422" s="272"/>
      <c r="C1422" s="272"/>
    </row>
    <row r="1423" spans="1:3">
      <c r="A1423" s="272"/>
      <c r="B1423" s="272"/>
      <c r="C1423" s="272"/>
    </row>
    <row r="1424" spans="1:3">
      <c r="A1424" s="272"/>
      <c r="B1424" s="272"/>
      <c r="C1424" s="272"/>
    </row>
    <row r="1425" spans="1:3">
      <c r="A1425" s="272"/>
      <c r="B1425" s="272"/>
      <c r="C1425" s="272"/>
    </row>
    <row r="1426" spans="1:3">
      <c r="A1426" s="272"/>
      <c r="B1426" s="272"/>
      <c r="C1426" s="272"/>
    </row>
    <row r="1427" spans="1:3">
      <c r="A1427" s="272"/>
      <c r="B1427" s="272"/>
      <c r="C1427" s="272"/>
    </row>
    <row r="1428" spans="1:3">
      <c r="A1428" s="272"/>
      <c r="B1428" s="272"/>
      <c r="C1428" s="272"/>
    </row>
    <row r="1429" spans="1:3">
      <c r="A1429" s="272"/>
      <c r="B1429" s="272"/>
      <c r="C1429" s="272"/>
    </row>
    <row r="1430" spans="1:3">
      <c r="A1430" s="272"/>
      <c r="B1430" s="272"/>
      <c r="C1430" s="272"/>
    </row>
    <row r="1431" spans="1:3">
      <c r="A1431" s="272"/>
      <c r="B1431" s="272"/>
      <c r="C1431" s="272"/>
    </row>
    <row r="1432" spans="1:3">
      <c r="A1432" s="272"/>
      <c r="B1432" s="272"/>
      <c r="C1432" s="272"/>
    </row>
    <row r="1433" spans="1:3">
      <c r="A1433" s="272"/>
      <c r="B1433" s="272"/>
      <c r="C1433" s="272"/>
    </row>
    <row r="1434" spans="1:3">
      <c r="A1434" s="272"/>
      <c r="B1434" s="272"/>
      <c r="C1434" s="272"/>
    </row>
    <row r="1435" spans="1:3">
      <c r="A1435" s="272"/>
      <c r="B1435" s="272"/>
      <c r="C1435" s="272"/>
    </row>
    <row r="1436" spans="1:3">
      <c r="A1436" s="272"/>
      <c r="B1436" s="272"/>
      <c r="C1436" s="272"/>
    </row>
    <row r="1437" spans="1:3">
      <c r="A1437" s="272"/>
      <c r="B1437" s="272"/>
      <c r="C1437" s="272"/>
    </row>
    <row r="1438" spans="1:3">
      <c r="A1438" s="272"/>
      <c r="B1438" s="272"/>
      <c r="C1438" s="272"/>
    </row>
    <row r="1439" spans="1:3">
      <c r="A1439" s="272"/>
      <c r="B1439" s="272"/>
      <c r="C1439" s="272"/>
    </row>
    <row r="1440" spans="1:3">
      <c r="A1440" s="272"/>
      <c r="B1440" s="272"/>
      <c r="C1440" s="272"/>
    </row>
    <row r="1441" spans="1:3">
      <c r="A1441" s="272"/>
      <c r="B1441" s="272"/>
      <c r="C1441" s="272"/>
    </row>
    <row r="1442" spans="1:3">
      <c r="A1442" s="272"/>
      <c r="B1442" s="272"/>
      <c r="C1442" s="272"/>
    </row>
    <row r="1443" spans="1:3">
      <c r="A1443" s="272"/>
      <c r="B1443" s="272"/>
      <c r="C1443" s="272"/>
    </row>
    <row r="1444" spans="1:3">
      <c r="A1444" s="272"/>
      <c r="B1444" s="272"/>
      <c r="C1444" s="272"/>
    </row>
    <row r="1445" spans="1:3">
      <c r="A1445" s="272"/>
      <c r="B1445" s="272"/>
      <c r="C1445" s="272"/>
    </row>
    <row r="1446" spans="1:3">
      <c r="A1446" s="272"/>
      <c r="B1446" s="272"/>
      <c r="C1446" s="272"/>
    </row>
    <row r="1447" spans="1:3">
      <c r="A1447" s="272"/>
      <c r="B1447" s="272"/>
      <c r="C1447" s="272"/>
    </row>
    <row r="1448" spans="1:3">
      <c r="A1448" s="272"/>
      <c r="B1448" s="272"/>
      <c r="C1448" s="272"/>
    </row>
    <row r="1449" spans="1:3">
      <c r="A1449" s="272"/>
      <c r="B1449" s="272"/>
      <c r="C1449" s="272"/>
    </row>
    <row r="1450" spans="1:3">
      <c r="A1450" s="272"/>
      <c r="B1450" s="272"/>
      <c r="C1450" s="272"/>
    </row>
    <row r="1451" spans="1:3">
      <c r="A1451" s="272"/>
      <c r="B1451" s="272"/>
      <c r="C1451" s="272"/>
    </row>
    <row r="1452" spans="1:3">
      <c r="A1452" s="272"/>
      <c r="B1452" s="272"/>
      <c r="C1452" s="272"/>
    </row>
    <row r="1453" spans="1:3">
      <c r="A1453" s="272"/>
      <c r="B1453" s="272"/>
      <c r="C1453" s="272"/>
    </row>
    <row r="1454" spans="1:3">
      <c r="A1454" s="272"/>
      <c r="B1454" s="272"/>
      <c r="C1454" s="272"/>
    </row>
    <row r="1455" spans="1:3">
      <c r="A1455" s="272"/>
      <c r="B1455" s="272"/>
      <c r="C1455" s="272"/>
    </row>
    <row r="1456" spans="1:3">
      <c r="A1456" s="272"/>
      <c r="B1456" s="272"/>
      <c r="C1456" s="272"/>
    </row>
    <row r="1457" spans="1:3">
      <c r="A1457" s="272"/>
      <c r="B1457" s="272"/>
      <c r="C1457" s="272"/>
    </row>
    <row r="1458" spans="1:3">
      <c r="A1458" s="272"/>
      <c r="B1458" s="272"/>
      <c r="C1458" s="272"/>
    </row>
    <row r="1459" spans="1:3">
      <c r="A1459" s="272"/>
      <c r="B1459" s="272"/>
      <c r="C1459" s="272"/>
    </row>
    <row r="1460" spans="1:3">
      <c r="A1460" s="272"/>
      <c r="B1460" s="272"/>
      <c r="C1460" s="272"/>
    </row>
    <row r="1461" spans="1:3">
      <c r="A1461" s="272"/>
      <c r="B1461" s="272"/>
      <c r="C1461" s="272"/>
    </row>
    <row r="1462" spans="1:3">
      <c r="A1462" s="272"/>
      <c r="B1462" s="272"/>
      <c r="C1462" s="272"/>
    </row>
    <row r="1463" spans="1:3">
      <c r="A1463" s="272"/>
      <c r="B1463" s="272"/>
      <c r="C1463" s="272"/>
    </row>
    <row r="1464" spans="1:3">
      <c r="A1464" s="272"/>
      <c r="B1464" s="272"/>
      <c r="C1464" s="272"/>
    </row>
    <row r="1465" spans="1:3">
      <c r="A1465" s="272"/>
      <c r="B1465" s="272"/>
      <c r="C1465" s="272"/>
    </row>
    <row r="1466" spans="1:3">
      <c r="A1466" s="272"/>
      <c r="B1466" s="272"/>
      <c r="C1466" s="272"/>
    </row>
    <row r="1467" spans="1:3">
      <c r="A1467" s="272"/>
      <c r="B1467" s="272"/>
      <c r="C1467" s="272"/>
    </row>
    <row r="1468" spans="1:3">
      <c r="A1468" s="272"/>
      <c r="B1468" s="272"/>
      <c r="C1468" s="272"/>
    </row>
    <row r="1469" spans="1:3">
      <c r="A1469" s="272"/>
      <c r="B1469" s="272"/>
      <c r="C1469" s="272"/>
    </row>
    <row r="1470" spans="1:3">
      <c r="A1470" s="272"/>
      <c r="B1470" s="272"/>
      <c r="C1470" s="272"/>
    </row>
    <row r="1471" spans="1:3">
      <c r="A1471" s="272"/>
      <c r="B1471" s="272"/>
      <c r="C1471" s="272"/>
    </row>
    <row r="1472" spans="1:3">
      <c r="A1472" s="272"/>
      <c r="B1472" s="272"/>
      <c r="C1472" s="272"/>
    </row>
    <row r="1473" spans="1:3">
      <c r="A1473" s="272"/>
      <c r="B1473" s="272"/>
      <c r="C1473" s="272"/>
    </row>
    <row r="1474" spans="1:3">
      <c r="A1474" s="272"/>
      <c r="B1474" s="272"/>
      <c r="C1474" s="272"/>
    </row>
    <row r="1475" spans="1:3">
      <c r="A1475" s="272"/>
      <c r="B1475" s="272"/>
      <c r="C1475" s="272"/>
    </row>
    <row r="1476" spans="1:3">
      <c r="A1476" s="272"/>
      <c r="B1476" s="272"/>
      <c r="C1476" s="272"/>
    </row>
    <row r="1477" spans="1:3">
      <c r="A1477" s="272"/>
      <c r="B1477" s="272"/>
      <c r="C1477" s="272"/>
    </row>
    <row r="1478" spans="1:3">
      <c r="A1478" s="272"/>
      <c r="B1478" s="272"/>
      <c r="C1478" s="272"/>
    </row>
    <row r="1479" spans="1:3">
      <c r="A1479" s="272"/>
      <c r="B1479" s="272"/>
      <c r="C1479" s="272"/>
    </row>
    <row r="1480" spans="1:3">
      <c r="A1480" s="272"/>
      <c r="B1480" s="272"/>
      <c r="C1480" s="272"/>
    </row>
    <row r="1481" spans="1:3">
      <c r="A1481" s="272"/>
      <c r="B1481" s="272"/>
      <c r="C1481" s="272"/>
    </row>
    <row r="1482" spans="1:3">
      <c r="A1482" s="272"/>
      <c r="B1482" s="272"/>
      <c r="C1482" s="272"/>
    </row>
    <row r="1483" spans="1:3">
      <c r="A1483" s="272"/>
      <c r="B1483" s="272"/>
      <c r="C1483" s="272"/>
    </row>
    <row r="1484" spans="1:3">
      <c r="A1484" s="272"/>
      <c r="B1484" s="272"/>
      <c r="C1484" s="272"/>
    </row>
    <row r="1485" spans="1:3">
      <c r="A1485" s="272"/>
      <c r="B1485" s="272"/>
      <c r="C1485" s="272"/>
    </row>
    <row r="1486" spans="1:3">
      <c r="A1486" s="272"/>
      <c r="B1486" s="272"/>
      <c r="C1486" s="272"/>
    </row>
    <row r="1487" spans="1:3">
      <c r="A1487" s="272"/>
      <c r="B1487" s="272"/>
      <c r="C1487" s="272"/>
    </row>
    <row r="1488" spans="1:3">
      <c r="A1488" s="272"/>
      <c r="B1488" s="272"/>
      <c r="C1488" s="272"/>
    </row>
    <row r="1489" spans="1:3">
      <c r="A1489" s="272"/>
      <c r="B1489" s="272"/>
      <c r="C1489" s="272"/>
    </row>
    <row r="1490" spans="1:3">
      <c r="A1490" s="272"/>
      <c r="B1490" s="272"/>
      <c r="C1490" s="272"/>
    </row>
    <row r="1491" spans="1:3">
      <c r="A1491" s="272"/>
      <c r="B1491" s="272"/>
      <c r="C1491" s="272"/>
    </row>
    <row r="1492" spans="1:3">
      <c r="A1492" s="272"/>
      <c r="B1492" s="272"/>
      <c r="C1492" s="272"/>
    </row>
    <row r="1493" spans="1:3">
      <c r="A1493" s="272"/>
      <c r="B1493" s="272"/>
      <c r="C1493" s="272"/>
    </row>
    <row r="1494" spans="1:3">
      <c r="A1494" s="272"/>
      <c r="B1494" s="272"/>
      <c r="C1494" s="272"/>
    </row>
    <row r="1495" spans="1:3">
      <c r="A1495" s="272"/>
      <c r="B1495" s="272"/>
      <c r="C1495" s="272"/>
    </row>
    <row r="1496" spans="1:3">
      <c r="A1496" s="272"/>
      <c r="B1496" s="272"/>
      <c r="C1496" s="272"/>
    </row>
    <row r="1497" spans="1:3">
      <c r="A1497" s="272"/>
      <c r="B1497" s="272"/>
      <c r="C1497" s="272"/>
    </row>
    <row r="1498" spans="1:3">
      <c r="A1498" s="272"/>
      <c r="B1498" s="272"/>
      <c r="C1498" s="272"/>
    </row>
    <row r="1499" spans="1:3">
      <c r="A1499" s="272"/>
      <c r="B1499" s="272"/>
      <c r="C1499" s="272"/>
    </row>
    <row r="1500" spans="1:3">
      <c r="A1500" s="272"/>
      <c r="B1500" s="272"/>
      <c r="C1500" s="272"/>
    </row>
    <row r="1501" spans="1:3">
      <c r="A1501" s="272"/>
      <c r="B1501" s="272"/>
      <c r="C1501" s="272"/>
    </row>
    <row r="1502" spans="1:3">
      <c r="A1502" s="272"/>
      <c r="B1502" s="272"/>
      <c r="C1502" s="272"/>
    </row>
    <row r="1503" spans="1:3">
      <c r="A1503" s="272"/>
      <c r="B1503" s="272"/>
      <c r="C1503" s="272"/>
    </row>
    <row r="1504" spans="1:3">
      <c r="A1504" s="272"/>
      <c r="B1504" s="272"/>
      <c r="C1504" s="272"/>
    </row>
    <row r="1505" spans="1:3">
      <c r="A1505" s="272"/>
      <c r="B1505" s="272"/>
      <c r="C1505" s="272"/>
    </row>
    <row r="1506" spans="1:3">
      <c r="A1506" s="272"/>
      <c r="B1506" s="272"/>
      <c r="C1506" s="272"/>
    </row>
    <row r="1507" spans="1:3">
      <c r="A1507" s="272"/>
      <c r="B1507" s="272"/>
      <c r="C1507" s="272"/>
    </row>
    <row r="1508" spans="1:3">
      <c r="A1508" s="272"/>
      <c r="B1508" s="272"/>
      <c r="C1508" s="272"/>
    </row>
    <row r="1509" spans="1:3">
      <c r="A1509" s="272"/>
      <c r="B1509" s="272"/>
      <c r="C1509" s="272"/>
    </row>
    <row r="1510" spans="1:3">
      <c r="A1510" s="272"/>
      <c r="B1510" s="272"/>
      <c r="C1510" s="272"/>
    </row>
    <row r="1511" spans="1:3">
      <c r="A1511" s="272"/>
      <c r="B1511" s="272"/>
      <c r="C1511" s="272"/>
    </row>
    <row r="1512" spans="1:3">
      <c r="A1512" s="272"/>
      <c r="B1512" s="272"/>
      <c r="C1512" s="272"/>
    </row>
    <row r="1513" spans="1:3">
      <c r="A1513" s="272"/>
      <c r="B1513" s="272"/>
      <c r="C1513" s="272"/>
    </row>
    <row r="1514" spans="1:3">
      <c r="A1514" s="272"/>
      <c r="B1514" s="272"/>
      <c r="C1514" s="272"/>
    </row>
    <row r="1515" spans="1:3">
      <c r="A1515" s="272"/>
      <c r="B1515" s="272"/>
      <c r="C1515" s="272"/>
    </row>
    <row r="1516" spans="1:3">
      <c r="A1516" s="272"/>
      <c r="B1516" s="272"/>
      <c r="C1516" s="272"/>
    </row>
    <row r="1517" spans="1:3">
      <c r="A1517" s="272"/>
      <c r="B1517" s="272"/>
      <c r="C1517" s="272"/>
    </row>
    <row r="1518" spans="1:3">
      <c r="A1518" s="272"/>
      <c r="B1518" s="272"/>
      <c r="C1518" s="272"/>
    </row>
    <row r="1519" spans="1:3">
      <c r="A1519" s="272"/>
      <c r="B1519" s="272"/>
      <c r="C1519" s="272"/>
    </row>
    <row r="1520" spans="1:3">
      <c r="A1520" s="272"/>
      <c r="B1520" s="272"/>
      <c r="C1520" s="272"/>
    </row>
    <row r="1521" spans="1:3">
      <c r="A1521" s="272"/>
      <c r="B1521" s="272"/>
      <c r="C1521" s="272"/>
    </row>
    <row r="1522" spans="1:3">
      <c r="A1522" s="272"/>
      <c r="B1522" s="272"/>
      <c r="C1522" s="272"/>
    </row>
    <row r="1523" spans="1:3">
      <c r="A1523" s="272"/>
      <c r="B1523" s="272"/>
      <c r="C1523" s="272"/>
    </row>
    <row r="1524" spans="1:3">
      <c r="A1524" s="272"/>
      <c r="B1524" s="272"/>
      <c r="C1524" s="272"/>
    </row>
    <row r="1525" spans="1:3">
      <c r="A1525" s="272"/>
      <c r="B1525" s="272"/>
      <c r="C1525" s="272"/>
    </row>
    <row r="1526" spans="1:3">
      <c r="A1526" s="272"/>
      <c r="B1526" s="272"/>
      <c r="C1526" s="272"/>
    </row>
    <row r="1527" spans="1:3">
      <c r="A1527" s="272"/>
      <c r="B1527" s="272"/>
      <c r="C1527" s="272"/>
    </row>
    <row r="1528" spans="1:3">
      <c r="A1528" s="272"/>
      <c r="B1528" s="272"/>
      <c r="C1528" s="272"/>
    </row>
    <row r="1529" spans="1:3">
      <c r="A1529" s="272"/>
      <c r="B1529" s="272"/>
      <c r="C1529" s="272"/>
    </row>
    <row r="1530" spans="1:3">
      <c r="A1530" s="272"/>
      <c r="B1530" s="272"/>
      <c r="C1530" s="272"/>
    </row>
    <row r="1531" spans="1:3">
      <c r="A1531" s="272"/>
      <c r="B1531" s="272"/>
      <c r="C1531" s="272"/>
    </row>
    <row r="1532" spans="1:3">
      <c r="A1532" s="272"/>
      <c r="B1532" s="272"/>
      <c r="C1532" s="272"/>
    </row>
    <row r="1533" spans="1:3">
      <c r="A1533" s="272"/>
      <c r="B1533" s="272"/>
      <c r="C1533" s="272"/>
    </row>
    <row r="1534" spans="1:3">
      <c r="A1534" s="272"/>
      <c r="B1534" s="272"/>
      <c r="C1534" s="272"/>
    </row>
    <row r="1535" spans="1:3">
      <c r="A1535" s="272"/>
      <c r="B1535" s="272"/>
      <c r="C1535" s="272"/>
    </row>
    <row r="1536" spans="1:3">
      <c r="A1536" s="272"/>
      <c r="B1536" s="272"/>
      <c r="C1536" s="272"/>
    </row>
    <row r="1537" spans="1:9">
      <c r="A1537" s="272"/>
      <c r="B1537" s="272"/>
      <c r="C1537" s="272"/>
    </row>
    <row r="1538" spans="1:9"/>
    <row r="1539" spans="1:9"/>
    <row r="1540" spans="1:9"/>
    <row r="1541" spans="1:9">
      <c r="G1541" s="1255"/>
      <c r="H1541" s="1255"/>
      <c r="I1541" s="1255"/>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06" workbookViewId="0">
      <selection activeCell="C629" sqref="C629:L629"/>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33203125" hidden="1" customWidth="1"/>
    <col min="53" max="53" width="7.33203125" hidden="1" customWidth="1"/>
    <col min="54" max="55" width="3.6640625" hidden="1" customWidth="1"/>
    <col min="56" max="58" width="8.33203125" hidden="1" customWidth="1"/>
    <col min="59" max="59" width="11.33203125" hidden="1" customWidth="1"/>
    <col min="60" max="60" width="3.6640625" hidden="1" customWidth="1"/>
    <col min="61" max="61" width="8.33203125" hidden="1" customWidth="1"/>
    <col min="62" max="16384" width="3.6640625" hidden="1"/>
  </cols>
  <sheetData>
    <row r="1" spans="1:58" ht="13.2" customHeight="1">
      <c r="J1" s="59"/>
      <c r="AS1" s="818">
        <v>4</v>
      </c>
      <c r="BD1" s="2" t="s">
        <v>642</v>
      </c>
      <c r="BE1" s="2"/>
      <c r="BF1" s="2"/>
    </row>
    <row r="2" spans="1:58" ht="13.2" customHeight="1">
      <c r="BD2" s="2" t="s">
        <v>643</v>
      </c>
      <c r="BE2" s="2" t="s">
        <v>644</v>
      </c>
      <c r="BF2" s="2" t="s">
        <v>645</v>
      </c>
    </row>
    <row r="3" spans="1:58" ht="13.2" customHeight="1">
      <c r="BD3" s="2" t="s">
        <v>646</v>
      </c>
      <c r="BE3" t="str">
        <f>AC220</f>
        <v>Bay Area ((Alameda, Contra Costa, Marin, San Francisco, San Mateo, Santa Clara, and Santa Cruz Counties)</v>
      </c>
    </row>
    <row r="4" spans="1:58" ht="13.2" customHeight="1">
      <c r="BD4" s="2" t="s">
        <v>647</v>
      </c>
      <c r="BE4" s="1023"/>
    </row>
    <row r="5" spans="1:58" ht="13.2" customHeight="1">
      <c r="BD5" s="2" t="s">
        <v>648</v>
      </c>
      <c r="BE5">
        <f>SUMIF($AC$718:$AC$752,"&lt;=20%",$G$718:G$752)</f>
        <v>0</v>
      </c>
      <c r="BF5" s="2" t="s">
        <v>649</v>
      </c>
    </row>
    <row r="6" spans="1:58" ht="13.2" customHeight="1">
      <c r="BD6" s="2" t="s">
        <v>650</v>
      </c>
      <c r="BE6" s="1026">
        <f>SUMIF($AC$718:$AC$752,"&lt;=25%",$G$718:G$752)-SUM($BE$5:BE5)</f>
        <v>0</v>
      </c>
    </row>
    <row r="7" spans="1:58" ht="13.2" customHeight="1">
      <c r="BD7" s="1024" t="s">
        <v>651</v>
      </c>
      <c r="BE7" s="1026">
        <f>SUMIF($AC$718:$AC$752,"&lt;=30%",$G$718:G$752)-SUM($BE$5:BE6)</f>
        <v>11</v>
      </c>
    </row>
    <row r="8" spans="1:58" ht="26.25" customHeight="1">
      <c r="A8" s="1770" t="s">
        <v>652</v>
      </c>
      <c r="B8" s="1770"/>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1177"/>
      <c r="AV8" s="1177"/>
      <c r="AW8" s="1177"/>
      <c r="AX8" s="1177"/>
      <c r="AY8" s="1177"/>
      <c r="BD8" s="2" t="s">
        <v>653</v>
      </c>
      <c r="BE8" s="1026">
        <f>SUMIF($AC$718:$AC$752,"&lt;=35%",$G$718:G$752)-SUM($BE$5:BE7)</f>
        <v>0</v>
      </c>
    </row>
    <row r="9" spans="1:58" ht="13.2" customHeight="1">
      <c r="A9" s="1771" t="s">
        <v>654</v>
      </c>
      <c r="B9" s="1771"/>
      <c r="C9" s="1771"/>
      <c r="D9" s="1771"/>
      <c r="E9" s="1771"/>
      <c r="F9" s="1771"/>
      <c r="G9" s="1771"/>
      <c r="H9" s="1771"/>
      <c r="I9" s="1771"/>
      <c r="J9" s="1771"/>
      <c r="K9" s="1771"/>
      <c r="L9" s="1771"/>
      <c r="M9" s="1771"/>
      <c r="N9" s="1771"/>
      <c r="O9" s="1771"/>
      <c r="P9" s="1771"/>
      <c r="Q9" s="1771"/>
      <c r="R9" s="1771"/>
      <c r="S9" s="1771"/>
      <c r="T9" s="1771"/>
      <c r="U9" s="1771"/>
      <c r="V9" s="1771"/>
      <c r="W9" s="1771"/>
      <c r="X9" s="1771"/>
      <c r="Y9" s="1771"/>
      <c r="Z9" s="1771"/>
      <c r="AA9" s="1771"/>
      <c r="AB9" s="1771"/>
      <c r="AC9" s="1771"/>
      <c r="AD9" s="1771"/>
      <c r="AE9" s="1771"/>
      <c r="AF9" s="1771"/>
      <c r="AG9" s="1771"/>
      <c r="AH9" s="1771"/>
      <c r="AI9" s="1771"/>
      <c r="AJ9" s="1771"/>
      <c r="AK9" s="1771"/>
      <c r="AL9" s="1771"/>
      <c r="AM9" s="1771"/>
      <c r="AN9" s="1771"/>
      <c r="AO9" s="1771"/>
      <c r="AP9" s="1771"/>
      <c r="AQ9" s="1771"/>
      <c r="AR9" s="1771"/>
      <c r="AS9" s="1771"/>
      <c r="AT9" s="1771"/>
      <c r="AU9" s="1178"/>
      <c r="AV9" s="1178"/>
      <c r="AW9" s="1178"/>
      <c r="AX9" s="1178"/>
      <c r="AY9" s="1178"/>
      <c r="BD9" s="1025" t="s">
        <v>655</v>
      </c>
      <c r="BE9" s="1026">
        <f>SUMIF($AC$718:$AC$752,"&lt;=40%",$G$718:G$752)-SUM($BE$5:BE8)</f>
        <v>0</v>
      </c>
    </row>
    <row r="10" spans="1:58" ht="13.2" customHeight="1">
      <c r="A10" s="1771" t="s">
        <v>656</v>
      </c>
      <c r="B10" s="1771"/>
      <c r="C10" s="1771"/>
      <c r="D10" s="1771"/>
      <c r="E10" s="1771"/>
      <c r="F10" s="1771"/>
      <c r="G10" s="1771"/>
      <c r="H10" s="1771"/>
      <c r="I10" s="1771"/>
      <c r="J10" s="1771"/>
      <c r="K10" s="1771"/>
      <c r="L10" s="1771"/>
      <c r="M10" s="1771"/>
      <c r="N10" s="1771"/>
      <c r="O10" s="1771"/>
      <c r="P10" s="1771"/>
      <c r="Q10" s="1771"/>
      <c r="R10" s="1771"/>
      <c r="S10" s="1771"/>
      <c r="T10" s="1771"/>
      <c r="U10" s="1771"/>
      <c r="V10" s="1771"/>
      <c r="W10" s="1771"/>
      <c r="X10" s="1771"/>
      <c r="Y10" s="1771"/>
      <c r="Z10" s="1771"/>
      <c r="AA10" s="1771"/>
      <c r="AB10" s="1771"/>
      <c r="AC10" s="1771"/>
      <c r="AD10" s="1771"/>
      <c r="AE10" s="1771"/>
      <c r="AF10" s="1771"/>
      <c r="AG10" s="1771"/>
      <c r="AH10" s="1771"/>
      <c r="AI10" s="1771"/>
      <c r="AJ10" s="1771"/>
      <c r="AK10" s="1771"/>
      <c r="AL10" s="1771"/>
      <c r="AM10" s="1771"/>
      <c r="AN10" s="1771"/>
      <c r="AO10" s="1771"/>
      <c r="AP10" s="1771"/>
      <c r="AQ10" s="1771"/>
      <c r="AR10" s="1771"/>
      <c r="AS10" s="1771"/>
      <c r="AT10" s="1771"/>
      <c r="AU10" s="1178"/>
      <c r="AV10" s="1178"/>
      <c r="AW10" s="1178"/>
      <c r="AX10" s="1178"/>
      <c r="AY10" s="1178"/>
      <c r="BD10" s="2" t="s">
        <v>657</v>
      </c>
      <c r="BE10" s="1026">
        <f>SUMIF($AC$718:$AC$752,"&lt;=45%",$G$718:G$752)-SUM($BE$5:BE9)</f>
        <v>0</v>
      </c>
    </row>
    <row r="11" spans="1:58" ht="13.2" customHeight="1">
      <c r="A11" s="1771" t="s">
        <v>658</v>
      </c>
      <c r="B11" s="1771"/>
      <c r="C11" s="1771"/>
      <c r="D11" s="1771"/>
      <c r="E11" s="1771"/>
      <c r="F11" s="1771"/>
      <c r="G11" s="1771"/>
      <c r="H11" s="1771"/>
      <c r="I11" s="1771"/>
      <c r="J11" s="1771"/>
      <c r="K11" s="1771"/>
      <c r="L11" s="1771"/>
      <c r="M11" s="1771"/>
      <c r="N11" s="1771"/>
      <c r="O11" s="1771"/>
      <c r="P11" s="1771"/>
      <c r="Q11" s="1771"/>
      <c r="R11" s="1771"/>
      <c r="S11" s="1771"/>
      <c r="T11" s="1771"/>
      <c r="U11" s="1771"/>
      <c r="V11" s="1771"/>
      <c r="W11" s="1771"/>
      <c r="X11" s="1771"/>
      <c r="Y11" s="1771"/>
      <c r="Z11" s="1771"/>
      <c r="AA11" s="1771"/>
      <c r="AB11" s="1771"/>
      <c r="AC11" s="1771"/>
      <c r="AD11" s="1771"/>
      <c r="AE11" s="1771"/>
      <c r="AF11" s="1771"/>
      <c r="AG11" s="1771"/>
      <c r="AH11" s="1771"/>
      <c r="AI11" s="1771"/>
      <c r="AJ11" s="1771"/>
      <c r="AK11" s="1771"/>
      <c r="AL11" s="1771"/>
      <c r="AM11" s="1771"/>
      <c r="AN11" s="1771"/>
      <c r="AO11" s="1771"/>
      <c r="AP11" s="1771"/>
      <c r="AQ11" s="1771"/>
      <c r="AR11" s="1771"/>
      <c r="AS11" s="1771"/>
      <c r="AT11" s="1771"/>
      <c r="AU11" s="1178"/>
      <c r="AV11" s="1178"/>
      <c r="AW11" s="1178"/>
      <c r="AX11" s="1178"/>
      <c r="AY11" s="1178"/>
      <c r="BD11" s="1024" t="s">
        <v>659</v>
      </c>
      <c r="BE11" s="1026">
        <f>SUMIF($AC$718:$AC$752,"&lt;=50%",$G$718:G$752)-SUM($BE$5:BE10)</f>
        <v>11</v>
      </c>
    </row>
    <row r="12" spans="1:58" ht="13.2" customHeight="1">
      <c r="A12" s="1772" t="s">
        <v>660</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1179"/>
      <c r="AV12" s="1179"/>
      <c r="AW12" s="1179"/>
      <c r="AX12" s="1179"/>
      <c r="AY12" s="1179"/>
      <c r="BD12" s="2" t="s">
        <v>661</v>
      </c>
      <c r="BE12" s="1026">
        <f>SUMIF($AC$718:$AC$752,"&lt;=55%",$G$718:G$752)-SUM($BE$5:BE11)</f>
        <v>0</v>
      </c>
    </row>
    <row r="13" spans="1:58" ht="13.2" customHeight="1">
      <c r="A13" s="1234" t="s">
        <v>662</v>
      </c>
      <c r="B13" s="1234"/>
      <c r="C13" s="1234"/>
      <c r="D13" s="1234"/>
      <c r="E13" s="1234"/>
      <c r="F13" s="1234"/>
      <c r="G13" s="1234"/>
      <c r="H13" s="1234"/>
      <c r="I13" s="1234"/>
      <c r="J13" s="1234"/>
      <c r="K13" s="1234"/>
      <c r="L13" s="1234"/>
      <c r="M13" s="1234"/>
      <c r="N13" s="1234"/>
      <c r="O13" s="1234"/>
      <c r="P13" s="1234"/>
      <c r="Q13" s="1234"/>
      <c r="R13" s="1234"/>
      <c r="S13" s="1234"/>
      <c r="T13" s="1234"/>
      <c r="U13" s="1234"/>
      <c r="V13" s="1234"/>
      <c r="W13" s="1234"/>
      <c r="X13" s="1234"/>
      <c r="Y13" s="1234"/>
      <c r="Z13" s="1234"/>
      <c r="AA13" s="1234"/>
      <c r="AB13" s="1234"/>
      <c r="AC13" s="1234"/>
      <c r="AD13" s="1234"/>
      <c r="AE13" s="1234"/>
      <c r="AF13" s="1234"/>
      <c r="AG13" s="1234"/>
      <c r="AH13" s="1234"/>
      <c r="AI13" s="1234"/>
      <c r="AJ13" s="1234"/>
      <c r="AK13" s="1234"/>
      <c r="AL13" s="1234"/>
      <c r="AM13" s="1234"/>
      <c r="AN13" s="1234"/>
      <c r="AO13" s="1234"/>
      <c r="AP13" s="1234"/>
      <c r="AQ13" s="1234"/>
      <c r="AR13" s="1234"/>
      <c r="AS13" s="1234"/>
      <c r="AT13" s="1234"/>
      <c r="AU13" s="710"/>
      <c r="AV13" s="710"/>
      <c r="AW13" s="710"/>
      <c r="AX13" s="710"/>
      <c r="AY13" s="710"/>
      <c r="BD13" s="1025" t="s">
        <v>663</v>
      </c>
      <c r="BE13" s="1026">
        <f>SUMIF($AC$718:$AC$752,"&lt;=60%",$G$718:G$752)-SUM($BE$5:BE12)</f>
        <v>33</v>
      </c>
    </row>
    <row r="14" spans="1:58" ht="13.2" customHeight="1">
      <c r="A14" s="1234"/>
      <c r="B14" s="1234"/>
      <c r="C14" s="1234"/>
      <c r="D14" s="1234"/>
      <c r="E14" s="1234"/>
      <c r="F14" s="1234"/>
      <c r="G14" s="1234"/>
      <c r="H14" s="1234"/>
      <c r="I14" s="1234"/>
      <c r="J14" s="1234"/>
      <c r="K14" s="1234"/>
      <c r="L14" s="1234"/>
      <c r="M14" s="1234"/>
      <c r="N14" s="1234"/>
      <c r="O14" s="1234"/>
      <c r="P14" s="1234"/>
      <c r="Q14" s="1234"/>
      <c r="R14" s="1234"/>
      <c r="S14" s="1234"/>
      <c r="T14" s="1234"/>
      <c r="U14" s="1234"/>
      <c r="V14" s="1234"/>
      <c r="W14" s="1234"/>
      <c r="X14" s="1234"/>
      <c r="Y14" s="1234"/>
      <c r="Z14" s="1234"/>
      <c r="AA14" s="1234"/>
      <c r="AB14" s="1234"/>
      <c r="AC14" s="1234"/>
      <c r="AD14" s="1234"/>
      <c r="AE14" s="1234"/>
      <c r="AF14" s="1234"/>
      <c r="AG14" s="1234"/>
      <c r="AH14" s="1234"/>
      <c r="AI14" s="1234"/>
      <c r="AJ14" s="1234"/>
      <c r="AK14" s="1234"/>
      <c r="AL14" s="1234"/>
      <c r="AM14" s="1234"/>
      <c r="AN14" s="1234"/>
      <c r="AO14" s="1234"/>
      <c r="AP14" s="1234"/>
      <c r="AQ14" s="1234"/>
      <c r="AR14" s="1234"/>
      <c r="AS14" s="1234"/>
      <c r="AT14" s="1234"/>
      <c r="AU14" s="710"/>
      <c r="AV14" s="710"/>
      <c r="AW14" s="710"/>
      <c r="AX14" s="710"/>
      <c r="AY14" s="710"/>
      <c r="BD14" s="1024" t="s">
        <v>664</v>
      </c>
      <c r="BE14" s="1026">
        <f>SUMIF($AC$718:$AC$752,"&lt;=70%",$G$718:G$752)-SUM($BE$5:BE13)</f>
        <v>44</v>
      </c>
    </row>
    <row r="15" spans="1:58" ht="13.2"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25" t="s">
        <v>665</v>
      </c>
      <c r="BE15" s="1026">
        <f>SUMIF($AC$718:$AC$752,"&lt;=80%",$G$718:G$752)-SUM($BE$5:BE14)</f>
        <v>0</v>
      </c>
    </row>
    <row r="16" spans="1:58" ht="13.2" customHeight="1">
      <c r="A16" s="38" t="s">
        <v>666</v>
      </c>
      <c r="C16" s="2"/>
      <c r="D16" s="2"/>
      <c r="E16" s="2"/>
      <c r="F16" s="2"/>
      <c r="G16" s="2"/>
      <c r="H16" s="1492" t="s">
        <v>667</v>
      </c>
      <c r="I16" s="1492"/>
      <c r="J16" s="1492"/>
      <c r="K16" s="1492"/>
      <c r="L16" s="1492"/>
      <c r="M16" s="1492"/>
      <c r="N16" s="1492"/>
      <c r="O16" s="1492"/>
      <c r="P16" s="1492"/>
      <c r="Q16" s="1492"/>
      <c r="R16" s="1492"/>
      <c r="S16" s="1492"/>
      <c r="T16" s="1492"/>
      <c r="U16" s="1492"/>
      <c r="V16" s="1492"/>
      <c r="W16" s="1492"/>
      <c r="X16" s="1492"/>
      <c r="Y16" s="1492"/>
      <c r="Z16" s="1492"/>
      <c r="AA16" s="1492"/>
      <c r="AB16" s="1492"/>
      <c r="AC16" s="1492"/>
      <c r="AD16" s="1492"/>
      <c r="AE16" s="1492"/>
      <c r="AF16" s="1492"/>
      <c r="AG16" s="1492"/>
      <c r="AH16" s="1492"/>
      <c r="AI16" s="1492"/>
      <c r="AJ16" s="1492"/>
      <c r="BD16" s="1025" t="s">
        <v>77</v>
      </c>
      <c r="BE16" s="1026" t="str">
        <f>Application!H18</f>
        <v xml:space="preserve">334 San Antonio Apartments </v>
      </c>
    </row>
    <row r="17" spans="1:58" ht="13.2" customHeight="1">
      <c r="BD17" s="1024" t="s">
        <v>668</v>
      </c>
      <c r="BE17" s="1026">
        <f>Application!AA934</f>
        <v>0</v>
      </c>
    </row>
    <row r="18" spans="1:58" ht="13.2" customHeight="1">
      <c r="A18" s="38" t="s">
        <v>669</v>
      </c>
      <c r="C18" s="2"/>
      <c r="D18" s="2"/>
      <c r="E18" s="2"/>
      <c r="F18" s="2"/>
      <c r="G18" s="2"/>
      <c r="H18" s="1472" t="s">
        <v>670</v>
      </c>
      <c r="I18" s="1472"/>
      <c r="J18" s="1472"/>
      <c r="K18" s="1472"/>
      <c r="L18" s="1472"/>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c r="BD18" s="1025" t="s">
        <v>671</v>
      </c>
      <c r="BE18" s="1026">
        <f>'CalHFA Addendum'!N11</f>
        <v>0</v>
      </c>
    </row>
    <row r="19" spans="1:58" ht="13.2" customHeight="1">
      <c r="BD19" s="1024" t="s">
        <v>672</v>
      </c>
      <c r="BE19" s="1026">
        <f>Application!M26</f>
        <v>3847496</v>
      </c>
    </row>
    <row r="20" spans="1:58" ht="13.2" customHeight="1">
      <c r="A20" s="1773" t="s">
        <v>673</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1180"/>
      <c r="AV20" s="1180"/>
      <c r="AW20" s="1180"/>
      <c r="AX20" s="1180"/>
      <c r="AY20" s="1180"/>
      <c r="BD20" s="1025" t="s">
        <v>674</v>
      </c>
      <c r="BE20" s="1026">
        <f>Application!M27</f>
        <v>18494735</v>
      </c>
    </row>
    <row r="21" spans="1:58" ht="13.2" customHeight="1">
      <c r="A21" s="1775" t="s">
        <v>675</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1181"/>
      <c r="AN21" s="1181"/>
      <c r="AO21" s="1181"/>
      <c r="AP21" s="1181"/>
      <c r="AQ21" s="1181"/>
      <c r="AR21" s="1181"/>
      <c r="AS21" s="1181"/>
      <c r="AT21" s="1181"/>
      <c r="AU21" s="1181"/>
      <c r="AV21" s="1181"/>
      <c r="AW21" s="1181"/>
      <c r="AX21" s="1181"/>
      <c r="AY21" s="1181"/>
      <c r="BD21" s="1024" t="s">
        <v>676</v>
      </c>
      <c r="BE21" s="1026">
        <f>Application!AM554</f>
        <v>37786055</v>
      </c>
    </row>
    <row r="22" spans="1:58" ht="13.2"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25" t="s">
        <v>677</v>
      </c>
      <c r="BE22" s="1026">
        <f>'Sources and Uses Budget'!B105</f>
        <v>77153162</v>
      </c>
      <c r="BF22" s="2" t="s">
        <v>678</v>
      </c>
    </row>
    <row r="23" spans="1:58" ht="13.2" customHeight="1">
      <c r="A23" s="1292" t="s">
        <v>679</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4"/>
      <c r="AV23" s="14"/>
      <c r="AW23" s="14"/>
      <c r="AX23" s="14"/>
      <c r="AY23" s="14"/>
      <c r="AZ23" s="14"/>
      <c r="BD23" s="1024" t="s">
        <v>680</v>
      </c>
      <c r="BE23" s="1026">
        <f>'Sources and Uses Budget'!B4</f>
        <v>0</v>
      </c>
    </row>
    <row r="24" spans="1:58" ht="13.2"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4"/>
      <c r="AV24" s="14"/>
      <c r="AW24" s="14"/>
      <c r="AX24" s="14"/>
      <c r="AY24" s="14"/>
      <c r="AZ24" s="14"/>
      <c r="BD24" s="1025" t="s">
        <v>681</v>
      </c>
      <c r="BE24" s="1026">
        <f>Application!AG450</f>
        <v>118286</v>
      </c>
    </row>
    <row r="25" spans="1:58" ht="13.2" customHeight="1">
      <c r="A25" s="1113"/>
      <c r="C25" s="1113"/>
      <c r="D25" s="1113"/>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c r="AD25" s="1113"/>
      <c r="AE25" s="1113"/>
      <c r="AF25" s="1113"/>
      <c r="AG25" s="1113"/>
      <c r="AH25" s="1113"/>
      <c r="AI25" s="1113"/>
      <c r="AJ25" s="1113"/>
      <c r="AK25" s="2"/>
      <c r="BD25" s="1024" t="s">
        <v>682</v>
      </c>
      <c r="BE25" s="1026" t="str">
        <f>Application!D208</f>
        <v>40%/60% Average Income</v>
      </c>
    </row>
    <row r="26" spans="1:58" ht="13.2" customHeight="1">
      <c r="A26" s="2"/>
      <c r="C26" s="2"/>
      <c r="D26" s="2"/>
      <c r="E26" s="2"/>
      <c r="F26" s="2"/>
      <c r="G26" s="2"/>
      <c r="H26" s="2"/>
      <c r="I26" s="2"/>
      <c r="J26" s="2"/>
      <c r="K26" s="2"/>
      <c r="L26" s="2"/>
      <c r="M26" s="1499">
        <f>'Basis &amp; Credits'!AB56</f>
        <v>3847496</v>
      </c>
      <c r="N26" s="1499"/>
      <c r="O26" s="1499"/>
      <c r="P26" s="1499"/>
      <c r="Q26" s="1499"/>
      <c r="R26" s="2" t="s">
        <v>683</v>
      </c>
      <c r="S26" s="2"/>
      <c r="T26" s="2"/>
      <c r="U26" s="2"/>
      <c r="V26" s="2"/>
      <c r="W26" s="2"/>
      <c r="X26" s="2"/>
      <c r="Y26" s="2"/>
      <c r="Z26" s="2"/>
      <c r="AF26" s="2"/>
      <c r="AG26" s="2"/>
      <c r="AH26" s="2"/>
      <c r="AI26" s="2"/>
      <c r="AJ26" s="2"/>
      <c r="AK26" s="2"/>
      <c r="BD26" s="1025" t="s">
        <v>684</v>
      </c>
      <c r="BE26" s="1026" t="b">
        <f>Application!M356="Yes"</f>
        <v>0</v>
      </c>
    </row>
    <row r="27" spans="1:58" ht="13.2" customHeight="1">
      <c r="A27" s="2"/>
      <c r="C27" s="2"/>
      <c r="D27" s="2"/>
      <c r="E27" s="2"/>
      <c r="F27" s="2"/>
      <c r="G27" s="2"/>
      <c r="H27" s="2"/>
      <c r="I27" s="2"/>
      <c r="J27" s="2"/>
      <c r="K27" s="2"/>
      <c r="L27" s="2"/>
      <c r="M27" s="1317">
        <f>'Basis &amp; Credits'!AB78</f>
        <v>18494735</v>
      </c>
      <c r="N27" s="1317"/>
      <c r="O27" s="1317"/>
      <c r="P27" s="1317"/>
      <c r="Q27" s="1317"/>
      <c r="R27" s="2" t="s">
        <v>685</v>
      </c>
      <c r="S27" s="2"/>
      <c r="T27" s="2"/>
      <c r="U27" s="2"/>
      <c r="V27" s="2"/>
      <c r="W27" s="2"/>
      <c r="X27" s="2"/>
      <c r="Y27" s="2"/>
      <c r="Z27" s="2"/>
      <c r="AF27" s="2"/>
      <c r="AG27" s="2"/>
      <c r="AH27" s="2"/>
      <c r="AI27" s="2"/>
      <c r="AJ27" s="2"/>
      <c r="AK27" s="2"/>
      <c r="BD27" s="1024" t="s">
        <v>686</v>
      </c>
      <c r="BE27" s="1026" t="b">
        <f>Application!M355="Yes"</f>
        <v>1</v>
      </c>
    </row>
    <row r="28" spans="1:58" ht="13.2"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25" t="s">
        <v>687</v>
      </c>
      <c r="BE28" s="1026" t="b">
        <f>Application!M357="Yes"</f>
        <v>0</v>
      </c>
    </row>
    <row r="29" spans="1:58" ht="13.2" customHeight="1">
      <c r="A29" s="1487" t="s">
        <v>688</v>
      </c>
      <c r="B29" s="1487"/>
      <c r="C29" s="1487"/>
      <c r="D29" s="1487"/>
      <c r="E29" s="1487"/>
      <c r="F29" s="1487"/>
      <c r="G29" s="1487"/>
      <c r="H29" s="1487"/>
      <c r="I29" s="1487"/>
      <c r="J29" s="1487"/>
      <c r="K29" s="1487"/>
      <c r="L29" s="1487"/>
      <c r="M29" s="1487"/>
      <c r="N29" s="1487"/>
      <c r="O29" s="1487"/>
      <c r="P29" s="1487"/>
      <c r="Q29" s="1487"/>
      <c r="R29" s="1487"/>
      <c r="S29" s="1487"/>
      <c r="T29" s="1487"/>
      <c r="U29" s="1487"/>
      <c r="V29" s="1487"/>
      <c r="W29" s="1487"/>
      <c r="X29" s="1487"/>
      <c r="Y29" s="1487"/>
      <c r="Z29" s="1487"/>
      <c r="AA29" s="1487"/>
      <c r="AB29" s="1487"/>
      <c r="AC29" s="1487"/>
      <c r="AD29" s="1487"/>
      <c r="AE29" s="1487"/>
      <c r="AF29" s="1487"/>
      <c r="AG29" s="1487"/>
      <c r="AH29" s="1487"/>
      <c r="AI29" s="1487"/>
      <c r="AJ29" s="1487"/>
      <c r="AK29" s="1487"/>
      <c r="AL29" s="1487"/>
      <c r="AM29" s="1487"/>
      <c r="AN29" s="1487"/>
      <c r="AO29" s="1487"/>
      <c r="AP29" s="1487"/>
      <c r="AQ29" s="1487"/>
      <c r="AR29" s="1487"/>
      <c r="AS29" s="1487"/>
      <c r="AT29" s="1487"/>
      <c r="BD29" s="1024" t="s">
        <v>689</v>
      </c>
      <c r="BE29" s="1026" t="b">
        <f>Application!M358="Yes"</f>
        <v>0</v>
      </c>
    </row>
    <row r="30" spans="1:58" ht="13.2" customHeight="1">
      <c r="A30" s="1487"/>
      <c r="B30" s="1487"/>
      <c r="C30" s="1487"/>
      <c r="D30" s="1487"/>
      <c r="E30" s="1487"/>
      <c r="F30" s="1487"/>
      <c r="G30" s="1487"/>
      <c r="H30" s="1487"/>
      <c r="I30" s="1487"/>
      <c r="J30" s="1487"/>
      <c r="K30" s="1487"/>
      <c r="L30" s="1487"/>
      <c r="M30" s="1487"/>
      <c r="N30" s="1487"/>
      <c r="O30" s="1487"/>
      <c r="P30" s="1487"/>
      <c r="Q30" s="1487"/>
      <c r="R30" s="1487"/>
      <c r="S30" s="1487"/>
      <c r="T30" s="1487"/>
      <c r="U30" s="1487"/>
      <c r="V30" s="1487"/>
      <c r="W30" s="1487"/>
      <c r="X30" s="1487"/>
      <c r="Y30" s="1487"/>
      <c r="Z30" s="1487"/>
      <c r="AA30" s="1487"/>
      <c r="AB30" s="1487"/>
      <c r="AC30" s="1487"/>
      <c r="AD30" s="1487"/>
      <c r="AE30" s="1487"/>
      <c r="AF30" s="1487"/>
      <c r="AG30" s="1487"/>
      <c r="AH30" s="1487"/>
      <c r="AI30" s="1487"/>
      <c r="AJ30" s="1487"/>
      <c r="AK30" s="1487"/>
      <c r="AL30" s="1487"/>
      <c r="AM30" s="1487"/>
      <c r="AN30" s="1487"/>
      <c r="AO30" s="1487"/>
      <c r="AP30" s="1487"/>
      <c r="AQ30" s="1487"/>
      <c r="AR30" s="1487"/>
      <c r="AS30" s="1487"/>
      <c r="AT30" s="1487"/>
      <c r="AZ30" s="15"/>
      <c r="BD30" s="1025" t="s">
        <v>690</v>
      </c>
      <c r="BE30" s="1026" t="b">
        <f>Application!AJ355="Yes"</f>
        <v>1</v>
      </c>
    </row>
    <row r="31" spans="1:58" ht="13.2" customHeight="1">
      <c r="A31" s="1487"/>
      <c r="B31" s="1487"/>
      <c r="C31" s="1487"/>
      <c r="D31" s="1487"/>
      <c r="E31" s="1487"/>
      <c r="F31" s="1487"/>
      <c r="G31" s="1487"/>
      <c r="H31" s="1487"/>
      <c r="I31" s="1487"/>
      <c r="J31" s="1487"/>
      <c r="K31" s="1487"/>
      <c r="L31" s="1487"/>
      <c r="M31" s="1487"/>
      <c r="N31" s="1487"/>
      <c r="O31" s="1487"/>
      <c r="P31" s="1487"/>
      <c r="Q31" s="1487"/>
      <c r="R31" s="1487"/>
      <c r="S31" s="1487"/>
      <c r="T31" s="1487"/>
      <c r="U31" s="1487"/>
      <c r="V31" s="1487"/>
      <c r="W31" s="1487"/>
      <c r="X31" s="1487"/>
      <c r="Y31" s="1487"/>
      <c r="Z31" s="1487"/>
      <c r="AA31" s="1487"/>
      <c r="AB31" s="1487"/>
      <c r="AC31" s="1487"/>
      <c r="AD31" s="1487"/>
      <c r="AE31" s="1487"/>
      <c r="AF31" s="1487"/>
      <c r="AG31" s="1487"/>
      <c r="AH31" s="1487"/>
      <c r="AI31" s="1487"/>
      <c r="AJ31" s="1487"/>
      <c r="AK31" s="1487"/>
      <c r="AL31" s="1487"/>
      <c r="AM31" s="1487"/>
      <c r="AN31" s="1487"/>
      <c r="AO31" s="1487"/>
      <c r="AP31" s="1487"/>
      <c r="AQ31" s="1487"/>
      <c r="AR31" s="1487"/>
      <c r="AS31" s="1487"/>
      <c r="AT31" s="1487"/>
      <c r="AU31" s="15"/>
      <c r="AV31" s="15"/>
      <c r="AW31" s="15"/>
      <c r="AX31" s="15"/>
      <c r="AY31" s="15"/>
      <c r="AZ31" s="15"/>
      <c r="BD31" s="1024" t="s">
        <v>691</v>
      </c>
      <c r="BE31" s="1026" t="str">
        <f>Application!D211</f>
        <v>Large Family</v>
      </c>
    </row>
    <row r="32" spans="1:58" ht="13.2" customHeight="1">
      <c r="A32" s="1132"/>
      <c r="C32" s="1132"/>
      <c r="D32" s="1132"/>
      <c r="E32" s="1132"/>
      <c r="F32" s="1132"/>
      <c r="G32" s="1132"/>
      <c r="H32" s="1132"/>
      <c r="I32" s="1132"/>
      <c r="J32" s="1132"/>
      <c r="K32" s="1132"/>
      <c r="L32" s="1132"/>
      <c r="M32" s="1132"/>
      <c r="N32" s="1132"/>
      <c r="O32" s="1132"/>
      <c r="P32" s="1132"/>
      <c r="Q32" s="1132"/>
      <c r="R32" s="1132"/>
      <c r="S32" s="1132"/>
      <c r="T32" s="1132"/>
      <c r="U32" s="1132"/>
      <c r="V32" s="1132"/>
      <c r="W32" s="1132"/>
      <c r="X32" s="1132"/>
      <c r="Y32" s="1132"/>
      <c r="Z32" s="1132"/>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25" t="s">
        <v>692</v>
      </c>
      <c r="BE32" s="1026">
        <f>IF(ISNUMBER(Application!W465),W465,0)</f>
        <v>0</v>
      </c>
    </row>
    <row r="33" spans="1:57" ht="13.2" customHeight="1">
      <c r="A33" s="1132" t="s">
        <v>693</v>
      </c>
      <c r="C33" s="1132"/>
      <c r="D33" s="1132"/>
      <c r="E33" s="1132"/>
      <c r="F33" s="1132"/>
      <c r="G33" s="1132"/>
      <c r="H33" s="1132"/>
      <c r="I33" s="1132"/>
      <c r="J33" s="1132"/>
      <c r="K33" s="1132"/>
      <c r="L33" s="1132"/>
      <c r="M33" s="1132"/>
      <c r="N33" s="1132"/>
      <c r="O33" s="1370" t="s">
        <v>694</v>
      </c>
      <c r="P33" s="1370"/>
      <c r="Q33" s="1774" t="s">
        <v>695</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5"/>
      <c r="AV33" s="15"/>
      <c r="AW33" s="15"/>
      <c r="AX33" s="15"/>
      <c r="AY33" s="15"/>
      <c r="BD33" s="1024" t="s">
        <v>696</v>
      </c>
      <c r="BE33" s="1026" t="str">
        <f>Application!D220</f>
        <v>South and West Bay Region: San Mateo and Santa Clara Counties</v>
      </c>
    </row>
    <row r="34" spans="1:57" ht="13.2" customHeight="1">
      <c r="A34" s="1487" t="s">
        <v>697</v>
      </c>
      <c r="B34" s="1487"/>
      <c r="C34" s="1487"/>
      <c r="D34" s="1487"/>
      <c r="E34" s="1487"/>
      <c r="F34" s="1487"/>
      <c r="G34" s="1487"/>
      <c r="H34" s="1487"/>
      <c r="I34" s="1487"/>
      <c r="J34" s="1487"/>
      <c r="K34" s="1487"/>
      <c r="L34" s="1487"/>
      <c r="M34" s="1487"/>
      <c r="N34" s="1487"/>
      <c r="O34" s="1487"/>
      <c r="P34" s="1487"/>
      <c r="Q34" s="1487"/>
      <c r="R34" s="1487"/>
      <c r="S34" s="1487"/>
      <c r="T34" s="1487"/>
      <c r="U34" s="1487"/>
      <c r="V34" s="1487"/>
      <c r="W34" s="1487"/>
      <c r="X34" s="1487"/>
      <c r="Y34" s="1487"/>
      <c r="Z34" s="1487"/>
      <c r="AA34" s="1487"/>
      <c r="AB34" s="1487"/>
      <c r="AC34" s="1487"/>
      <c r="AD34" s="1487"/>
      <c r="AE34" s="1487"/>
      <c r="AF34" s="1487"/>
      <c r="AG34" s="1487"/>
      <c r="AH34" s="1487"/>
      <c r="AI34" s="1487"/>
      <c r="AJ34" s="1487"/>
      <c r="AK34" s="1487"/>
      <c r="AL34" s="1487"/>
      <c r="AM34" s="1487"/>
      <c r="AN34" s="1487"/>
      <c r="AO34" s="1487"/>
      <c r="AP34" s="1487"/>
      <c r="AQ34" s="1487"/>
      <c r="AR34" s="1487"/>
      <c r="AS34" s="1487"/>
      <c r="AT34" s="1487"/>
      <c r="AU34" s="15"/>
      <c r="AV34" s="15"/>
      <c r="AW34" s="15"/>
      <c r="AX34" s="15"/>
      <c r="AY34" s="15"/>
      <c r="AZ34" s="15"/>
      <c r="BD34" s="1025" t="s">
        <v>698</v>
      </c>
      <c r="BE34" s="1026" t="str">
        <f>Application!I185</f>
        <v>334 San Antonio Road, Mountain View</v>
      </c>
    </row>
    <row r="35" spans="1:57" ht="13.2" customHeight="1">
      <c r="A35" s="1487"/>
      <c r="B35" s="1487"/>
      <c r="C35" s="1487"/>
      <c r="D35" s="1487"/>
      <c r="E35" s="1487"/>
      <c r="F35" s="1487"/>
      <c r="G35" s="1487"/>
      <c r="H35" s="1487"/>
      <c r="I35" s="1487"/>
      <c r="J35" s="1487"/>
      <c r="K35" s="1487"/>
      <c r="L35" s="1487"/>
      <c r="M35" s="1487"/>
      <c r="N35" s="1487"/>
      <c r="O35" s="1487"/>
      <c r="P35" s="1487"/>
      <c r="Q35" s="1487"/>
      <c r="R35" s="1487"/>
      <c r="S35" s="1487"/>
      <c r="T35" s="1487"/>
      <c r="U35" s="1487"/>
      <c r="V35" s="1487"/>
      <c r="W35" s="1487"/>
      <c r="X35" s="1487"/>
      <c r="Y35" s="1487"/>
      <c r="Z35" s="1487"/>
      <c r="AA35" s="1487"/>
      <c r="AB35" s="1487"/>
      <c r="AC35" s="1487"/>
      <c r="AD35" s="1487"/>
      <c r="AE35" s="1487"/>
      <c r="AF35" s="1487"/>
      <c r="AG35" s="1487"/>
      <c r="AH35" s="1487"/>
      <c r="AI35" s="1487"/>
      <c r="AJ35" s="1487"/>
      <c r="AK35" s="1487"/>
      <c r="AL35" s="1487"/>
      <c r="AM35" s="1487"/>
      <c r="AN35" s="1487"/>
      <c r="AO35" s="1487"/>
      <c r="AP35" s="1487"/>
      <c r="AQ35" s="1487"/>
      <c r="AR35" s="1487"/>
      <c r="AS35" s="1487"/>
      <c r="AT35" s="1487"/>
      <c r="AU35" s="15"/>
      <c r="AV35" s="15"/>
      <c r="AW35" s="15"/>
      <c r="AX35" s="15"/>
      <c r="AY35" s="15"/>
      <c r="AZ35" s="15"/>
      <c r="BD35" s="1024" t="s">
        <v>699</v>
      </c>
      <c r="BE35" s="1026" t="str">
        <f>IF(Application!E187="","",Application!E187)</f>
        <v/>
      </c>
    </row>
    <row r="36" spans="1:57" ht="13.2" customHeight="1">
      <c r="A36" s="1487"/>
      <c r="B36" s="1487"/>
      <c r="C36" s="1487"/>
      <c r="D36" s="1487"/>
      <c r="E36" s="1487"/>
      <c r="F36" s="1487"/>
      <c r="G36" s="1487"/>
      <c r="H36" s="1487"/>
      <c r="I36" s="1487"/>
      <c r="J36" s="1487"/>
      <c r="K36" s="1487"/>
      <c r="L36" s="1487"/>
      <c r="M36" s="1487"/>
      <c r="N36" s="1487"/>
      <c r="O36" s="1487"/>
      <c r="P36" s="1487"/>
      <c r="Q36" s="1487"/>
      <c r="R36" s="1487"/>
      <c r="S36" s="1487"/>
      <c r="T36" s="1487"/>
      <c r="U36" s="1487"/>
      <c r="V36" s="1487"/>
      <c r="W36" s="1487"/>
      <c r="X36" s="1487"/>
      <c r="Y36" s="1487"/>
      <c r="Z36" s="1487"/>
      <c r="AA36" s="1487"/>
      <c r="AB36" s="1487"/>
      <c r="AC36" s="1487"/>
      <c r="AD36" s="1487"/>
      <c r="AE36" s="1487"/>
      <c r="AF36" s="1487"/>
      <c r="AG36" s="1487"/>
      <c r="AH36" s="1487"/>
      <c r="AI36" s="1487"/>
      <c r="AJ36" s="1487"/>
      <c r="AK36" s="1487"/>
      <c r="AL36" s="1487"/>
      <c r="AM36" s="1487"/>
      <c r="AN36" s="1487"/>
      <c r="AO36" s="1487"/>
      <c r="AP36" s="1487"/>
      <c r="AQ36" s="1487"/>
      <c r="AR36" s="1487"/>
      <c r="AS36" s="1487"/>
      <c r="AT36" s="1487"/>
      <c r="AU36" s="15"/>
      <c r="AV36" s="15"/>
      <c r="AW36" s="15"/>
      <c r="AX36" s="15"/>
      <c r="AY36" s="15"/>
      <c r="AZ36" s="15"/>
      <c r="BD36" s="1025" t="s">
        <v>700</v>
      </c>
      <c r="BE36" s="1026" t="str">
        <f>Application!I189</f>
        <v>Santa Clara</v>
      </c>
    </row>
    <row r="37" spans="1:57" ht="13.2" customHeight="1">
      <c r="A37" s="1487"/>
      <c r="B37" s="1487"/>
      <c r="C37" s="1487"/>
      <c r="D37" s="1487"/>
      <c r="E37" s="1487"/>
      <c r="F37" s="1487"/>
      <c r="G37" s="1487"/>
      <c r="H37" s="1487"/>
      <c r="I37" s="1487"/>
      <c r="J37" s="1487"/>
      <c r="K37" s="1487"/>
      <c r="L37" s="1487"/>
      <c r="M37" s="1487"/>
      <c r="N37" s="1487"/>
      <c r="O37" s="1487"/>
      <c r="P37" s="1487"/>
      <c r="Q37" s="1487"/>
      <c r="R37" s="1487"/>
      <c r="S37" s="1487"/>
      <c r="T37" s="1487"/>
      <c r="U37" s="1487"/>
      <c r="V37" s="1487"/>
      <c r="W37" s="1487"/>
      <c r="X37" s="1487"/>
      <c r="Y37" s="1487"/>
      <c r="Z37" s="1487"/>
      <c r="AA37" s="1487"/>
      <c r="AB37" s="1487"/>
      <c r="AC37" s="1487"/>
      <c r="AD37" s="1487"/>
      <c r="AE37" s="1487"/>
      <c r="AF37" s="1487"/>
      <c r="AG37" s="1487"/>
      <c r="AH37" s="1487"/>
      <c r="AI37" s="1487"/>
      <c r="AJ37" s="1487"/>
      <c r="AK37" s="1487"/>
      <c r="AL37" s="1487"/>
      <c r="AM37" s="1487"/>
      <c r="AN37" s="1487"/>
      <c r="AO37" s="1487"/>
      <c r="AP37" s="1487"/>
      <c r="AQ37" s="1487"/>
      <c r="AR37" s="1487"/>
      <c r="AS37" s="1487"/>
      <c r="AT37" s="1487"/>
      <c r="AZ37" s="15"/>
      <c r="BD37" s="1024" t="s">
        <v>701</v>
      </c>
      <c r="BE37" s="1026" t="str">
        <f>Application!T189</f>
        <v>Santa Clara</v>
      </c>
    </row>
    <row r="38" spans="1:57" ht="13.2" customHeight="1">
      <c r="A38" s="2"/>
      <c r="AZ38" s="15"/>
      <c r="BD38" s="1025" t="s">
        <v>702</v>
      </c>
      <c r="BE38" s="1026">
        <f>Application!I190</f>
        <v>94040</v>
      </c>
    </row>
    <row r="39" spans="1:57" ht="13.2" customHeight="1">
      <c r="A39" s="1224" t="s">
        <v>703</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5"/>
      <c r="BD39" s="1024" t="s">
        <v>704</v>
      </c>
      <c r="BE39" s="1026">
        <f>Application!AG437</f>
        <v>100</v>
      </c>
    </row>
    <row r="40" spans="1:57" ht="13.2"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5"/>
      <c r="AV40" s="15"/>
      <c r="AW40" s="15"/>
      <c r="AX40" s="15"/>
      <c r="AY40" s="15"/>
      <c r="AZ40" s="15"/>
      <c r="BD40" s="1025" t="s">
        <v>201</v>
      </c>
      <c r="BE40" s="1026">
        <f>Application!AG440</f>
        <v>99</v>
      </c>
    </row>
    <row r="41" spans="1:57" ht="13.2"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5"/>
      <c r="AV41" s="15"/>
      <c r="AW41" s="15"/>
      <c r="AX41" s="15"/>
      <c r="AY41" s="15"/>
      <c r="AZ41" s="15"/>
      <c r="BD41" s="1024" t="s">
        <v>209</v>
      </c>
      <c r="BE41" s="1026">
        <f>Application!AG438</f>
        <v>0</v>
      </c>
    </row>
    <row r="42" spans="1:57" ht="13.2"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5"/>
      <c r="BD42" s="1025" t="s">
        <v>705</v>
      </c>
      <c r="BE42" s="1028">
        <f>Application!AC753</f>
        <v>0.59999999999999987</v>
      </c>
    </row>
    <row r="43" spans="1:57" ht="13.2"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5"/>
      <c r="AV43" s="15"/>
      <c r="AW43" s="15"/>
      <c r="AX43" s="15"/>
      <c r="AY43" s="15"/>
      <c r="AZ43" s="15"/>
      <c r="BD43" s="1024" t="s">
        <v>706</v>
      </c>
      <c r="BE43" s="1028">
        <f>Application!AH753</f>
        <v>0.59990375297147314</v>
      </c>
    </row>
    <row r="44" spans="1:57" ht="13.2"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5"/>
      <c r="AV44" s="15"/>
      <c r="AW44" s="15"/>
      <c r="AX44" s="15"/>
      <c r="AY44" s="15"/>
      <c r="AZ44" s="15"/>
      <c r="BD44" s="1025" t="s">
        <v>707</v>
      </c>
      <c r="BE44" s="1026">
        <f>Application!AC454</f>
        <v>771531.62</v>
      </c>
    </row>
    <row r="45" spans="1:57" ht="13.2" customHeight="1">
      <c r="A45" s="1132"/>
      <c r="C45" s="1132"/>
      <c r="D45" s="1132"/>
      <c r="E45" s="1132"/>
      <c r="F45" s="1132"/>
      <c r="G45" s="1132"/>
      <c r="H45" s="1132"/>
      <c r="I45" s="1132"/>
      <c r="J45" s="1132"/>
      <c r="K45" s="1132"/>
      <c r="L45" s="1132"/>
      <c r="M45" s="1132"/>
      <c r="N45" s="1132"/>
      <c r="O45" s="1132"/>
      <c r="P45" s="1132"/>
      <c r="Q45" s="1132"/>
      <c r="R45" s="1132"/>
      <c r="S45" s="1132"/>
      <c r="T45" s="1132"/>
      <c r="U45" s="1132"/>
      <c r="V45" s="1132"/>
      <c r="W45" s="1132"/>
      <c r="X45" s="1132"/>
      <c r="Y45" s="1132"/>
      <c r="Z45" s="1132"/>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4" t="s">
        <v>708</v>
      </c>
      <c r="BE45" s="1026">
        <f>Application!AE424</f>
        <v>1</v>
      </c>
    </row>
    <row r="46" spans="1:57" ht="13.2" customHeight="1">
      <c r="A46" s="1292" t="s">
        <v>709</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15"/>
      <c r="AV46" s="15"/>
      <c r="AW46" s="15"/>
      <c r="AX46" s="15"/>
      <c r="AY46" s="15"/>
      <c r="AZ46" s="15"/>
      <c r="BD46" s="1025" t="s">
        <v>710</v>
      </c>
      <c r="BE46" s="1026" t="b">
        <f>Application!T195="Yes"</f>
        <v>1</v>
      </c>
    </row>
    <row r="47" spans="1:57" ht="13.2"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15"/>
      <c r="AV47" s="15"/>
      <c r="AW47" s="15"/>
      <c r="AX47" s="15"/>
      <c r="AY47" s="15"/>
      <c r="AZ47" s="15"/>
      <c r="BD47" s="1024" t="s">
        <v>711</v>
      </c>
      <c r="BE47" s="1026" t="b">
        <f>Application!T196="Yes"</f>
        <v>0</v>
      </c>
    </row>
    <row r="48" spans="1:57" ht="13.2"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15"/>
      <c r="AV48" s="15"/>
      <c r="AW48" s="15"/>
      <c r="AX48" s="15"/>
      <c r="AY48" s="15"/>
      <c r="AZ48" s="15"/>
      <c r="BD48" s="1025" t="s">
        <v>712</v>
      </c>
      <c r="BE48" s="1026" t="str">
        <f>Application!M243</f>
        <v>Bold Communities</v>
      </c>
    </row>
    <row r="49" spans="1:57" ht="13.2"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15"/>
      <c r="AV49" s="15"/>
      <c r="AW49" s="15"/>
      <c r="AX49" s="15"/>
      <c r="AY49" s="15"/>
      <c r="AZ49" s="15"/>
      <c r="BD49" s="1024" t="s">
        <v>713</v>
      </c>
      <c r="BE49" s="1026" t="str">
        <f>Application!M246</f>
        <v>Michael Miller</v>
      </c>
    </row>
    <row r="50" spans="1:57" ht="13.2" customHeight="1">
      <c r="A50" s="1144"/>
      <c r="B50" s="1144"/>
      <c r="C50" s="1144"/>
      <c r="D50" s="1144"/>
      <c r="E50" s="1144"/>
      <c r="F50" s="1144"/>
      <c r="G50" s="1144"/>
      <c r="H50" s="1144"/>
      <c r="I50" s="1144"/>
      <c r="J50" s="1144"/>
      <c r="K50" s="1144"/>
      <c r="L50" s="1144"/>
      <c r="M50" s="1144"/>
      <c r="N50" s="1144"/>
      <c r="O50" s="1144"/>
      <c r="P50" s="1144"/>
      <c r="Q50" s="1144"/>
      <c r="R50" s="1144"/>
      <c r="S50" s="1144"/>
      <c r="T50" s="1144"/>
      <c r="U50" s="1144"/>
      <c r="V50" s="1144"/>
      <c r="W50" s="1144"/>
      <c r="X50" s="1144"/>
      <c r="Y50" s="1144"/>
      <c r="Z50" s="1144"/>
      <c r="AA50" s="1144"/>
      <c r="AB50" s="1144"/>
      <c r="AC50" s="1144"/>
      <c r="AD50" s="1144"/>
      <c r="AE50" s="1144"/>
      <c r="AF50" s="1144"/>
      <c r="AG50" s="1144"/>
      <c r="AH50" s="1144"/>
      <c r="AI50" s="1144"/>
      <c r="AJ50" s="1144"/>
      <c r="AK50" s="1144"/>
      <c r="AL50" s="1144"/>
      <c r="AM50" s="1144"/>
      <c r="AN50" s="1144"/>
      <c r="AO50" s="1144"/>
      <c r="AP50" s="1144"/>
      <c r="AQ50" s="1144"/>
      <c r="AR50" s="1144"/>
      <c r="AS50" s="1144"/>
      <c r="AT50" s="1144"/>
      <c r="AU50" s="15"/>
      <c r="AV50" s="15"/>
      <c r="AW50" s="15"/>
      <c r="AX50" s="15"/>
      <c r="AY50" s="15"/>
      <c r="AZ50" s="15"/>
      <c r="BD50" s="1025" t="s">
        <v>714</v>
      </c>
      <c r="BE50" s="1026">
        <f>Application!AA249</f>
        <v>0</v>
      </c>
    </row>
    <row r="51" spans="1:57" ht="13.2" customHeight="1">
      <c r="A51" s="1224" t="s">
        <v>715</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5"/>
      <c r="AV51" s="15"/>
      <c r="AW51" s="15"/>
      <c r="AX51" s="15"/>
      <c r="AY51" s="15"/>
      <c r="AZ51" s="15"/>
      <c r="BD51" s="1024" t="s">
        <v>716</v>
      </c>
      <c r="BE51" s="1026" t="str">
        <f>Application!M251</f>
        <v>334 San Antonio AGP LLC</v>
      </c>
    </row>
    <row r="52" spans="1:57" ht="13.2"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5"/>
      <c r="AV52" s="15"/>
      <c r="AW52" s="15"/>
      <c r="AX52" s="15"/>
      <c r="AY52" s="15"/>
      <c r="AZ52" s="15"/>
      <c r="BD52" s="1025" t="s">
        <v>717</v>
      </c>
      <c r="BE52" s="1026" t="str">
        <f>Application!M254</f>
        <v>Paul Salib</v>
      </c>
    </row>
    <row r="53" spans="1:57" ht="13.2" customHeight="1">
      <c r="C53" s="1132"/>
      <c r="D53" s="1132"/>
      <c r="E53" s="1132"/>
      <c r="F53" s="1132"/>
      <c r="G53" s="1132"/>
      <c r="H53" s="1132"/>
      <c r="I53" s="1132"/>
      <c r="J53" s="1132"/>
      <c r="K53" s="1132"/>
      <c r="L53" s="1132"/>
      <c r="M53" s="1132"/>
      <c r="N53" s="1132"/>
      <c r="O53" s="1132"/>
      <c r="P53" s="1132"/>
      <c r="Q53" s="1132"/>
      <c r="R53" s="1132"/>
      <c r="S53" s="1132"/>
      <c r="T53" s="1132"/>
      <c r="U53" s="1132"/>
      <c r="V53" s="1132"/>
      <c r="W53" s="1132"/>
      <c r="X53" s="1132"/>
      <c r="Y53" s="1132"/>
      <c r="Z53" s="1132"/>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4" t="s">
        <v>718</v>
      </c>
      <c r="BE53" s="1026">
        <f>Application!AA257</f>
        <v>0</v>
      </c>
    </row>
    <row r="54" spans="1:57" ht="13.2" customHeight="1">
      <c r="A54" s="1224" t="s">
        <v>719</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5"/>
      <c r="AV54" s="15"/>
      <c r="AW54" s="15"/>
      <c r="AX54" s="15"/>
      <c r="AY54" s="15"/>
      <c r="AZ54" s="16"/>
      <c r="BD54" s="1025" t="s">
        <v>720</v>
      </c>
      <c r="BE54" s="1026">
        <f>Application!M259</f>
        <v>0</v>
      </c>
    </row>
    <row r="55" spans="1:57" ht="13.2"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6"/>
      <c r="BD55" s="1024" t="s">
        <v>721</v>
      </c>
      <c r="BE55" s="1026">
        <f>Application!M262</f>
        <v>0</v>
      </c>
    </row>
    <row r="56" spans="1:57" ht="13.2"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025" t="s">
        <v>722</v>
      </c>
      <c r="BE56" s="1026">
        <f>Application!AA265</f>
        <v>0</v>
      </c>
    </row>
    <row r="57" spans="1:57" ht="13.2"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024" t="s">
        <v>723</v>
      </c>
      <c r="BE57" s="1026" t="str">
        <f>Application!H287</f>
        <v>CRP Affordable Housing and Community Development LLC</v>
      </c>
    </row>
    <row r="58" spans="1:57" ht="13.2"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025" t="s">
        <v>724</v>
      </c>
      <c r="BE58" s="1026" t="str">
        <f>Application!H288</f>
        <v>122 E 42nd Street, suite 1903</v>
      </c>
    </row>
    <row r="59" spans="1:57" ht="13.2" customHeight="1">
      <c r="A59" s="1132"/>
      <c r="C59" s="1132"/>
      <c r="D59" s="1132"/>
      <c r="E59" s="1132"/>
      <c r="F59" s="1132"/>
      <c r="G59" s="1132"/>
      <c r="H59" s="1132"/>
      <c r="I59" s="1132"/>
      <c r="J59" s="1132"/>
      <c r="K59" s="1132"/>
      <c r="L59" s="1132"/>
      <c r="M59" s="1132"/>
      <c r="N59" s="1132"/>
      <c r="O59" s="1132"/>
      <c r="P59" s="1132"/>
      <c r="Q59" s="1132"/>
      <c r="R59" s="1132"/>
      <c r="S59" s="1132"/>
      <c r="T59" s="1132"/>
      <c r="U59" s="1132"/>
      <c r="V59" s="1132"/>
      <c r="W59" s="1132"/>
      <c r="X59" s="1132"/>
      <c r="Y59" s="1132"/>
      <c r="Z59" s="1132"/>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4" t="s">
        <v>725</v>
      </c>
      <c r="BE59" s="1026" t="str">
        <f>Application!H289</f>
        <v>New York, NY 10168</v>
      </c>
    </row>
    <row r="60" spans="1:57" ht="13.2" customHeight="1">
      <c r="A60" s="1224" t="s">
        <v>726</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5"/>
      <c r="AV60" s="15"/>
      <c r="AW60" s="15"/>
      <c r="AX60" s="15"/>
      <c r="AY60" s="15"/>
      <c r="AZ60" s="15"/>
      <c r="BD60" s="1025" t="s">
        <v>727</v>
      </c>
      <c r="BE60" s="1026" t="str">
        <f>Application!H290</f>
        <v>Paul Salib</v>
      </c>
    </row>
    <row r="61" spans="1:57" ht="13.2"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5"/>
      <c r="AV61" s="15"/>
      <c r="AW61" s="15"/>
      <c r="AX61" s="15"/>
      <c r="AY61" s="15"/>
      <c r="AZ61" s="15"/>
      <c r="BD61" s="1024" t="s">
        <v>728</v>
      </c>
      <c r="BE61" s="1026" t="str">
        <f>Application!H293</f>
        <v>psalib@crpaffordable.com</v>
      </c>
    </row>
    <row r="62" spans="1:57" ht="13.2" customHeight="1">
      <c r="A62" s="1132"/>
      <c r="C62" s="1132"/>
      <c r="D62" s="1132"/>
      <c r="E62" s="1132"/>
      <c r="F62" s="1132"/>
      <c r="G62" s="1132"/>
      <c r="H62" s="1132"/>
      <c r="I62" s="1132"/>
      <c r="J62" s="1132"/>
      <c r="K62" s="1132"/>
      <c r="L62" s="1132"/>
      <c r="M62" s="1132"/>
      <c r="N62" s="1132"/>
      <c r="O62" s="1132"/>
      <c r="P62" s="1132"/>
      <c r="Q62" s="1132"/>
      <c r="R62" s="1132"/>
      <c r="S62" s="1132"/>
      <c r="T62" s="1132"/>
      <c r="U62" s="1132"/>
      <c r="V62" s="1132"/>
      <c r="W62" s="1132"/>
      <c r="X62" s="1132"/>
      <c r="Y62" s="1132"/>
      <c r="Z62" s="1132"/>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25" t="s">
        <v>729</v>
      </c>
      <c r="BE62" s="1029">
        <f>'Basis &amp; Credits'!AB50</f>
        <v>0.83991594999999997</v>
      </c>
    </row>
    <row r="63" spans="1:57" ht="13.2" customHeight="1">
      <c r="A63" s="1132" t="s">
        <v>730</v>
      </c>
      <c r="C63" s="1132"/>
      <c r="D63" s="1132"/>
      <c r="E63" s="1132"/>
      <c r="F63" s="1132"/>
      <c r="G63" s="1132"/>
      <c r="H63" s="1132"/>
      <c r="I63" s="1132"/>
      <c r="J63" s="1132"/>
      <c r="K63" s="1132"/>
      <c r="L63" s="1132"/>
      <c r="M63" s="1132"/>
      <c r="N63" s="1132"/>
      <c r="O63" s="1132"/>
      <c r="P63" s="1132"/>
      <c r="Q63" s="1132"/>
      <c r="R63" s="1132"/>
      <c r="S63" s="1132"/>
      <c r="T63" s="1132"/>
      <c r="U63" s="1132"/>
      <c r="V63" s="1132"/>
      <c r="W63" s="1132"/>
      <c r="X63" s="1132"/>
      <c r="Y63" s="1132"/>
      <c r="Z63" s="1132"/>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4" t="s">
        <v>731</v>
      </c>
      <c r="BE63" s="1029">
        <f>'Basis &amp; Credits'!AB72</f>
        <v>0.89999998999999997</v>
      </c>
    </row>
    <row r="64" spans="1:57" ht="13.2" customHeight="1">
      <c r="C64" s="1132"/>
      <c r="D64" s="1132"/>
      <c r="E64" s="1132"/>
      <c r="F64" s="1132"/>
      <c r="G64" s="1132"/>
      <c r="H64" s="1132"/>
      <c r="I64" s="1132"/>
      <c r="J64" s="1132"/>
      <c r="K64" s="1132"/>
      <c r="L64" s="1132"/>
      <c r="M64" s="1132"/>
      <c r="N64" s="1132"/>
      <c r="O64" s="1132"/>
      <c r="P64" s="1132"/>
      <c r="Q64" s="1132"/>
      <c r="R64" s="1132"/>
      <c r="S64" s="1132"/>
      <c r="T64" s="1132"/>
      <c r="U64" s="1132"/>
      <c r="V64" s="1132"/>
      <c r="W64" s="1132"/>
      <c r="X64" s="1132"/>
      <c r="Y64" s="1132"/>
      <c r="Z64" s="1132"/>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25" t="s">
        <v>732</v>
      </c>
      <c r="BE64" s="1026" t="str">
        <f>Application!X180</f>
        <v>No</v>
      </c>
    </row>
    <row r="65" spans="1:57" ht="13.2" customHeight="1">
      <c r="A65" s="1224" t="s">
        <v>733</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6"/>
      <c r="AV65" s="16"/>
      <c r="AW65" s="16"/>
      <c r="AX65" s="16"/>
      <c r="AY65" s="16"/>
      <c r="AZ65" s="15"/>
      <c r="BD65" s="1024" t="s">
        <v>734</v>
      </c>
      <c r="BE65" s="1026" t="str">
        <f>Z205</f>
        <v>$500M</v>
      </c>
    </row>
    <row r="66" spans="1:57" ht="13.2"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6"/>
      <c r="AV66" s="16"/>
      <c r="AW66" s="16"/>
      <c r="AX66" s="16"/>
      <c r="AY66" s="16"/>
      <c r="AZ66" s="15"/>
      <c r="BD66" s="1025" t="s">
        <v>735</v>
      </c>
      <c r="BE66" s="1026" t="b">
        <f>Application!Z205="State Farmworker Credit"</f>
        <v>0</v>
      </c>
    </row>
    <row r="67" spans="1:57" ht="13.2"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5"/>
      <c r="BD67" s="1024" t="s">
        <v>736</v>
      </c>
      <c r="BE67" s="1026" t="b">
        <f>Application!O33="Yes"</f>
        <v>1</v>
      </c>
    </row>
    <row r="68" spans="1:57" ht="13.2"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25" t="s">
        <v>737</v>
      </c>
      <c r="BE68" s="1026">
        <f>'Sources and Uses Budget'!D105</f>
        <v>0</v>
      </c>
    </row>
    <row r="69" spans="1:57" ht="13.2" customHeight="1">
      <c r="A69" s="1224" t="s">
        <v>738</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5"/>
      <c r="BD69" s="1024" t="s">
        <v>739</v>
      </c>
      <c r="BE69" s="1026" t="str">
        <f>Application!W700</f>
        <v>California Municipal Finance Authority</v>
      </c>
    </row>
    <row r="70" spans="1:57" ht="13.2"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5"/>
      <c r="AV70" s="15"/>
      <c r="AW70" s="15"/>
      <c r="AX70" s="15"/>
      <c r="AY70" s="15"/>
      <c r="AZ70" s="15"/>
      <c r="BD70" s="1025" t="s">
        <v>740</v>
      </c>
      <c r="BE70" s="1026">
        <f ca="1">'Points System'!AF821</f>
        <v>120</v>
      </c>
    </row>
    <row r="71" spans="1:57" ht="13.2" customHeight="1">
      <c r="A71" s="1132"/>
      <c r="C71" s="1132"/>
      <c r="D71" s="1132"/>
      <c r="E71" s="1132"/>
      <c r="F71" s="1132"/>
      <c r="G71" s="1132"/>
      <c r="H71" s="1132"/>
      <c r="I71" s="1132"/>
      <c r="J71" s="1132"/>
      <c r="K71" s="1132"/>
      <c r="L71" s="1132"/>
      <c r="M71" s="1132"/>
      <c r="N71" s="1132"/>
      <c r="O71" s="1132"/>
      <c r="P71" s="1132"/>
      <c r="Q71" s="1132"/>
      <c r="R71" s="1132"/>
      <c r="S71" s="1132"/>
      <c r="T71" s="1132"/>
      <c r="U71" s="1132"/>
      <c r="V71" s="1132"/>
      <c r="W71" s="1132"/>
      <c r="X71" s="1132"/>
      <c r="Y71" s="1132"/>
      <c r="Z71" s="1132"/>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4" t="s">
        <v>741</v>
      </c>
      <c r="BE71" s="1026">
        <f>'Points System'!AF804</f>
        <v>0</v>
      </c>
    </row>
    <row r="72" spans="1:57" ht="13.2" customHeight="1">
      <c r="A72" s="1487" t="s">
        <v>742</v>
      </c>
      <c r="B72" s="1487"/>
      <c r="C72" s="1487"/>
      <c r="D72" s="1487"/>
      <c r="E72" s="1487"/>
      <c r="F72" s="1487"/>
      <c r="G72" s="1487"/>
      <c r="H72" s="1487"/>
      <c r="I72" s="1487"/>
      <c r="J72" s="1487"/>
      <c r="K72" s="1487"/>
      <c r="L72" s="1487"/>
      <c r="M72" s="1487"/>
      <c r="N72" s="1487"/>
      <c r="O72" s="1487"/>
      <c r="P72" s="1487"/>
      <c r="Q72" s="1487"/>
      <c r="R72" s="1487"/>
      <c r="S72" s="1487"/>
      <c r="T72" s="1487"/>
      <c r="U72" s="1487"/>
      <c r="V72" s="1487"/>
      <c r="W72" s="1487"/>
      <c r="X72" s="1487"/>
      <c r="Y72" s="1487"/>
      <c r="Z72" s="1487"/>
      <c r="AA72" s="1487"/>
      <c r="AB72" s="1487"/>
      <c r="AC72" s="1487"/>
      <c r="AD72" s="1487"/>
      <c r="AE72" s="1487"/>
      <c r="AF72" s="1487"/>
      <c r="AG72" s="1487"/>
      <c r="AH72" s="1487"/>
      <c r="AI72" s="1487"/>
      <c r="AJ72" s="1487"/>
      <c r="AK72" s="1487"/>
      <c r="AL72" s="1487"/>
      <c r="AM72" s="1487"/>
      <c r="AN72" s="1487"/>
      <c r="AO72" s="1487"/>
      <c r="AP72" s="1487"/>
      <c r="AQ72" s="1487"/>
      <c r="AR72" s="1487"/>
      <c r="AS72" s="1487"/>
      <c r="AT72" s="1487"/>
      <c r="AU72" s="15"/>
      <c r="AV72" s="15"/>
      <c r="AW72" s="15"/>
      <c r="AX72" s="15"/>
      <c r="AY72" s="15"/>
      <c r="AZ72" s="15"/>
      <c r="BD72" s="1025" t="s">
        <v>743</v>
      </c>
      <c r="BE72" s="1026">
        <f>'Points System'!AF805</f>
        <v>10</v>
      </c>
    </row>
    <row r="73" spans="1:57" ht="13.2" customHeight="1">
      <c r="A73" s="1487"/>
      <c r="B73" s="1487"/>
      <c r="C73" s="1487"/>
      <c r="D73" s="1487"/>
      <c r="E73" s="1487"/>
      <c r="F73" s="1487"/>
      <c r="G73" s="1487"/>
      <c r="H73" s="1487"/>
      <c r="I73" s="1487"/>
      <c r="J73" s="1487"/>
      <c r="K73" s="1487"/>
      <c r="L73" s="1487"/>
      <c r="M73" s="1487"/>
      <c r="N73" s="1487"/>
      <c r="O73" s="1487"/>
      <c r="P73" s="1487"/>
      <c r="Q73" s="1487"/>
      <c r="R73" s="1487"/>
      <c r="S73" s="1487"/>
      <c r="T73" s="1487"/>
      <c r="U73" s="1487"/>
      <c r="V73" s="1487"/>
      <c r="W73" s="1487"/>
      <c r="X73" s="1487"/>
      <c r="Y73" s="1487"/>
      <c r="Z73" s="1487"/>
      <c r="AA73" s="1487"/>
      <c r="AB73" s="1487"/>
      <c r="AC73" s="1487"/>
      <c r="AD73" s="1487"/>
      <c r="AE73" s="1487"/>
      <c r="AF73" s="1487"/>
      <c r="AG73" s="1487"/>
      <c r="AH73" s="1487"/>
      <c r="AI73" s="1487"/>
      <c r="AJ73" s="1487"/>
      <c r="AK73" s="1487"/>
      <c r="AL73" s="1487"/>
      <c r="AM73" s="1487"/>
      <c r="AN73" s="1487"/>
      <c r="AO73" s="1487"/>
      <c r="AP73" s="1487"/>
      <c r="AQ73" s="1487"/>
      <c r="AR73" s="1487"/>
      <c r="AS73" s="1487"/>
      <c r="AT73" s="1487"/>
      <c r="AU73" s="15"/>
      <c r="AV73" s="15"/>
      <c r="AW73" s="15"/>
      <c r="AX73" s="15"/>
      <c r="AY73" s="15"/>
      <c r="AZ73" s="15"/>
      <c r="BD73" s="1024" t="s">
        <v>744</v>
      </c>
      <c r="BE73" s="1026">
        <f ca="1">'Points System'!AF806</f>
        <v>20</v>
      </c>
    </row>
    <row r="74" spans="1:57" ht="13.2" customHeight="1">
      <c r="A74" s="1132"/>
      <c r="C74" s="1132"/>
      <c r="D74" s="1132"/>
      <c r="E74" s="1132"/>
      <c r="F74" s="1132"/>
      <c r="G74" s="1132"/>
      <c r="H74" s="1132"/>
      <c r="I74" s="1132"/>
      <c r="J74" s="1132"/>
      <c r="K74" s="1132"/>
      <c r="L74" s="1132"/>
      <c r="M74" s="1132"/>
      <c r="N74" s="1132"/>
      <c r="O74" s="1132"/>
      <c r="P74" s="1132"/>
      <c r="Q74" s="1132"/>
      <c r="R74" s="1132"/>
      <c r="S74" s="1132"/>
      <c r="T74" s="1132"/>
      <c r="U74" s="1132"/>
      <c r="V74" s="1132"/>
      <c r="W74" s="1132"/>
      <c r="X74" s="1132"/>
      <c r="Y74" s="1132"/>
      <c r="Z74" s="1132"/>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25" t="s">
        <v>745</v>
      </c>
      <c r="BE74" s="1026">
        <f>'Points System'!AF807</f>
        <v>10</v>
      </c>
    </row>
    <row r="75" spans="1:57" ht="13.2" customHeight="1">
      <c r="A75" s="1494" t="s">
        <v>746</v>
      </c>
      <c r="B75" s="1494"/>
      <c r="C75" s="1494"/>
      <c r="D75" s="1494"/>
      <c r="E75" s="1494"/>
      <c r="F75" s="1494"/>
      <c r="G75" s="1494"/>
      <c r="H75" s="1494"/>
      <c r="I75" s="1494"/>
      <c r="J75" s="1494"/>
      <c r="K75" s="1494"/>
      <c r="L75" s="1494"/>
      <c r="M75" s="1494"/>
      <c r="N75" s="1494"/>
      <c r="O75" s="1494"/>
      <c r="P75" s="1494"/>
      <c r="Q75" s="1494"/>
      <c r="R75" s="1494"/>
      <c r="S75" s="1494"/>
      <c r="T75" s="1494"/>
      <c r="U75" s="1494"/>
      <c r="V75" s="1494"/>
      <c r="W75" s="1494"/>
      <c r="X75" s="1494"/>
      <c r="Y75" s="1494"/>
      <c r="Z75" s="1494"/>
      <c r="AA75" s="1494"/>
      <c r="AB75" s="1494"/>
      <c r="AC75" s="1494"/>
      <c r="AD75" s="1494"/>
      <c r="AE75" s="1494"/>
      <c r="AF75" s="1494"/>
      <c r="AG75" s="1494"/>
      <c r="AH75" s="1494"/>
      <c r="AI75" s="1494"/>
      <c r="AJ75" s="1494"/>
      <c r="AK75" s="1494"/>
      <c r="AL75" s="1494"/>
      <c r="AM75" s="1494"/>
      <c r="AN75" s="1494"/>
      <c r="AO75" s="1494"/>
      <c r="AP75" s="1494"/>
      <c r="AQ75" s="1494"/>
      <c r="AR75" s="1494"/>
      <c r="AS75" s="1494"/>
      <c r="AT75" s="1494"/>
      <c r="AU75" s="15"/>
      <c r="AV75" s="15"/>
      <c r="AW75" s="15"/>
      <c r="AX75" s="15"/>
      <c r="AY75" s="15"/>
      <c r="AZ75" s="15"/>
      <c r="BD75" s="1024" t="s">
        <v>747</v>
      </c>
      <c r="BE75" s="1026">
        <f>'Points System'!AF808</f>
        <v>10</v>
      </c>
    </row>
    <row r="76" spans="1:57" ht="13.2" customHeight="1">
      <c r="A76" s="1494"/>
      <c r="B76" s="1494"/>
      <c r="C76" s="1494"/>
      <c r="D76" s="1494"/>
      <c r="E76" s="1494"/>
      <c r="F76" s="1494"/>
      <c r="G76" s="1494"/>
      <c r="H76" s="1494"/>
      <c r="I76" s="1494"/>
      <c r="J76" s="1494"/>
      <c r="K76" s="1494"/>
      <c r="L76" s="1494"/>
      <c r="M76" s="1494"/>
      <c r="N76" s="1494"/>
      <c r="O76" s="1494"/>
      <c r="P76" s="1494"/>
      <c r="Q76" s="1494"/>
      <c r="R76" s="1494"/>
      <c r="S76" s="1494"/>
      <c r="T76" s="1494"/>
      <c r="U76" s="1494"/>
      <c r="V76" s="1494"/>
      <c r="W76" s="1494"/>
      <c r="X76" s="1494"/>
      <c r="Y76" s="1494"/>
      <c r="Z76" s="1494"/>
      <c r="AA76" s="1494"/>
      <c r="AB76" s="1494"/>
      <c r="AC76" s="1494"/>
      <c r="AD76" s="1494"/>
      <c r="AE76" s="1494"/>
      <c r="AF76" s="1494"/>
      <c r="AG76" s="1494"/>
      <c r="AH76" s="1494"/>
      <c r="AI76" s="1494"/>
      <c r="AJ76" s="1494"/>
      <c r="AK76" s="1494"/>
      <c r="AL76" s="1494"/>
      <c r="AM76" s="1494"/>
      <c r="AN76" s="1494"/>
      <c r="AO76" s="1494"/>
      <c r="AP76" s="1494"/>
      <c r="AQ76" s="1494"/>
      <c r="AR76" s="1494"/>
      <c r="AS76" s="1494"/>
      <c r="AT76" s="1494"/>
      <c r="AU76" s="15"/>
      <c r="AV76" s="15"/>
      <c r="AW76" s="15"/>
      <c r="AX76" s="15"/>
      <c r="AY76" s="15"/>
      <c r="AZ76" s="13"/>
      <c r="BD76" s="1025" t="s">
        <v>748</v>
      </c>
      <c r="BE76" s="1026">
        <f>'Points System'!AF811</f>
        <v>10</v>
      </c>
    </row>
    <row r="77" spans="1:57" ht="13.2" customHeight="1">
      <c r="A77" s="1494"/>
      <c r="B77" s="1494"/>
      <c r="C77" s="1494"/>
      <c r="D77" s="1494"/>
      <c r="E77" s="1494"/>
      <c r="F77" s="1494"/>
      <c r="G77" s="1494"/>
      <c r="H77" s="1494"/>
      <c r="I77" s="1494"/>
      <c r="J77" s="1494"/>
      <c r="K77" s="1494"/>
      <c r="L77" s="1494"/>
      <c r="M77" s="1494"/>
      <c r="N77" s="1494"/>
      <c r="O77" s="1494"/>
      <c r="P77" s="1494"/>
      <c r="Q77" s="1494"/>
      <c r="R77" s="1494"/>
      <c r="S77" s="1494"/>
      <c r="T77" s="1494"/>
      <c r="U77" s="1494"/>
      <c r="V77" s="1494"/>
      <c r="W77" s="1494"/>
      <c r="X77" s="1494"/>
      <c r="Y77" s="1494"/>
      <c r="Z77" s="1494"/>
      <c r="AA77" s="1494"/>
      <c r="AB77" s="1494"/>
      <c r="AC77" s="1494"/>
      <c r="AD77" s="1494"/>
      <c r="AE77" s="1494"/>
      <c r="AF77" s="1494"/>
      <c r="AG77" s="1494"/>
      <c r="AH77" s="1494"/>
      <c r="AI77" s="1494"/>
      <c r="AJ77" s="1494"/>
      <c r="AK77" s="1494"/>
      <c r="AL77" s="1494"/>
      <c r="AM77" s="1494"/>
      <c r="AN77" s="1494"/>
      <c r="AO77" s="1494"/>
      <c r="AP77" s="1494"/>
      <c r="AQ77" s="1494"/>
      <c r="AR77" s="1494"/>
      <c r="AS77" s="1494"/>
      <c r="AT77" s="1494"/>
      <c r="AU77" s="15"/>
      <c r="AV77" s="15"/>
      <c r="AW77" s="15"/>
      <c r="AX77" s="15"/>
      <c r="AY77" s="15"/>
      <c r="AZ77" s="13"/>
      <c r="BD77" s="1024" t="s">
        <v>749</v>
      </c>
      <c r="BE77" s="1026">
        <f>'Points System'!AF812</f>
        <v>8</v>
      </c>
    </row>
    <row r="78" spans="1:57" ht="13.2" customHeight="1">
      <c r="C78" s="1132"/>
      <c r="D78" s="1132"/>
      <c r="E78" s="1132"/>
      <c r="F78" s="1132"/>
      <c r="G78" s="1132"/>
      <c r="H78" s="1132"/>
      <c r="I78" s="1132"/>
      <c r="J78" s="1132"/>
      <c r="K78" s="1132"/>
      <c r="L78" s="1132"/>
      <c r="M78" s="1132"/>
      <c r="N78" s="1132"/>
      <c r="O78" s="1132"/>
      <c r="P78" s="1132"/>
      <c r="Q78" s="1132"/>
      <c r="R78" s="1132"/>
      <c r="S78" s="1132"/>
      <c r="T78" s="1132"/>
      <c r="U78" s="1132"/>
      <c r="V78" s="1132"/>
      <c r="W78" s="1132"/>
      <c r="X78" s="1132"/>
      <c r="Y78" s="1132"/>
      <c r="Z78" s="1132"/>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25" t="s">
        <v>750</v>
      </c>
      <c r="BE78" s="1026">
        <f>'Points System'!AF814</f>
        <v>10</v>
      </c>
    </row>
    <row r="79" spans="1:57" ht="13.2" customHeight="1">
      <c r="A79" s="1224" t="s">
        <v>751</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5"/>
      <c r="AV79" s="15"/>
      <c r="AW79" s="15"/>
      <c r="AX79" s="15"/>
      <c r="AY79" s="15"/>
      <c r="AZ79" s="15"/>
      <c r="BD79" s="1024" t="s">
        <v>752</v>
      </c>
      <c r="BE79" s="1026">
        <f>'Points System'!AF815</f>
        <v>10</v>
      </c>
    </row>
    <row r="80" spans="1:57" ht="13.2"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5"/>
      <c r="AV80" s="15"/>
      <c r="AW80" s="15"/>
      <c r="AX80" s="15"/>
      <c r="AY80" s="15"/>
      <c r="AZ80" s="15"/>
      <c r="BD80" s="1025" t="s">
        <v>753</v>
      </c>
      <c r="BE80" s="1026">
        <f>'Points System'!AF817</f>
        <v>10</v>
      </c>
    </row>
    <row r="81" spans="1:57" ht="13.2"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5"/>
      <c r="AV81" s="15"/>
      <c r="AW81" s="15"/>
      <c r="AX81" s="15"/>
      <c r="AY81" s="15"/>
      <c r="AZ81" s="15"/>
      <c r="BD81" s="1024" t="s">
        <v>754</v>
      </c>
      <c r="BE81" s="1026">
        <f>'Points System'!AF818</f>
        <v>12</v>
      </c>
    </row>
    <row r="82" spans="1:57" ht="13.2" customHeight="1">
      <c r="A82" s="1132"/>
      <c r="C82" s="1132"/>
      <c r="D82" s="1132"/>
      <c r="E82" s="1132"/>
      <c r="F82" s="1132"/>
      <c r="G82" s="1132"/>
      <c r="H82" s="1132"/>
      <c r="I82" s="1132"/>
      <c r="J82" s="1132"/>
      <c r="K82" s="1132"/>
      <c r="L82" s="1132"/>
      <c r="M82" s="1132"/>
      <c r="N82" s="1132"/>
      <c r="O82" s="1132"/>
      <c r="P82" s="1132"/>
      <c r="Q82" s="1132"/>
      <c r="R82" s="1132"/>
      <c r="S82" s="1132"/>
      <c r="T82" s="1132"/>
      <c r="U82" s="1132"/>
      <c r="V82" s="1132"/>
      <c r="W82" s="1132"/>
      <c r="X82" s="1132"/>
      <c r="Y82" s="1132"/>
      <c r="Z82" s="1132"/>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25" t="s">
        <v>755</v>
      </c>
      <c r="BE82" s="1026">
        <f>'Points System'!AF819</f>
        <v>10</v>
      </c>
    </row>
    <row r="83" spans="1:57" ht="13.2" customHeight="1">
      <c r="A83" s="1224" t="s">
        <v>756</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5"/>
      <c r="AV83" s="15"/>
      <c r="AW83" s="15"/>
      <c r="AX83" s="15"/>
      <c r="AY83" s="15"/>
      <c r="AZ83" s="15"/>
      <c r="BD83" s="1024" t="s">
        <v>757</v>
      </c>
      <c r="BE83" s="1030">
        <f>'Tie Breaker'!H5</f>
        <v>0.76042191326958308</v>
      </c>
    </row>
    <row r="84" spans="1:57" ht="13.2"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5"/>
      <c r="AV84" s="15"/>
      <c r="AW84" s="15"/>
      <c r="AX84" s="15"/>
      <c r="AY84" s="15"/>
      <c r="AZ84" s="15"/>
      <c r="BD84" s="1025" t="s">
        <v>758</v>
      </c>
      <c r="BE84" s="1026" t="str">
        <f>Application!O153</f>
        <v>City of Mountain View</v>
      </c>
    </row>
    <row r="85" spans="1:57" ht="13.2" customHeight="1">
      <c r="C85" s="1132"/>
      <c r="D85" s="1132"/>
      <c r="E85" s="1132"/>
      <c r="F85" s="1132"/>
      <c r="G85" s="1132"/>
      <c r="H85" s="1132"/>
      <c r="I85" s="1132"/>
      <c r="J85" s="1132"/>
      <c r="K85" s="1132"/>
      <c r="L85" s="1132"/>
      <c r="M85" s="1132"/>
      <c r="N85" s="1132"/>
      <c r="O85" s="1132"/>
      <c r="P85" s="1132"/>
      <c r="Q85" s="1132"/>
      <c r="R85" s="1132"/>
      <c r="S85" s="1132"/>
      <c r="T85" s="1132"/>
      <c r="U85" s="1132"/>
      <c r="V85" s="1132"/>
      <c r="W85" s="1132"/>
      <c r="X85" s="1132"/>
      <c r="Y85" s="1132"/>
      <c r="Z85" s="1132"/>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4" t="s">
        <v>759</v>
      </c>
      <c r="BE85" s="1026" t="str">
        <f>Application!O154</f>
        <v>Ms. Vera Gill</v>
      </c>
    </row>
    <row r="86" spans="1:57" ht="13.2" customHeight="1">
      <c r="A86" s="1224" t="s">
        <v>760</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5"/>
      <c r="AV86" s="15"/>
      <c r="AW86" s="15"/>
      <c r="AX86" s="15"/>
      <c r="AY86" s="15"/>
      <c r="AZ86" s="15"/>
      <c r="BD86" s="1025" t="s">
        <v>761</v>
      </c>
      <c r="BE86" s="1026" t="str">
        <f>Application!O155</f>
        <v xml:space="preserve">Project Manager </v>
      </c>
    </row>
    <row r="87" spans="1:57" ht="13.2"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5"/>
      <c r="AV87" s="15"/>
      <c r="AW87" s="15"/>
      <c r="AX87" s="15"/>
      <c r="AY87" s="15"/>
      <c r="AZ87" s="15"/>
      <c r="BD87" s="1024" t="s">
        <v>762</v>
      </c>
      <c r="BE87" s="1026" t="str">
        <f>Application!O156</f>
        <v>500 Castro St</v>
      </c>
    </row>
    <row r="88" spans="1:57" ht="13.2" customHeight="1">
      <c r="A88" s="1132"/>
      <c r="C88" s="1132"/>
      <c r="D88" s="1132"/>
      <c r="E88" s="1132"/>
      <c r="F88" s="1132"/>
      <c r="G88" s="1132"/>
      <c r="H88" s="1132"/>
      <c r="I88" s="1132"/>
      <c r="J88" s="1132"/>
      <c r="K88" s="1132"/>
      <c r="L88" s="1132"/>
      <c r="M88" s="1132"/>
      <c r="N88" s="1132"/>
      <c r="O88" s="1132"/>
      <c r="P88" s="1132"/>
      <c r="Q88" s="1132"/>
      <c r="R88" s="1132"/>
      <c r="S88" s="1132"/>
      <c r="T88" s="1132"/>
      <c r="U88" s="1132"/>
      <c r="V88" s="1132"/>
      <c r="W88" s="1132"/>
      <c r="X88" s="1132"/>
      <c r="Y88" s="1132"/>
      <c r="Z88" s="1132"/>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25" t="s">
        <v>763</v>
      </c>
      <c r="BE88" s="1026" t="str">
        <f>Application!O157</f>
        <v>Mountain View</v>
      </c>
    </row>
    <row r="89" spans="1:57" ht="13.2" customHeight="1">
      <c r="A89" s="1502" t="s">
        <v>764</v>
      </c>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1502"/>
      <c r="AJ89" s="1502"/>
      <c r="AK89" s="1502"/>
      <c r="AL89" s="1502"/>
      <c r="AM89" s="1502"/>
      <c r="AN89" s="1502"/>
      <c r="AO89" s="1502"/>
      <c r="AP89" s="1502"/>
      <c r="AQ89" s="1502"/>
      <c r="AR89" s="1502"/>
      <c r="AS89" s="1502"/>
      <c r="AT89" s="1502"/>
      <c r="AU89" s="13"/>
      <c r="AV89" s="13"/>
      <c r="AW89" s="13"/>
      <c r="AX89" s="13"/>
      <c r="AY89" s="13"/>
      <c r="AZ89" s="15"/>
      <c r="BD89" s="1024" t="s">
        <v>765</v>
      </c>
      <c r="BE89" s="1026">
        <f>Application!O158</f>
        <v>94041</v>
      </c>
    </row>
    <row r="90" spans="1:57" ht="13.2" customHeight="1">
      <c r="A90" s="1502"/>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1502"/>
      <c r="AJ90" s="1502"/>
      <c r="AK90" s="1502"/>
      <c r="AL90" s="1502"/>
      <c r="AM90" s="1502"/>
      <c r="AN90" s="1502"/>
      <c r="AO90" s="1502"/>
      <c r="AP90" s="1502"/>
      <c r="AQ90" s="1502"/>
      <c r="AR90" s="1502"/>
      <c r="AS90" s="1502"/>
      <c r="AT90" s="1502"/>
      <c r="AU90" s="13"/>
      <c r="AV90" s="13"/>
      <c r="AW90" s="13"/>
      <c r="AX90" s="13"/>
      <c r="AY90" s="13"/>
      <c r="AZ90" s="15"/>
      <c r="BD90" s="1025" t="s">
        <v>766</v>
      </c>
      <c r="BE90" s="1026" t="str">
        <f>Application!H16</f>
        <v>334 San Antonio LP</v>
      </c>
    </row>
    <row r="91" spans="1:57" ht="13.2" customHeight="1">
      <c r="A91" s="1132"/>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4" t="s">
        <v>767</v>
      </c>
      <c r="BE91" s="1026" t="str">
        <f>Application!M233</f>
        <v>4915 Gambier St</v>
      </c>
    </row>
    <row r="92" spans="1:57" ht="13.2" customHeight="1">
      <c r="A92" s="1494" t="s">
        <v>768</v>
      </c>
      <c r="B92" s="1494"/>
      <c r="C92" s="1494"/>
      <c r="D92" s="1494"/>
      <c r="E92" s="1494"/>
      <c r="F92" s="1494"/>
      <c r="G92" s="1494"/>
      <c r="H92" s="1494"/>
      <c r="I92" s="1494"/>
      <c r="J92" s="1494"/>
      <c r="K92" s="1494"/>
      <c r="L92" s="1494"/>
      <c r="M92" s="1494"/>
      <c r="N92" s="1494"/>
      <c r="O92" s="1494"/>
      <c r="P92" s="1494"/>
      <c r="Q92" s="1494"/>
      <c r="R92" s="1494"/>
      <c r="S92" s="1494"/>
      <c r="T92" s="1494"/>
      <c r="U92" s="1494"/>
      <c r="V92" s="1494"/>
      <c r="W92" s="1494"/>
      <c r="X92" s="1494"/>
      <c r="Y92" s="1494"/>
      <c r="Z92" s="1494"/>
      <c r="AA92" s="1494"/>
      <c r="AB92" s="1494"/>
      <c r="AC92" s="1494"/>
      <c r="AD92" s="1494"/>
      <c r="AE92" s="1494"/>
      <c r="AF92" s="1494"/>
      <c r="AG92" s="1494"/>
      <c r="AH92" s="1494"/>
      <c r="AI92" s="1494"/>
      <c r="AJ92" s="1494"/>
      <c r="AK92" s="1494"/>
      <c r="AL92" s="1494"/>
      <c r="AM92" s="1494"/>
      <c r="AN92" s="1494"/>
      <c r="AO92" s="1494"/>
      <c r="AP92" s="1494"/>
      <c r="AQ92" s="1494"/>
      <c r="AR92" s="1494"/>
      <c r="AS92" s="1494"/>
      <c r="AT92" s="1494"/>
      <c r="AU92" s="15"/>
      <c r="AV92" s="15"/>
      <c r="AW92" s="15"/>
      <c r="AX92" s="15"/>
      <c r="AY92" s="15"/>
      <c r="AZ92" s="15"/>
      <c r="BD92" s="1025" t="s">
        <v>769</v>
      </c>
      <c r="BE92" s="1026" t="str">
        <f>Application!M234</f>
        <v>Los Angeles</v>
      </c>
    </row>
    <row r="93" spans="1:57" ht="13.2" customHeight="1">
      <c r="A93" s="1494"/>
      <c r="B93" s="1494"/>
      <c r="C93" s="1494"/>
      <c r="D93" s="1494"/>
      <c r="E93" s="1494"/>
      <c r="F93" s="1494"/>
      <c r="G93" s="1494"/>
      <c r="H93" s="1494"/>
      <c r="I93" s="1494"/>
      <c r="J93" s="1494"/>
      <c r="K93" s="1494"/>
      <c r="L93" s="1494"/>
      <c r="M93" s="1494"/>
      <c r="N93" s="1494"/>
      <c r="O93" s="1494"/>
      <c r="P93" s="1494"/>
      <c r="Q93" s="1494"/>
      <c r="R93" s="1494"/>
      <c r="S93" s="1494"/>
      <c r="T93" s="1494"/>
      <c r="U93" s="1494"/>
      <c r="V93" s="1494"/>
      <c r="W93" s="1494"/>
      <c r="X93" s="1494"/>
      <c r="Y93" s="1494"/>
      <c r="Z93" s="1494"/>
      <c r="AA93" s="1494"/>
      <c r="AB93" s="1494"/>
      <c r="AC93" s="1494"/>
      <c r="AD93" s="1494"/>
      <c r="AE93" s="1494"/>
      <c r="AF93" s="1494"/>
      <c r="AG93" s="1494"/>
      <c r="AH93" s="1494"/>
      <c r="AI93" s="1494"/>
      <c r="AJ93" s="1494"/>
      <c r="AK93" s="1494"/>
      <c r="AL93" s="1494"/>
      <c r="AM93" s="1494"/>
      <c r="AN93" s="1494"/>
      <c r="AO93" s="1494"/>
      <c r="AP93" s="1494"/>
      <c r="AQ93" s="1494"/>
      <c r="AR93" s="1494"/>
      <c r="AS93" s="1494"/>
      <c r="AT93" s="1494"/>
      <c r="AU93" s="15"/>
      <c r="AV93" s="15"/>
      <c r="AW93" s="15"/>
      <c r="AX93" s="15"/>
      <c r="AY93" s="15"/>
      <c r="AZ93" s="15"/>
      <c r="BD93" s="1024" t="s">
        <v>770</v>
      </c>
      <c r="BE93" s="1026" t="str">
        <f>Application!W234</f>
        <v>CA</v>
      </c>
    </row>
    <row r="94" spans="1:57" ht="13.2" customHeight="1">
      <c r="A94" s="1494"/>
      <c r="B94" s="1494"/>
      <c r="C94" s="1494"/>
      <c r="D94" s="1494"/>
      <c r="E94" s="1494"/>
      <c r="F94" s="1494"/>
      <c r="G94" s="1494"/>
      <c r="H94" s="1494"/>
      <c r="I94" s="1494"/>
      <c r="J94" s="1494"/>
      <c r="K94" s="1494"/>
      <c r="L94" s="1494"/>
      <c r="M94" s="1494"/>
      <c r="N94" s="1494"/>
      <c r="O94" s="1494"/>
      <c r="P94" s="1494"/>
      <c r="Q94" s="1494"/>
      <c r="R94" s="1494"/>
      <c r="S94" s="1494"/>
      <c r="T94" s="1494"/>
      <c r="U94" s="1494"/>
      <c r="V94" s="1494"/>
      <c r="W94" s="1494"/>
      <c r="X94" s="1494"/>
      <c r="Y94" s="1494"/>
      <c r="Z94" s="1494"/>
      <c r="AA94" s="1494"/>
      <c r="AB94" s="1494"/>
      <c r="AC94" s="1494"/>
      <c r="AD94" s="1494"/>
      <c r="AE94" s="1494"/>
      <c r="AF94" s="1494"/>
      <c r="AG94" s="1494"/>
      <c r="AH94" s="1494"/>
      <c r="AI94" s="1494"/>
      <c r="AJ94" s="1494"/>
      <c r="AK94" s="1494"/>
      <c r="AL94" s="1494"/>
      <c r="AM94" s="1494"/>
      <c r="AN94" s="1494"/>
      <c r="AO94" s="1494"/>
      <c r="AP94" s="1494"/>
      <c r="AQ94" s="1494"/>
      <c r="AR94" s="1494"/>
      <c r="AS94" s="1494"/>
      <c r="AT94" s="1494"/>
      <c r="AU94" s="15"/>
      <c r="AV94" s="15"/>
      <c r="AW94" s="15"/>
      <c r="AX94" s="15"/>
      <c r="AY94" s="15"/>
      <c r="AZ94" s="15"/>
      <c r="BD94" s="1025" t="s">
        <v>771</v>
      </c>
      <c r="BE94" s="1026">
        <f>Application!AC234</f>
        <v>90032</v>
      </c>
    </row>
    <row r="95" spans="1:57" ht="13.2" customHeight="1">
      <c r="A95" s="1494"/>
      <c r="B95" s="1494"/>
      <c r="C95" s="1494"/>
      <c r="D95" s="1494"/>
      <c r="E95" s="1494"/>
      <c r="F95" s="1494"/>
      <c r="G95" s="1494"/>
      <c r="H95" s="1494"/>
      <c r="I95" s="1494"/>
      <c r="J95" s="1494"/>
      <c r="K95" s="1494"/>
      <c r="L95" s="1494"/>
      <c r="M95" s="1494"/>
      <c r="N95" s="1494"/>
      <c r="O95" s="1494"/>
      <c r="P95" s="1494"/>
      <c r="Q95" s="1494"/>
      <c r="R95" s="1494"/>
      <c r="S95" s="1494"/>
      <c r="T95" s="1494"/>
      <c r="U95" s="1494"/>
      <c r="V95" s="1494"/>
      <c r="W95" s="1494"/>
      <c r="X95" s="1494"/>
      <c r="Y95" s="1494"/>
      <c r="Z95" s="1494"/>
      <c r="AA95" s="1494"/>
      <c r="AB95" s="1494"/>
      <c r="AC95" s="1494"/>
      <c r="AD95" s="1494"/>
      <c r="AE95" s="1494"/>
      <c r="AF95" s="1494"/>
      <c r="AG95" s="1494"/>
      <c r="AH95" s="1494"/>
      <c r="AI95" s="1494"/>
      <c r="AJ95" s="1494"/>
      <c r="AK95" s="1494"/>
      <c r="AL95" s="1494"/>
      <c r="AM95" s="1494"/>
      <c r="AN95" s="1494"/>
      <c r="AO95" s="1494"/>
      <c r="AP95" s="1494"/>
      <c r="AQ95" s="1494"/>
      <c r="AR95" s="1494"/>
      <c r="AS95" s="1494"/>
      <c r="AT95" s="1494"/>
      <c r="AU95" s="15"/>
      <c r="AV95" s="15"/>
      <c r="AW95" s="15"/>
      <c r="AX95" s="15"/>
      <c r="AY95" s="15"/>
      <c r="AZ95" s="15"/>
      <c r="BD95" s="1024" t="s">
        <v>772</v>
      </c>
      <c r="BE95" s="1026" t="str">
        <f>Application!M235</f>
        <v>Michael Miller</v>
      </c>
    </row>
    <row r="96" spans="1:57" ht="13.2" customHeight="1">
      <c r="A96" s="1494"/>
      <c r="B96" s="1494"/>
      <c r="C96" s="1494"/>
      <c r="D96" s="1494"/>
      <c r="E96" s="1494"/>
      <c r="F96" s="1494"/>
      <c r="G96" s="1494"/>
      <c r="H96" s="1494"/>
      <c r="I96" s="1494"/>
      <c r="J96" s="1494"/>
      <c r="K96" s="1494"/>
      <c r="L96" s="1494"/>
      <c r="M96" s="1494"/>
      <c r="N96" s="1494"/>
      <c r="O96" s="1494"/>
      <c r="P96" s="1494"/>
      <c r="Q96" s="1494"/>
      <c r="R96" s="1494"/>
      <c r="S96" s="1494"/>
      <c r="T96" s="1494"/>
      <c r="U96" s="1494"/>
      <c r="V96" s="1494"/>
      <c r="W96" s="1494"/>
      <c r="X96" s="1494"/>
      <c r="Y96" s="1494"/>
      <c r="Z96" s="1494"/>
      <c r="AA96" s="1494"/>
      <c r="AB96" s="1494"/>
      <c r="AC96" s="1494"/>
      <c r="AD96" s="1494"/>
      <c r="AE96" s="1494"/>
      <c r="AF96" s="1494"/>
      <c r="AG96" s="1494"/>
      <c r="AH96" s="1494"/>
      <c r="AI96" s="1494"/>
      <c r="AJ96" s="1494"/>
      <c r="AK96" s="1494"/>
      <c r="AL96" s="1494"/>
      <c r="AM96" s="1494"/>
      <c r="AN96" s="1494"/>
      <c r="AO96" s="1494"/>
      <c r="AP96" s="1494"/>
      <c r="AQ96" s="1494"/>
      <c r="AR96" s="1494"/>
      <c r="AS96" s="1494"/>
      <c r="AT96" s="1494"/>
      <c r="AU96" s="15"/>
      <c r="AV96" s="15"/>
      <c r="AW96" s="15"/>
      <c r="AX96" s="15"/>
      <c r="AY96" s="15"/>
      <c r="AZ96" s="15"/>
      <c r="BD96" s="1025" t="s">
        <v>773</v>
      </c>
      <c r="BE96" s="1026" t="str">
        <f>Application!M237</f>
        <v>mike@boldcommunities.org</v>
      </c>
    </row>
    <row r="97" spans="1:57" ht="13.2" customHeight="1">
      <c r="A97" s="1494"/>
      <c r="B97" s="1494"/>
      <c r="C97" s="1494"/>
      <c r="D97" s="1494"/>
      <c r="E97" s="1494"/>
      <c r="F97" s="1494"/>
      <c r="G97" s="1494"/>
      <c r="H97" s="1494"/>
      <c r="I97" s="1494"/>
      <c r="J97" s="1494"/>
      <c r="K97" s="1494"/>
      <c r="L97" s="1494"/>
      <c r="M97" s="1494"/>
      <c r="N97" s="1494"/>
      <c r="O97" s="1494"/>
      <c r="P97" s="1494"/>
      <c r="Q97" s="1494"/>
      <c r="R97" s="1494"/>
      <c r="S97" s="1494"/>
      <c r="T97" s="1494"/>
      <c r="U97" s="1494"/>
      <c r="V97" s="1494"/>
      <c r="W97" s="1494"/>
      <c r="X97" s="1494"/>
      <c r="Y97" s="1494"/>
      <c r="Z97" s="1494"/>
      <c r="AA97" s="1494"/>
      <c r="AB97" s="1494"/>
      <c r="AC97" s="1494"/>
      <c r="AD97" s="1494"/>
      <c r="AE97" s="1494"/>
      <c r="AF97" s="1494"/>
      <c r="AG97" s="1494"/>
      <c r="AH97" s="1494"/>
      <c r="AI97" s="1494"/>
      <c r="AJ97" s="1494"/>
      <c r="AK97" s="1494"/>
      <c r="AL97" s="1494"/>
      <c r="AM97" s="1494"/>
      <c r="AN97" s="1494"/>
      <c r="AO97" s="1494"/>
      <c r="AP97" s="1494"/>
      <c r="AQ97" s="1494"/>
      <c r="AR97" s="1494"/>
      <c r="AS97" s="1494"/>
      <c r="AT97" s="1494"/>
      <c r="AU97" s="15"/>
      <c r="AV97" s="15"/>
      <c r="AW97" s="15"/>
      <c r="AX97" s="15"/>
      <c r="AY97" s="15"/>
      <c r="AZ97" s="15"/>
      <c r="BD97" s="1024" t="s">
        <v>774</v>
      </c>
      <c r="BE97" s="1026" t="str">
        <f>Application!M248</f>
        <v>mike@boldcommunities.org</v>
      </c>
    </row>
    <row r="98" spans="1:57" ht="13.2" customHeight="1">
      <c r="A98" s="1494"/>
      <c r="B98" s="1494"/>
      <c r="C98" s="1494"/>
      <c r="D98" s="1494"/>
      <c r="E98" s="1494"/>
      <c r="F98" s="1494"/>
      <c r="G98" s="1494"/>
      <c r="H98" s="1494"/>
      <c r="I98" s="1494"/>
      <c r="J98" s="1494"/>
      <c r="K98" s="1494"/>
      <c r="L98" s="1494"/>
      <c r="M98" s="1494"/>
      <c r="N98" s="1494"/>
      <c r="O98" s="1494"/>
      <c r="P98" s="1494"/>
      <c r="Q98" s="1494"/>
      <c r="R98" s="1494"/>
      <c r="S98" s="1494"/>
      <c r="T98" s="1494"/>
      <c r="U98" s="1494"/>
      <c r="V98" s="1494"/>
      <c r="W98" s="1494"/>
      <c r="X98" s="1494"/>
      <c r="Y98" s="1494"/>
      <c r="Z98" s="1494"/>
      <c r="AA98" s="1494"/>
      <c r="AB98" s="1494"/>
      <c r="AC98" s="1494"/>
      <c r="AD98" s="1494"/>
      <c r="AE98" s="1494"/>
      <c r="AF98" s="1494"/>
      <c r="AG98" s="1494"/>
      <c r="AH98" s="1494"/>
      <c r="AI98" s="1494"/>
      <c r="AJ98" s="1494"/>
      <c r="AK98" s="1494"/>
      <c r="AL98" s="1494"/>
      <c r="AM98" s="1494"/>
      <c r="AN98" s="1494"/>
      <c r="AO98" s="1494"/>
      <c r="AP98" s="1494"/>
      <c r="AQ98" s="1494"/>
      <c r="AR98" s="1494"/>
      <c r="AS98" s="1494"/>
      <c r="AT98" s="1494"/>
      <c r="AU98" s="15"/>
      <c r="AV98" s="15"/>
      <c r="AW98" s="15"/>
      <c r="AX98" s="15"/>
      <c r="AY98" s="15"/>
      <c r="AZ98" s="15"/>
      <c r="BD98" s="1025" t="s">
        <v>775</v>
      </c>
      <c r="BE98" s="1026" t="str">
        <f>Application!M256</f>
        <v>psalib@crpaffordable.com</v>
      </c>
    </row>
    <row r="99" spans="1:57" ht="13.2" customHeight="1">
      <c r="C99" s="1132"/>
      <c r="D99" s="1132"/>
      <c r="E99" s="1132"/>
      <c r="F99" s="1132"/>
      <c r="G99" s="1132"/>
      <c r="H99" s="1132"/>
      <c r="I99" s="1132"/>
      <c r="J99" s="1132"/>
      <c r="K99" s="1132"/>
      <c r="L99" s="1132"/>
      <c r="M99" s="1132"/>
      <c r="N99" s="1132"/>
      <c r="O99" s="1132"/>
      <c r="P99" s="1132"/>
      <c r="Q99" s="1132"/>
      <c r="R99" s="1132"/>
      <c r="S99" s="1132"/>
      <c r="T99" s="1132"/>
      <c r="U99" s="1132"/>
      <c r="V99" s="1132"/>
      <c r="W99" s="1132"/>
      <c r="X99" s="1132"/>
      <c r="Y99" s="1132"/>
      <c r="Z99" s="1132"/>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4" t="s">
        <v>776</v>
      </c>
      <c r="BE99" s="1026">
        <f>Application!M264</f>
        <v>0</v>
      </c>
    </row>
    <row r="100" spans="1:57" ht="13.2" customHeight="1">
      <c r="A100" s="1503" t="s">
        <v>777</v>
      </c>
      <c r="B100" s="1503"/>
      <c r="C100" s="1503"/>
      <c r="D100" s="1503"/>
      <c r="E100" s="1503"/>
      <c r="F100" s="1503"/>
      <c r="G100" s="1503"/>
      <c r="H100" s="1503"/>
      <c r="I100" s="1503"/>
      <c r="J100" s="1503"/>
      <c r="K100" s="1503"/>
      <c r="L100" s="1503"/>
      <c r="M100" s="1503"/>
      <c r="N100" s="1503"/>
      <c r="O100" s="1503"/>
      <c r="P100" s="1503"/>
      <c r="Q100" s="1503"/>
      <c r="R100" s="1503"/>
      <c r="S100" s="1503"/>
      <c r="T100" s="1503"/>
      <c r="U100" s="1503"/>
      <c r="V100" s="1503"/>
      <c r="W100" s="1503"/>
      <c r="X100" s="1503"/>
      <c r="Y100" s="1503"/>
      <c r="Z100" s="1503"/>
      <c r="AA100" s="1503"/>
      <c r="AB100" s="1503"/>
      <c r="AC100" s="1503"/>
      <c r="AD100" s="1503"/>
      <c r="AE100" s="1503"/>
      <c r="AF100" s="1503"/>
      <c r="AG100" s="1503"/>
      <c r="AH100" s="1503"/>
      <c r="AI100" s="1503"/>
      <c r="AJ100" s="1503"/>
      <c r="AK100" s="1503"/>
      <c r="AL100" s="1503"/>
      <c r="AM100" s="1503"/>
      <c r="AN100" s="1503"/>
      <c r="AO100" s="1503"/>
      <c r="AP100" s="1503"/>
      <c r="AQ100" s="1503"/>
      <c r="AR100" s="1503"/>
      <c r="AS100" s="1503"/>
      <c r="AT100" s="1503"/>
      <c r="AU100" s="15"/>
      <c r="AV100" s="15"/>
      <c r="AW100" s="15"/>
      <c r="AX100" s="15"/>
      <c r="AY100" s="15"/>
      <c r="AZ100" s="15"/>
      <c r="BD100" s="1025" t="s">
        <v>778</v>
      </c>
      <c r="BE100" s="1026" t="str">
        <f>Application!L279</f>
        <v>ssterneck@crpaffordable.com</v>
      </c>
    </row>
    <row r="101" spans="1:57" ht="13.2" customHeight="1">
      <c r="A101" s="1503"/>
      <c r="B101" s="1503"/>
      <c r="C101" s="1503"/>
      <c r="D101" s="1503"/>
      <c r="E101" s="1503"/>
      <c r="F101" s="1503"/>
      <c r="G101" s="1503"/>
      <c r="H101" s="1503"/>
      <c r="I101" s="1503"/>
      <c r="J101" s="1503"/>
      <c r="K101" s="1503"/>
      <c r="L101" s="1503"/>
      <c r="M101" s="1503"/>
      <c r="N101" s="1503"/>
      <c r="O101" s="1503"/>
      <c r="P101" s="1503"/>
      <c r="Q101" s="1503"/>
      <c r="R101" s="1503"/>
      <c r="S101" s="1503"/>
      <c r="T101" s="1503"/>
      <c r="U101" s="1503"/>
      <c r="V101" s="1503"/>
      <c r="W101" s="1503"/>
      <c r="X101" s="1503"/>
      <c r="Y101" s="1503"/>
      <c r="Z101" s="1503"/>
      <c r="AA101" s="1503"/>
      <c r="AB101" s="1503"/>
      <c r="AC101" s="1503"/>
      <c r="AD101" s="1503"/>
      <c r="AE101" s="1503"/>
      <c r="AF101" s="1503"/>
      <c r="AG101" s="1503"/>
      <c r="AH101" s="1503"/>
      <c r="AI101" s="1503"/>
      <c r="AJ101" s="1503"/>
      <c r="AK101" s="1503"/>
      <c r="AL101" s="1503"/>
      <c r="AM101" s="1503"/>
      <c r="AN101" s="1503"/>
      <c r="AO101" s="1503"/>
      <c r="AP101" s="1503"/>
      <c r="AQ101" s="1503"/>
      <c r="AR101" s="1503"/>
      <c r="AS101" s="1503"/>
      <c r="AT101" s="1503"/>
      <c r="AU101" s="15"/>
      <c r="AV101" s="15"/>
      <c r="AW101" s="15"/>
      <c r="AX101" s="15"/>
      <c r="AY101" s="15"/>
      <c r="AZ101" s="15"/>
      <c r="BD101" s="2" t="s">
        <v>779</v>
      </c>
      <c r="BE101">
        <f>'Sources and Uses Budget'!C105</f>
        <v>77153162</v>
      </c>
    </row>
    <row r="102" spans="1:57" ht="13.2" customHeight="1">
      <c r="A102" s="1503"/>
      <c r="B102" s="1503"/>
      <c r="C102" s="1503"/>
      <c r="D102" s="1503"/>
      <c r="E102" s="1503"/>
      <c r="F102" s="1503"/>
      <c r="G102" s="1503"/>
      <c r="H102" s="1503"/>
      <c r="I102" s="1503"/>
      <c r="J102" s="1503"/>
      <c r="K102" s="1503"/>
      <c r="L102" s="1503"/>
      <c r="M102" s="1503"/>
      <c r="N102" s="1503"/>
      <c r="O102" s="1503"/>
      <c r="P102" s="1503"/>
      <c r="Q102" s="1503"/>
      <c r="R102" s="1503"/>
      <c r="S102" s="1503"/>
      <c r="T102" s="1503"/>
      <c r="U102" s="1503"/>
      <c r="V102" s="1503"/>
      <c r="W102" s="1503"/>
      <c r="X102" s="1503"/>
      <c r="Y102" s="1503"/>
      <c r="Z102" s="1503"/>
      <c r="AA102" s="1503"/>
      <c r="AB102" s="1503"/>
      <c r="AC102" s="1503"/>
      <c r="AD102" s="1503"/>
      <c r="AE102" s="1503"/>
      <c r="AF102" s="1503"/>
      <c r="AG102" s="1503"/>
      <c r="AH102" s="1503"/>
      <c r="AI102" s="1503"/>
      <c r="AJ102" s="1503"/>
      <c r="AK102" s="1503"/>
      <c r="AL102" s="1503"/>
      <c r="AM102" s="1503"/>
      <c r="AN102" s="1503"/>
      <c r="AO102" s="1503"/>
      <c r="AP102" s="1503"/>
      <c r="AQ102" s="1503"/>
      <c r="AR102" s="1503"/>
      <c r="AS102" s="1503"/>
      <c r="AT102" s="1503"/>
      <c r="AU102" s="15"/>
      <c r="AV102" s="15"/>
      <c r="AW102" s="15"/>
      <c r="AX102" s="15"/>
      <c r="AY102" s="15"/>
      <c r="AZ102" s="15"/>
      <c r="BD102" s="2" t="s">
        <v>780</v>
      </c>
      <c r="BE102" t="b">
        <f>T197="Yes"</f>
        <v>0</v>
      </c>
    </row>
    <row r="103" spans="1:57" ht="13.2" customHeight="1">
      <c r="A103" s="1503"/>
      <c r="B103" s="1503"/>
      <c r="C103" s="1503"/>
      <c r="D103" s="1503"/>
      <c r="E103" s="1503"/>
      <c r="F103" s="1503"/>
      <c r="G103" s="1503"/>
      <c r="H103" s="1503"/>
      <c r="I103" s="1503"/>
      <c r="J103" s="1503"/>
      <c r="K103" s="1503"/>
      <c r="L103" s="1503"/>
      <c r="M103" s="1503"/>
      <c r="N103" s="1503"/>
      <c r="O103" s="1503"/>
      <c r="P103" s="1503"/>
      <c r="Q103" s="1503"/>
      <c r="R103" s="1503"/>
      <c r="S103" s="1503"/>
      <c r="T103" s="1503"/>
      <c r="U103" s="1503"/>
      <c r="V103" s="1503"/>
      <c r="W103" s="1503"/>
      <c r="X103" s="1503"/>
      <c r="Y103" s="1503"/>
      <c r="Z103" s="1503"/>
      <c r="AA103" s="1503"/>
      <c r="AB103" s="1503"/>
      <c r="AC103" s="1503"/>
      <c r="AD103" s="1503"/>
      <c r="AE103" s="1503"/>
      <c r="AF103" s="1503"/>
      <c r="AG103" s="1503"/>
      <c r="AH103" s="1503"/>
      <c r="AI103" s="1503"/>
      <c r="AJ103" s="1503"/>
      <c r="AK103" s="1503"/>
      <c r="AL103" s="1503"/>
      <c r="AM103" s="1503"/>
      <c r="AN103" s="1503"/>
      <c r="AO103" s="1503"/>
      <c r="AP103" s="1503"/>
      <c r="AQ103" s="1503"/>
      <c r="AR103" s="1503"/>
      <c r="AS103" s="1503"/>
      <c r="AT103" s="1503"/>
      <c r="AU103" s="15"/>
      <c r="AV103" s="15"/>
      <c r="AW103" s="15"/>
      <c r="AX103" s="15"/>
      <c r="AY103" s="15"/>
      <c r="BD103" t="s">
        <v>781</v>
      </c>
      <c r="BE103" s="1026" t="b">
        <f>T199="Yes"</f>
        <v>0</v>
      </c>
    </row>
    <row r="104" spans="1:57" ht="13.2" customHeight="1">
      <c r="C104" s="1132"/>
      <c r="D104" s="1132"/>
      <c r="E104" s="1132"/>
      <c r="F104" s="1132"/>
      <c r="G104" s="1132"/>
      <c r="H104" s="1132"/>
      <c r="I104" s="1132"/>
      <c r="J104" s="1132"/>
      <c r="K104" s="1132"/>
      <c r="L104" s="1132"/>
      <c r="M104" s="1132"/>
      <c r="N104" s="1132"/>
      <c r="O104" s="1132"/>
      <c r="P104" s="1132"/>
      <c r="Q104" s="1132"/>
      <c r="R104" s="1132"/>
      <c r="S104" s="1132"/>
      <c r="T104" s="1132"/>
      <c r="U104" s="1132"/>
      <c r="V104" s="1132"/>
      <c r="W104" s="1132"/>
      <c r="X104" s="1132"/>
      <c r="Y104" s="1132"/>
      <c r="Z104" s="1132"/>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3.2" customHeight="1">
      <c r="A105" s="1503" t="s">
        <v>782</v>
      </c>
      <c r="B105" s="1503"/>
      <c r="C105" s="1503"/>
      <c r="D105" s="1503"/>
      <c r="E105" s="1503"/>
      <c r="F105" s="1503"/>
      <c r="G105" s="1503"/>
      <c r="H105" s="1503"/>
      <c r="I105" s="1503"/>
      <c r="J105" s="1503"/>
      <c r="K105" s="1503"/>
      <c r="L105" s="1503"/>
      <c r="M105" s="1503"/>
      <c r="N105" s="1503"/>
      <c r="O105" s="1503"/>
      <c r="P105" s="1503"/>
      <c r="Q105" s="1503"/>
      <c r="R105" s="1503"/>
      <c r="S105" s="1503"/>
      <c r="T105" s="1503"/>
      <c r="U105" s="1503"/>
      <c r="V105" s="1503"/>
      <c r="W105" s="1503"/>
      <c r="X105" s="1503"/>
      <c r="Y105" s="1503"/>
      <c r="Z105" s="1503"/>
      <c r="AA105" s="1503"/>
      <c r="AB105" s="1503"/>
      <c r="AC105" s="1503"/>
      <c r="AD105" s="1503"/>
      <c r="AE105" s="1503"/>
      <c r="AF105" s="1503"/>
      <c r="AG105" s="1503"/>
      <c r="AH105" s="1503"/>
      <c r="AI105" s="1503"/>
      <c r="AJ105" s="1503"/>
      <c r="AK105" s="1503"/>
      <c r="AL105" s="1503"/>
      <c r="AM105" s="1503"/>
      <c r="AN105" s="1503"/>
      <c r="AO105" s="1503"/>
      <c r="AP105" s="1503"/>
      <c r="AQ105" s="1503"/>
      <c r="AR105" s="1503"/>
      <c r="AS105" s="1503"/>
      <c r="AT105" s="1503"/>
      <c r="AU105" s="15"/>
      <c r="AV105" s="15"/>
      <c r="AW105" s="15"/>
      <c r="AX105" s="15"/>
      <c r="AY105" s="15"/>
    </row>
    <row r="106" spans="1:57" ht="13.2" customHeight="1">
      <c r="A106" s="1503"/>
      <c r="B106" s="1503"/>
      <c r="C106" s="1503"/>
      <c r="D106" s="1503"/>
      <c r="E106" s="1503"/>
      <c r="F106" s="1503"/>
      <c r="G106" s="1503"/>
      <c r="H106" s="1503"/>
      <c r="I106" s="1503"/>
      <c r="J106" s="1503"/>
      <c r="K106" s="1503"/>
      <c r="L106" s="1503"/>
      <c r="M106" s="1503"/>
      <c r="N106" s="1503"/>
      <c r="O106" s="1503"/>
      <c r="P106" s="1503"/>
      <c r="Q106" s="1503"/>
      <c r="R106" s="1503"/>
      <c r="S106" s="1503"/>
      <c r="T106" s="1503"/>
      <c r="U106" s="1503"/>
      <c r="V106" s="1503"/>
      <c r="W106" s="1503"/>
      <c r="X106" s="1503"/>
      <c r="Y106" s="1503"/>
      <c r="Z106" s="1503"/>
      <c r="AA106" s="1503"/>
      <c r="AB106" s="1503"/>
      <c r="AC106" s="1503"/>
      <c r="AD106" s="1503"/>
      <c r="AE106" s="1503"/>
      <c r="AF106" s="1503"/>
      <c r="AG106" s="1503"/>
      <c r="AH106" s="1503"/>
      <c r="AI106" s="1503"/>
      <c r="AJ106" s="1503"/>
      <c r="AK106" s="1503"/>
      <c r="AL106" s="1503"/>
      <c r="AM106" s="1503"/>
      <c r="AN106" s="1503"/>
      <c r="AO106" s="1503"/>
      <c r="AP106" s="1503"/>
      <c r="AQ106" s="1503"/>
      <c r="AR106" s="1503"/>
      <c r="AS106" s="1503"/>
      <c r="AT106" s="1503"/>
      <c r="AU106" s="15"/>
      <c r="AV106" s="15"/>
      <c r="AW106" s="15"/>
      <c r="AX106" s="15"/>
      <c r="AY106" s="15"/>
    </row>
    <row r="107" spans="1:57" ht="13.2" customHeight="1">
      <c r="A107" s="368"/>
      <c r="C107" s="1132"/>
      <c r="D107" s="1132"/>
      <c r="E107" s="1132"/>
      <c r="F107" s="1132"/>
      <c r="G107" s="1132"/>
      <c r="H107" s="1132"/>
      <c r="I107" s="1132"/>
      <c r="J107" s="1132"/>
      <c r="K107" s="1132"/>
      <c r="L107" s="1132"/>
      <c r="M107" s="1132"/>
      <c r="N107" s="1132"/>
      <c r="O107" s="1132"/>
      <c r="P107" s="1132"/>
      <c r="Q107" s="1132"/>
      <c r="R107" s="1132"/>
      <c r="S107" s="1132"/>
      <c r="T107" s="1132"/>
      <c r="U107" s="1132"/>
      <c r="V107" s="1132"/>
      <c r="W107" s="1132"/>
      <c r="X107" s="1132"/>
      <c r="Y107" s="1132"/>
      <c r="Z107" s="1132"/>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3.2" customHeight="1">
      <c r="A108" s="368" t="s">
        <v>783</v>
      </c>
      <c r="C108" s="1132"/>
      <c r="D108" s="1132"/>
      <c r="E108" s="1132"/>
      <c r="F108" s="1132"/>
      <c r="G108" s="1132"/>
      <c r="H108" s="1132"/>
      <c r="I108" s="1132"/>
      <c r="J108" s="1132"/>
      <c r="K108" s="1132"/>
      <c r="L108" s="1132"/>
      <c r="M108" s="1132"/>
      <c r="N108" s="1132"/>
      <c r="O108" s="1132"/>
      <c r="P108" s="1132"/>
      <c r="Q108" s="1132"/>
      <c r="R108" s="1132"/>
      <c r="S108" s="1132"/>
      <c r="T108" s="1132"/>
      <c r="U108" s="1132"/>
      <c r="V108" s="1132"/>
      <c r="W108" s="1132"/>
      <c r="X108" s="1132"/>
      <c r="Y108" s="1132"/>
      <c r="Z108" s="1132"/>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3.2" customHeight="1">
      <c r="C109" s="1132"/>
      <c r="D109" s="1132"/>
      <c r="E109" s="1132"/>
      <c r="F109" s="1132"/>
      <c r="G109" s="1132"/>
      <c r="H109" s="1132"/>
      <c r="I109" s="1132"/>
      <c r="J109" s="1132"/>
      <c r="K109" s="1132"/>
      <c r="L109" s="1132"/>
      <c r="M109" s="1132"/>
      <c r="N109" s="1132"/>
      <c r="O109" s="1132"/>
      <c r="P109" s="1132"/>
      <c r="Q109" s="1132"/>
      <c r="R109" s="1132"/>
      <c r="S109" s="1132"/>
      <c r="T109" s="1132"/>
      <c r="U109" s="1132"/>
      <c r="V109" s="1132"/>
      <c r="W109" s="1132"/>
      <c r="X109" s="1132"/>
      <c r="Y109" s="1132"/>
      <c r="Z109" s="1132"/>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3.2" customHeight="1">
      <c r="A110" s="368"/>
      <c r="C110" s="1132"/>
      <c r="D110" s="1132"/>
      <c r="E110" s="1132"/>
      <c r="F110" s="1132"/>
      <c r="G110" s="1132"/>
      <c r="H110" s="1132"/>
      <c r="I110" s="1132"/>
      <c r="J110" s="1132"/>
      <c r="K110" s="1132"/>
      <c r="L110" s="1132"/>
      <c r="M110" s="1132"/>
      <c r="N110" s="1132"/>
      <c r="O110" s="1132"/>
      <c r="P110" s="1132"/>
      <c r="Q110" s="1132"/>
      <c r="R110" s="1132"/>
      <c r="S110" s="1132"/>
      <c r="T110" s="1132"/>
      <c r="U110" s="1132"/>
      <c r="V110" s="1132"/>
      <c r="W110" s="1132"/>
      <c r="X110" s="1132"/>
      <c r="Y110" s="1132"/>
      <c r="Z110" s="1132"/>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3.2" customHeight="1">
      <c r="A111" s="368"/>
      <c r="C111" s="1132"/>
      <c r="D111" s="1132"/>
      <c r="E111" s="1132"/>
      <c r="F111" s="1132"/>
      <c r="G111" s="1132"/>
      <c r="H111" s="1132"/>
      <c r="I111" s="1132"/>
      <c r="J111" s="1132"/>
      <c r="K111" s="1132"/>
      <c r="L111" s="1132"/>
      <c r="M111" s="1132"/>
      <c r="N111" s="1132"/>
      <c r="O111" s="1132"/>
      <c r="P111" s="1132"/>
      <c r="Q111" s="1132"/>
      <c r="R111" s="1132"/>
      <c r="S111" s="1132"/>
      <c r="T111" s="1132"/>
      <c r="U111" s="1132"/>
      <c r="V111" s="1132"/>
      <c r="W111" s="1132"/>
      <c r="X111" s="1132"/>
      <c r="Y111" s="1132"/>
      <c r="Z111" s="1132"/>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3.2" customHeight="1">
      <c r="A112" s="368"/>
      <c r="C112" s="1132"/>
      <c r="D112" s="1132"/>
      <c r="E112" s="1132"/>
      <c r="F112" s="1132"/>
      <c r="G112" s="1132"/>
      <c r="H112" s="1132"/>
      <c r="I112" s="1132"/>
      <c r="J112" s="1132"/>
      <c r="K112" s="1132"/>
      <c r="L112" s="1132"/>
      <c r="M112" s="1132"/>
      <c r="N112" s="1132"/>
      <c r="O112" s="1132"/>
      <c r="P112" s="1132"/>
      <c r="Q112" s="1132"/>
      <c r="R112" s="1132"/>
      <c r="S112" s="1132"/>
      <c r="T112" s="1132"/>
      <c r="U112" s="1132"/>
      <c r="V112" s="1132"/>
      <c r="W112" s="1132"/>
      <c r="X112" s="1132"/>
      <c r="Y112" s="1132"/>
      <c r="Z112" s="1132"/>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3.2" customHeight="1">
      <c r="A113" s="174"/>
      <c r="C113" s="2" t="s">
        <v>784</v>
      </c>
      <c r="G113" s="1496"/>
      <c r="H113" s="1496"/>
      <c r="I113" s="2" t="s">
        <v>785</v>
      </c>
      <c r="L113" s="1496"/>
      <c r="M113" s="1496"/>
      <c r="N113" s="1496"/>
      <c r="O113" s="1496"/>
      <c r="P113" s="1510" t="s">
        <v>786</v>
      </c>
      <c r="Q113" s="1510"/>
      <c r="R113" s="1510"/>
      <c r="S113" s="1510"/>
      <c r="T113" s="1132"/>
      <c r="U113" s="1132"/>
      <c r="V113" s="1132"/>
      <c r="W113" s="1132"/>
      <c r="X113" s="1132"/>
      <c r="Y113" s="1132"/>
      <c r="Z113" s="1132"/>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3.2" customHeight="1">
      <c r="M114" s="2"/>
      <c r="S114" s="2"/>
      <c r="T114" s="1132"/>
      <c r="U114" s="1132"/>
      <c r="V114" s="1132"/>
      <c r="W114" s="1132"/>
      <c r="X114" s="1132"/>
      <c r="Y114" s="1132"/>
      <c r="Z114" s="1132"/>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3.2" customHeight="1">
      <c r="A115" s="1132"/>
      <c r="C115" s="1497"/>
      <c r="D115" s="1497"/>
      <c r="E115" s="1497"/>
      <c r="F115" s="1497"/>
      <c r="G115" s="1497"/>
      <c r="H115" s="1497"/>
      <c r="I115" s="1497"/>
      <c r="J115" s="1497"/>
      <c r="K115" s="1497"/>
      <c r="L115" s="111" t="s">
        <v>787</v>
      </c>
      <c r="S115" s="2"/>
      <c r="T115" s="1132"/>
      <c r="U115" s="1132"/>
      <c r="V115" s="1132"/>
      <c r="W115" s="1132"/>
      <c r="X115" s="1132"/>
      <c r="Y115" s="1132"/>
      <c r="Z115" s="1132"/>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3.2" customHeight="1">
      <c r="A116" s="1132"/>
      <c r="C116" s="1132"/>
      <c r="D116" s="1132"/>
      <c r="E116" s="1132"/>
      <c r="F116" s="1132"/>
      <c r="G116" s="1132"/>
      <c r="H116" s="1132"/>
      <c r="I116" s="1132"/>
      <c r="J116" s="1132"/>
      <c r="K116" s="1132"/>
      <c r="L116" s="1132"/>
      <c r="M116" s="1132"/>
      <c r="N116" s="1132"/>
      <c r="O116" s="1132"/>
      <c r="P116" s="1132"/>
      <c r="Q116" s="1132"/>
      <c r="R116" s="1132"/>
      <c r="S116" s="1132"/>
      <c r="T116" s="1132"/>
      <c r="U116" s="1132"/>
      <c r="V116" s="1132"/>
      <c r="W116" s="1132"/>
      <c r="X116" s="1132"/>
      <c r="Y116" s="1132"/>
      <c r="Z116" s="1132"/>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3.2" customHeight="1">
      <c r="A117" s="1132"/>
      <c r="B117" s="17"/>
      <c r="C117" s="17"/>
      <c r="X117" s="2" t="s">
        <v>788</v>
      </c>
      <c r="Y117" s="1496"/>
      <c r="Z117" s="1496"/>
      <c r="AA117" s="1496"/>
      <c r="AB117" s="1496"/>
      <c r="AC117" s="1496"/>
      <c r="AD117" s="1496"/>
      <c r="AE117" s="1496"/>
      <c r="AF117" s="1496"/>
      <c r="AG117" s="1496"/>
      <c r="AH117" s="1496"/>
      <c r="AI117" s="1496"/>
      <c r="AJ117" s="1496"/>
      <c r="AK117" s="1496"/>
    </row>
    <row r="118" spans="1:117" ht="13.2" customHeight="1">
      <c r="X118" s="2"/>
      <c r="Y118" s="2"/>
      <c r="Z118" s="2" t="s">
        <v>789</v>
      </c>
      <c r="AA118" s="2"/>
      <c r="AB118" s="2"/>
      <c r="AC118" s="2"/>
      <c r="AD118" s="2"/>
      <c r="AE118" s="2"/>
      <c r="AF118" s="2"/>
      <c r="AG118" s="2"/>
      <c r="AH118" s="2"/>
      <c r="AI118" s="2"/>
      <c r="AJ118" s="2"/>
      <c r="AK118" s="2"/>
    </row>
    <row r="119" spans="1:117" ht="13.2" customHeight="1">
      <c r="A119" s="1132"/>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3.2" customHeight="1">
      <c r="A120" s="1132"/>
      <c r="B120" s="2"/>
      <c r="P120" s="2"/>
      <c r="Q120" s="2"/>
      <c r="R120" s="2"/>
      <c r="S120" s="2"/>
      <c r="T120" s="2"/>
      <c r="U120" s="2"/>
      <c r="V120" s="2"/>
      <c r="W120" s="2"/>
      <c r="X120" s="2"/>
      <c r="Y120" s="1496" t="s">
        <v>790</v>
      </c>
      <c r="Z120" s="1496"/>
      <c r="AA120" s="1496"/>
      <c r="AB120" s="1496"/>
      <c r="AC120" s="1496"/>
      <c r="AD120" s="1496"/>
      <c r="AE120" s="1496"/>
      <c r="AF120" s="1496"/>
      <c r="AG120" s="1496"/>
      <c r="AH120" s="1496"/>
      <c r="AI120" s="1496"/>
      <c r="AJ120" s="1496"/>
      <c r="AK120" s="1496"/>
      <c r="AL120" s="2"/>
      <c r="AM120" s="2"/>
      <c r="AN120" s="2"/>
      <c r="AO120" s="2"/>
      <c r="AP120" s="2"/>
      <c r="AQ120" s="2"/>
      <c r="AR120" s="2"/>
      <c r="AS120" s="2"/>
      <c r="AT120" s="2"/>
      <c r="AU120" s="2"/>
      <c r="AV120" s="2"/>
      <c r="AW120" s="2"/>
      <c r="AX120" s="2"/>
      <c r="AY120" s="2"/>
    </row>
    <row r="121" spans="1:117" ht="13.2" customHeight="1">
      <c r="A121" s="2"/>
      <c r="B121" s="2"/>
      <c r="P121" s="2"/>
      <c r="Q121" s="2"/>
      <c r="R121" s="2"/>
      <c r="S121" s="2"/>
      <c r="T121" s="2"/>
      <c r="U121" s="2"/>
      <c r="V121" s="2"/>
      <c r="W121" s="2"/>
      <c r="X121" s="2"/>
      <c r="Y121" s="2"/>
      <c r="Z121" s="2" t="s">
        <v>791</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3.2" customHeight="1">
      <c r="A122" s="2"/>
      <c r="B122" s="2"/>
      <c r="T122" s="2"/>
      <c r="U122" s="2"/>
      <c r="V122" s="2"/>
      <c r="W122" s="2"/>
      <c r="AL122" s="2"/>
      <c r="AM122" s="2"/>
      <c r="AN122" s="2"/>
      <c r="AO122" s="2"/>
      <c r="AP122" s="2"/>
      <c r="AQ122" s="2"/>
      <c r="AR122" s="2"/>
      <c r="AS122" s="2"/>
      <c r="AT122" s="2"/>
      <c r="AU122" s="2"/>
      <c r="AV122" s="2"/>
      <c r="AW122" s="2"/>
      <c r="AX122" s="2"/>
      <c r="AY122" s="2"/>
      <c r="CQ122" s="11" t="s">
        <v>792</v>
      </c>
      <c r="CR122" s="11"/>
      <c r="CS122" s="11"/>
      <c r="CT122" s="11"/>
      <c r="CU122" s="1635" t="s">
        <v>793</v>
      </c>
      <c r="CV122" s="1636"/>
      <c r="CW122" s="11"/>
      <c r="CX122" s="11" t="s">
        <v>794</v>
      </c>
      <c r="CY122" s="11"/>
      <c r="CZ122" s="11"/>
      <c r="DA122" s="11"/>
      <c r="DB122" s="11"/>
      <c r="DC122" s="11"/>
      <c r="DD122" s="11"/>
      <c r="DE122" s="11"/>
      <c r="DF122" s="11"/>
      <c r="DG122" s="1632" t="str">
        <f>T189</f>
        <v>Santa Clara</v>
      </c>
      <c r="DH122" s="1633"/>
      <c r="DI122" s="1633"/>
      <c r="DJ122" s="1633"/>
      <c r="DK122" s="1633"/>
      <c r="DL122" s="1633"/>
      <c r="DM122" s="1634"/>
    </row>
    <row r="123" spans="1:117" ht="13.2" customHeight="1">
      <c r="A123" s="2"/>
      <c r="B123" s="2"/>
      <c r="T123" s="2"/>
      <c r="U123" s="2"/>
      <c r="V123" s="2"/>
      <c r="W123" s="2"/>
      <c r="X123" s="2"/>
      <c r="Y123" s="1496"/>
      <c r="Z123" s="1496"/>
      <c r="AA123" s="1496"/>
      <c r="AB123" s="1496"/>
      <c r="AC123" s="1496"/>
      <c r="AD123" s="1496"/>
      <c r="AE123" s="1496"/>
      <c r="AF123" s="1496"/>
      <c r="AG123" s="1496"/>
      <c r="AH123" s="1496"/>
      <c r="AI123" s="1496"/>
      <c r="AJ123" s="1496"/>
      <c r="AK123" s="1496"/>
      <c r="AL123" s="2"/>
      <c r="AM123" s="2"/>
      <c r="AN123" s="2"/>
      <c r="AO123" s="2"/>
      <c r="AP123" s="2"/>
      <c r="AQ123" s="2"/>
      <c r="AR123" s="2"/>
      <c r="AS123" s="2"/>
      <c r="AT123" s="2"/>
      <c r="AU123" s="2"/>
      <c r="AV123" s="2"/>
      <c r="AW123" s="2"/>
      <c r="AX123" s="2"/>
      <c r="AY123" s="2"/>
      <c r="DJ123" s="2"/>
      <c r="DK123" s="2"/>
      <c r="DL123" s="2"/>
      <c r="DM123" s="2"/>
    </row>
    <row r="124" spans="1:117" ht="13.2" customHeight="1">
      <c r="A124" s="2"/>
      <c r="B124" s="2"/>
      <c r="T124" s="2"/>
      <c r="U124" s="2"/>
      <c r="V124" s="2"/>
      <c r="W124" s="2"/>
      <c r="X124" s="2"/>
      <c r="Y124" s="2"/>
      <c r="Z124" s="2" t="s">
        <v>795</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793</v>
      </c>
      <c r="CV124" s="11"/>
      <c r="CW124" s="11"/>
      <c r="CX124" s="11"/>
      <c r="CY124" s="11"/>
      <c r="CZ124" s="11"/>
      <c r="DA124" s="11"/>
      <c r="DB124" s="11"/>
      <c r="DE124" s="25"/>
      <c r="DF124" s="25"/>
      <c r="DG124" s="25"/>
      <c r="DH124" s="25"/>
      <c r="DI124" s="25"/>
      <c r="DJ124" s="11"/>
      <c r="DK124" s="11"/>
      <c r="DL124" s="11"/>
      <c r="DM124" s="11"/>
    </row>
    <row r="125" spans="1:117" ht="13.2"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796</v>
      </c>
      <c r="CV125" s="2"/>
      <c r="CW125" s="11"/>
      <c r="CX125" s="11"/>
      <c r="CY125" s="11"/>
      <c r="CZ125" s="11"/>
      <c r="DA125" s="11"/>
      <c r="DB125" s="11"/>
      <c r="DE125" s="2"/>
      <c r="DF125" s="2"/>
      <c r="DG125" s="2"/>
      <c r="DH125" s="2"/>
      <c r="DI125" s="2"/>
      <c r="DJ125" s="2"/>
      <c r="DK125" s="2"/>
      <c r="DL125" s="2"/>
      <c r="DM125" s="2"/>
    </row>
    <row r="126" spans="1:117" ht="13.2"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3.2"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793</v>
      </c>
      <c r="DD127" s="2"/>
      <c r="DE127" s="2"/>
      <c r="DF127" s="2"/>
      <c r="DG127" s="2"/>
      <c r="DH127" s="2"/>
      <c r="DI127" s="2"/>
      <c r="DJ127" s="2"/>
      <c r="DK127" s="2"/>
      <c r="DL127" s="2"/>
      <c r="DM127" s="2"/>
    </row>
    <row r="128" spans="1:117" ht="13.2" customHeight="1">
      <c r="A128" s="1179"/>
      <c r="AL128" s="1179"/>
      <c r="AM128" s="1179"/>
      <c r="AN128" s="1179"/>
      <c r="AO128" s="1179"/>
      <c r="AP128" s="1179"/>
      <c r="AQ128" s="1179"/>
      <c r="AR128" s="1179"/>
      <c r="AS128" s="1179"/>
      <c r="AT128" s="1179"/>
      <c r="AU128" s="1179"/>
      <c r="AV128" s="1179"/>
      <c r="AW128" s="1179"/>
      <c r="AX128" s="1179"/>
      <c r="AY128" s="1179"/>
    </row>
    <row r="129" spans="1:51" ht="13.2" customHeight="1">
      <c r="A129" s="1179"/>
      <c r="B129" s="2"/>
      <c r="R129" s="1179"/>
      <c r="S129" s="1179"/>
      <c r="T129" s="1179"/>
      <c r="U129" s="1179"/>
      <c r="V129" s="1179"/>
      <c r="W129" s="1179"/>
      <c r="AL129" s="1179"/>
      <c r="AM129" s="1179"/>
      <c r="AN129" s="1179"/>
      <c r="AO129" s="1179"/>
      <c r="AP129" s="1179"/>
      <c r="AQ129" s="1179"/>
      <c r="AR129" s="1179"/>
      <c r="AS129" s="1179"/>
      <c r="AT129" s="1179"/>
      <c r="AU129" s="1179"/>
      <c r="AV129" s="1179"/>
      <c r="AW129" s="1179"/>
      <c r="AX129" s="1179"/>
      <c r="AY129" s="1179"/>
    </row>
    <row r="130" spans="1:51" ht="13.2" customHeight="1">
      <c r="A130" s="2"/>
      <c r="B130" s="68"/>
      <c r="C130" s="1179"/>
      <c r="R130" s="1179"/>
      <c r="S130" s="1179"/>
      <c r="T130" s="1179"/>
      <c r="U130" s="1179"/>
      <c r="V130" s="1179"/>
      <c r="W130" s="1179"/>
      <c r="AL130" s="2"/>
      <c r="AM130" s="2"/>
      <c r="AN130" s="2"/>
      <c r="AO130" s="2"/>
      <c r="AP130" s="2"/>
      <c r="AQ130" s="2"/>
      <c r="AR130" s="2"/>
      <c r="AS130" s="2"/>
      <c r="AT130" s="2"/>
      <c r="AU130" s="2"/>
      <c r="AV130" s="2"/>
      <c r="AW130" s="2"/>
      <c r="AX130" s="2"/>
      <c r="AY130" s="2"/>
    </row>
    <row r="131" spans="1:51" ht="13.2" customHeight="1">
      <c r="A131" s="2"/>
      <c r="AL131" s="2"/>
      <c r="AM131" s="2"/>
      <c r="AN131" s="2"/>
      <c r="AO131" s="2"/>
      <c r="AP131" s="2"/>
      <c r="AQ131" s="2"/>
      <c r="AR131" s="2"/>
      <c r="AS131" s="2"/>
      <c r="AT131" s="2"/>
      <c r="AU131" s="2"/>
      <c r="AV131" s="2"/>
      <c r="AW131" s="2"/>
      <c r="AX131" s="2"/>
      <c r="AY131" s="2"/>
    </row>
    <row r="132" spans="1:51" ht="13.2" customHeight="1">
      <c r="A132" s="2"/>
      <c r="B132" s="2"/>
      <c r="C132" s="2"/>
      <c r="D132" s="2"/>
      <c r="F132" s="111"/>
      <c r="G132" s="111"/>
      <c r="H132" s="111"/>
      <c r="I132" s="111"/>
      <c r="J132" s="111"/>
      <c r="K132" s="111"/>
      <c r="L132" s="111"/>
      <c r="M132" s="111"/>
      <c r="N132" s="2"/>
      <c r="P132" s="2"/>
      <c r="Q132" s="2"/>
      <c r="U132" s="2"/>
      <c r="V132" s="2"/>
      <c r="W132" s="2"/>
      <c r="AL132" s="2"/>
      <c r="AM132" s="2"/>
      <c r="AN132" s="2"/>
      <c r="AO132" s="2"/>
      <c r="AP132" s="2"/>
      <c r="AQ132" s="2"/>
      <c r="AR132" s="2"/>
      <c r="AS132" s="2"/>
      <c r="AT132" s="2"/>
      <c r="AU132" s="2"/>
      <c r="AV132" s="2"/>
      <c r="AW132" s="2"/>
      <c r="AX132" s="2"/>
      <c r="AY132" s="2"/>
    </row>
    <row r="133" spans="1:51" ht="13.2" customHeight="1">
      <c r="A133" s="2"/>
      <c r="W133" s="2"/>
      <c r="AL133" s="2"/>
      <c r="AM133" s="2"/>
      <c r="AN133" s="2"/>
      <c r="AO133" s="2"/>
      <c r="AP133" s="2"/>
      <c r="AQ133" s="2"/>
      <c r="AR133" s="2"/>
      <c r="AS133" s="2"/>
      <c r="AT133" s="2"/>
      <c r="AU133" s="2"/>
      <c r="AV133" s="2"/>
      <c r="AW133" s="2"/>
      <c r="AX133" s="2"/>
      <c r="AY133" s="2"/>
    </row>
    <row r="134" spans="1:51" ht="13.2"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2" customHeight="1">
      <c r="A135" s="2"/>
      <c r="M135" s="2"/>
      <c r="N135" s="2"/>
      <c r="O135" s="2"/>
      <c r="AK135" s="2"/>
      <c r="AL135" s="2"/>
      <c r="AM135" s="2"/>
      <c r="AN135" s="2"/>
      <c r="AO135" s="2"/>
      <c r="AP135" s="2"/>
      <c r="AQ135" s="2"/>
      <c r="AR135" s="2"/>
      <c r="AS135" s="2"/>
      <c r="AT135" s="2"/>
      <c r="AU135" s="2"/>
      <c r="AV135" s="2"/>
      <c r="AW135" s="2"/>
      <c r="AX135" s="2"/>
      <c r="AY135" s="2"/>
    </row>
    <row r="136" spans="1:51" ht="13.2"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2"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2"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2" customHeight="1">
      <c r="A139" s="2"/>
      <c r="B139" s="2"/>
      <c r="C139" s="2"/>
      <c r="D139" s="2"/>
      <c r="E139" s="2"/>
      <c r="F139" s="2"/>
      <c r="G139" s="2"/>
      <c r="H139" s="2"/>
      <c r="I139" s="2"/>
      <c r="J139" s="2"/>
      <c r="K139" s="2"/>
      <c r="L139" s="2"/>
      <c r="M139" s="2"/>
      <c r="N139" s="2"/>
      <c r="O139" s="2"/>
      <c r="P139" s="2"/>
      <c r="Q139" s="2"/>
      <c r="R139" s="2"/>
      <c r="S139" s="68"/>
      <c r="T139" s="1144"/>
      <c r="U139" s="1144"/>
      <c r="V139" s="1144"/>
      <c r="W139" s="1144"/>
      <c r="X139" s="1144"/>
      <c r="Y139" s="1144"/>
      <c r="Z139" s="1144"/>
      <c r="AA139" s="1144"/>
      <c r="AB139" s="1144"/>
      <c r="AC139" s="1144"/>
      <c r="AD139" s="1144"/>
      <c r="AE139" s="1144"/>
      <c r="AF139" s="1144"/>
      <c r="AG139" s="1144"/>
      <c r="AH139" s="1144"/>
      <c r="AI139" s="1144"/>
      <c r="AJ139" s="1144"/>
      <c r="AK139" s="2"/>
      <c r="AL139" s="2"/>
      <c r="AM139" s="2"/>
      <c r="AN139" s="2"/>
      <c r="AO139" s="2"/>
      <c r="AP139" s="2"/>
      <c r="AQ139" s="2"/>
      <c r="AR139" s="2"/>
      <c r="AS139" s="2"/>
      <c r="AT139" s="2"/>
      <c r="AU139" s="2"/>
      <c r="AV139" s="2"/>
      <c r="AW139" s="2"/>
      <c r="AX139" s="2"/>
      <c r="AY139" s="2"/>
    </row>
    <row r="140" spans="1:51" ht="13.2" customHeight="1">
      <c r="A140" s="2"/>
      <c r="B140" s="69"/>
      <c r="C140" s="1144"/>
      <c r="D140" s="1144"/>
      <c r="E140" s="1144"/>
      <c r="F140" s="1144"/>
      <c r="G140" s="1144"/>
      <c r="H140" s="1144"/>
      <c r="I140" s="1144"/>
      <c r="J140" s="1144"/>
      <c r="K140" s="1144"/>
      <c r="L140" s="1144"/>
      <c r="M140" s="1144"/>
      <c r="N140" s="1144"/>
      <c r="O140" s="1144"/>
      <c r="P140" s="1144"/>
      <c r="Q140" s="1144"/>
      <c r="R140" s="1144"/>
      <c r="S140" s="1144"/>
      <c r="T140" s="1144"/>
      <c r="U140" s="1144"/>
      <c r="V140" s="1144"/>
      <c r="W140" s="1144"/>
      <c r="X140" s="1144"/>
      <c r="Y140" s="1144"/>
      <c r="Z140" s="1144"/>
      <c r="AA140" s="1144"/>
      <c r="AB140" s="1144"/>
      <c r="AC140" s="1144"/>
      <c r="AD140" s="1144"/>
      <c r="AE140" s="1144"/>
      <c r="AF140" s="1144"/>
      <c r="AG140" s="1144"/>
      <c r="AH140" s="1144"/>
      <c r="AI140" s="1144"/>
      <c r="AJ140" s="1144"/>
      <c r="AK140" s="2"/>
      <c r="AL140" s="2"/>
      <c r="AM140" s="2"/>
      <c r="AN140" s="2"/>
      <c r="AO140" s="2"/>
      <c r="AP140" s="2"/>
      <c r="AQ140" s="2"/>
      <c r="AR140" s="2"/>
      <c r="AS140" s="2"/>
      <c r="AT140" s="2"/>
      <c r="AU140" s="2"/>
      <c r="AV140" s="2"/>
      <c r="AW140" s="2"/>
      <c r="AX140" s="2"/>
      <c r="AY140" s="2"/>
    </row>
    <row r="141" spans="1:51" ht="13.2" customHeight="1">
      <c r="A141" s="2"/>
      <c r="B141" s="69"/>
      <c r="C141" s="1144"/>
      <c r="D141" s="1144"/>
      <c r="E141" s="1144"/>
      <c r="F141" s="1144"/>
      <c r="G141" s="1144"/>
      <c r="H141" s="1144"/>
      <c r="I141" s="1144"/>
      <c r="J141" s="1144"/>
      <c r="K141" s="1144"/>
      <c r="L141" s="1144"/>
      <c r="M141" s="1144"/>
      <c r="N141" s="1144"/>
      <c r="O141" s="1144"/>
      <c r="P141" s="1144"/>
      <c r="Q141" s="1144"/>
      <c r="R141" s="1144"/>
      <c r="S141" s="1144"/>
      <c r="T141" s="1144"/>
      <c r="U141" s="1144"/>
      <c r="V141" s="1144"/>
      <c r="W141" s="1144"/>
      <c r="X141" s="1144"/>
      <c r="Y141" s="1144"/>
      <c r="Z141" s="1144"/>
      <c r="AA141" s="1144"/>
      <c r="AB141" s="1144"/>
      <c r="AC141" s="1144"/>
      <c r="AD141" s="1144"/>
      <c r="AE141" s="1144"/>
      <c r="AF141" s="1144"/>
      <c r="AG141" s="1144"/>
      <c r="AH141" s="1144"/>
      <c r="AI141" s="1144"/>
      <c r="AJ141" s="1144"/>
      <c r="AK141" s="2"/>
      <c r="AL141" s="2"/>
      <c r="AM141" s="2"/>
      <c r="AN141" s="2"/>
      <c r="AO141" s="2"/>
      <c r="AP141" s="2"/>
      <c r="AQ141" s="2"/>
      <c r="AR141" s="2"/>
      <c r="AS141" s="2"/>
      <c r="AT141" s="2"/>
      <c r="AU141" s="2"/>
      <c r="AV141" s="2"/>
      <c r="AW141" s="2"/>
      <c r="AX141" s="2"/>
      <c r="AY141" s="2"/>
    </row>
    <row r="142" spans="1:51" ht="13.2" customHeight="1">
      <c r="A142" s="2"/>
      <c r="B142" s="69"/>
      <c r="C142" s="1113"/>
      <c r="D142" s="1113"/>
      <c r="E142" s="1113"/>
      <c r="F142" s="1113"/>
      <c r="G142" s="1113"/>
      <c r="H142" s="1113"/>
      <c r="I142" s="1113"/>
      <c r="J142" s="1113"/>
      <c r="K142" s="1113"/>
      <c r="L142" s="1113"/>
      <c r="M142" s="1113"/>
      <c r="N142" s="1113"/>
      <c r="O142" s="1113"/>
      <c r="P142" s="1113"/>
      <c r="Q142" s="1113"/>
      <c r="R142" s="1113"/>
      <c r="S142" s="1113"/>
      <c r="T142" s="1113"/>
      <c r="U142" s="1113"/>
      <c r="V142" s="1113"/>
      <c r="W142" s="1113"/>
      <c r="X142" s="1113"/>
      <c r="Y142" s="1113"/>
      <c r="Z142" s="1113"/>
      <c r="AA142" s="1113"/>
      <c r="AB142" s="1113"/>
      <c r="AC142" s="1113"/>
      <c r="AD142" s="1113"/>
      <c r="AE142" s="1113"/>
      <c r="AF142" s="1113"/>
      <c r="AG142" s="1113"/>
      <c r="AH142" s="1113"/>
      <c r="AI142" s="1113"/>
      <c r="AJ142" s="1113"/>
      <c r="AK142" s="2"/>
      <c r="AL142" s="2"/>
      <c r="AM142" s="2"/>
      <c r="AN142" s="2"/>
      <c r="AO142" s="2"/>
      <c r="AP142" s="2"/>
      <c r="AQ142" s="2"/>
      <c r="AR142" s="2"/>
      <c r="AS142" s="2"/>
      <c r="AT142" s="2"/>
      <c r="AU142" s="2"/>
      <c r="AV142" s="2"/>
      <c r="AW142" s="2"/>
      <c r="AX142" s="2"/>
      <c r="AY142" s="2"/>
    </row>
    <row r="143" spans="1:51" ht="13.2" customHeight="1">
      <c r="A143" s="2"/>
      <c r="D143" s="1113"/>
      <c r="E143" s="1113"/>
      <c r="F143" s="1113"/>
      <c r="G143" s="1113"/>
      <c r="H143" s="1113"/>
      <c r="I143" s="1113"/>
      <c r="J143" s="1113"/>
      <c r="K143" s="1113"/>
      <c r="L143" s="1113"/>
      <c r="M143" s="1113"/>
      <c r="N143" s="1113"/>
      <c r="O143" s="1113"/>
      <c r="P143" s="1113"/>
      <c r="Q143" s="1113"/>
      <c r="R143" s="1113"/>
      <c r="S143" s="1113"/>
      <c r="T143" s="1113"/>
      <c r="U143" s="1113"/>
      <c r="V143" s="1113"/>
      <c r="W143" s="1113"/>
      <c r="X143" s="1113"/>
      <c r="Y143" s="1113"/>
      <c r="Z143" s="1113"/>
      <c r="AA143" s="1113"/>
      <c r="AB143" s="1113"/>
      <c r="AC143" s="1113"/>
      <c r="AD143" s="1113"/>
      <c r="AE143" s="1113"/>
      <c r="AF143" s="1113"/>
      <c r="AG143" s="1113"/>
      <c r="AH143" s="1113"/>
      <c r="AI143" s="1113"/>
      <c r="AJ143" s="1113"/>
      <c r="AK143" s="2"/>
      <c r="AL143" s="2"/>
      <c r="AM143" s="2"/>
      <c r="AN143" s="2"/>
      <c r="AO143" s="2"/>
      <c r="AP143" s="2"/>
      <c r="AQ143" s="2"/>
      <c r="AR143" s="2"/>
      <c r="AS143" s="2"/>
      <c r="AT143" s="2"/>
      <c r="AU143" s="2"/>
      <c r="AV143" s="2"/>
      <c r="AW143" s="2"/>
      <c r="AX143" s="2"/>
      <c r="AY143" s="2"/>
    </row>
    <row r="144" spans="1:51" ht="13.2" customHeight="1">
      <c r="A144" s="2"/>
      <c r="B144" s="1132"/>
      <c r="C144" s="1113"/>
      <c r="D144" s="1113"/>
      <c r="E144" s="1113"/>
      <c r="F144" s="1113"/>
      <c r="G144" s="1113"/>
      <c r="H144" s="1113"/>
      <c r="I144" s="1113"/>
      <c r="J144" s="1113"/>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13"/>
      <c r="AJ144" s="1113"/>
      <c r="AK144" s="2"/>
      <c r="AL144" s="2"/>
      <c r="AM144" s="2"/>
      <c r="AN144" s="2"/>
      <c r="AO144" s="2"/>
      <c r="AP144" s="2"/>
      <c r="AQ144" s="2"/>
      <c r="AR144" s="2"/>
      <c r="AS144" s="2"/>
      <c r="AT144" s="2"/>
      <c r="AU144" s="2"/>
      <c r="AV144" s="2"/>
      <c r="AW144" s="2"/>
      <c r="AX144" s="2"/>
      <c r="AY144" s="2"/>
    </row>
    <row r="145" spans="1:108" ht="13.2" customHeight="1">
      <c r="A145" s="2"/>
      <c r="B145" s="2"/>
      <c r="C145" s="1113"/>
      <c r="D145" s="1113"/>
      <c r="E145" s="1113"/>
      <c r="F145" s="1113"/>
      <c r="G145" s="1113"/>
      <c r="H145" s="1113"/>
      <c r="I145" s="1113"/>
      <c r="J145" s="1113"/>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13"/>
      <c r="AJ145" s="1113"/>
      <c r="AK145" s="2"/>
      <c r="AL145" s="2"/>
      <c r="AM145" s="2"/>
      <c r="AN145" s="2"/>
      <c r="AO145" s="2"/>
      <c r="AP145" s="2"/>
      <c r="AQ145" s="2"/>
      <c r="AR145" s="2"/>
      <c r="AS145" s="2"/>
      <c r="AT145" s="2"/>
      <c r="AU145" s="2"/>
      <c r="AV145" s="2"/>
      <c r="AW145" s="2"/>
      <c r="AX145" s="2"/>
      <c r="AY145" s="2"/>
    </row>
    <row r="146" spans="1:108" ht="13.2" customHeight="1">
      <c r="A146" s="2"/>
      <c r="D146" s="1113"/>
      <c r="E146" s="1113"/>
      <c r="F146" s="1113"/>
      <c r="G146" s="1113"/>
      <c r="H146" s="1113"/>
      <c r="I146" s="1113"/>
      <c r="J146" s="1113"/>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13"/>
      <c r="AJ146" s="1113"/>
      <c r="AK146" s="2"/>
      <c r="AL146" s="2"/>
      <c r="AM146" s="2"/>
      <c r="AN146" s="2"/>
      <c r="AO146" s="2"/>
      <c r="AP146" s="2"/>
      <c r="AQ146" s="2"/>
      <c r="AR146" s="2"/>
      <c r="AS146" s="2"/>
      <c r="AT146" s="2"/>
      <c r="AU146" s="2"/>
      <c r="AV146" s="2"/>
      <c r="AW146" s="2"/>
      <c r="AX146" s="2"/>
      <c r="AY146" s="2"/>
    </row>
    <row r="147" spans="1:108" ht="13.2" customHeight="1">
      <c r="A147" s="2"/>
      <c r="B147" s="113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3.2"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547</v>
      </c>
    </row>
    <row r="149" spans="1:108" ht="13.2"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797</v>
      </c>
    </row>
    <row r="150" spans="1:108" ht="13.2" customHeight="1">
      <c r="A150" s="2"/>
      <c r="B150" s="2"/>
      <c r="D150" s="2"/>
      <c r="E150" s="2"/>
      <c r="F150" s="1360"/>
      <c r="G150" s="1360"/>
      <c r="H150" s="1360"/>
      <c r="I150" s="1360"/>
      <c r="J150" s="1360"/>
      <c r="K150" s="1360"/>
      <c r="L150" s="1360"/>
      <c r="M150" s="1360"/>
      <c r="N150" s="1360"/>
      <c r="O150" s="1360"/>
      <c r="P150" s="1360"/>
      <c r="Q150" s="1360"/>
      <c r="R150" s="1360"/>
      <c r="S150" s="1360"/>
      <c r="T150" s="1360"/>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3.2" customHeight="1">
      <c r="A151" s="2"/>
      <c r="B151" s="2"/>
      <c r="D151" s="2"/>
      <c r="E151" s="2"/>
      <c r="F151" s="1154"/>
      <c r="G151" s="1154"/>
      <c r="H151" s="1154"/>
      <c r="I151" s="1154"/>
      <c r="J151" s="1154"/>
      <c r="K151" s="1154"/>
      <c r="L151" s="1154"/>
      <c r="M151" s="1154"/>
      <c r="N151" s="1154"/>
      <c r="O151" s="1154"/>
      <c r="P151" s="1154"/>
      <c r="Q151" s="1154"/>
      <c r="R151" s="1154"/>
      <c r="S151" s="1154"/>
      <c r="T151" s="1154"/>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798</v>
      </c>
    </row>
    <row r="152" spans="1:108" ht="13.2" customHeight="1">
      <c r="BM152">
        <v>4</v>
      </c>
      <c r="BN152" s="2" t="s">
        <v>799</v>
      </c>
    </row>
    <row r="153" spans="1:108" ht="13.2" customHeight="1">
      <c r="D153" t="s">
        <v>800</v>
      </c>
      <c r="O153" s="1472" t="s">
        <v>801</v>
      </c>
      <c r="P153" s="1472"/>
      <c r="Q153" s="1472"/>
      <c r="R153" s="1472"/>
      <c r="S153" s="1472"/>
      <c r="T153" s="1472"/>
      <c r="U153" s="1472"/>
      <c r="V153" s="1472"/>
      <c r="W153" s="1472"/>
      <c r="X153" s="1472"/>
      <c r="Y153" s="1472"/>
      <c r="Z153" s="1472"/>
      <c r="AA153" s="1472"/>
      <c r="AB153" s="1472"/>
      <c r="AC153" s="1472"/>
      <c r="AD153" s="1472"/>
      <c r="AE153" s="1472"/>
      <c r="AF153" s="1472"/>
      <c r="AG153" s="1472"/>
      <c r="AH153" s="1472"/>
      <c r="BM153">
        <v>5</v>
      </c>
      <c r="BN153" s="2" t="s">
        <v>802</v>
      </c>
      <c r="CR153" s="24" t="s">
        <v>803</v>
      </c>
      <c r="CS153" s="25"/>
      <c r="CT153" s="25"/>
      <c r="CU153" s="25"/>
      <c r="CV153" s="25"/>
      <c r="CW153" s="25"/>
      <c r="CX153" s="11"/>
      <c r="CY153" s="24" t="s">
        <v>804</v>
      </c>
      <c r="CZ153" s="11"/>
      <c r="DA153" s="11"/>
      <c r="DB153" s="11"/>
      <c r="DC153" s="11"/>
      <c r="DD153" s="11"/>
    </row>
    <row r="154" spans="1:108" ht="13.2" customHeight="1">
      <c r="D154" s="185" t="s">
        <v>805</v>
      </c>
      <c r="O154" s="1427" t="s">
        <v>806</v>
      </c>
      <c r="P154" s="1427"/>
      <c r="Q154" s="1427"/>
      <c r="R154" s="1427"/>
      <c r="S154" s="1427"/>
      <c r="T154" s="1427"/>
      <c r="U154" s="1427"/>
      <c r="V154" s="1427"/>
      <c r="W154" s="1427"/>
      <c r="X154" s="1427"/>
      <c r="Y154" s="1427"/>
      <c r="Z154" s="1427"/>
      <c r="AA154" s="1427"/>
      <c r="AB154" s="1427"/>
      <c r="AC154" s="1427"/>
      <c r="AD154" s="1427"/>
      <c r="AE154" s="1427"/>
      <c r="AF154" s="1427"/>
      <c r="AG154" s="1427"/>
      <c r="AH154" s="1427"/>
      <c r="BM154">
        <v>6</v>
      </c>
      <c r="BN154" s="2" t="s">
        <v>807</v>
      </c>
      <c r="CR154" s="24"/>
      <c r="CS154" s="25"/>
      <c r="CT154" s="25"/>
      <c r="CU154" s="25"/>
      <c r="CV154" s="25"/>
      <c r="CW154" s="25"/>
      <c r="CX154" s="11"/>
      <c r="CY154" s="24"/>
      <c r="CZ154" s="11"/>
      <c r="DA154" s="11"/>
      <c r="DB154" s="11"/>
      <c r="DC154" s="11"/>
      <c r="DD154" s="11"/>
    </row>
    <row r="155" spans="1:108" ht="13.2" customHeight="1">
      <c r="D155" s="6" t="s">
        <v>808</v>
      </c>
      <c r="F155" s="6"/>
      <c r="G155" s="6"/>
      <c r="H155" s="6"/>
      <c r="I155" s="6"/>
      <c r="J155" s="6"/>
      <c r="K155" s="6"/>
      <c r="L155" s="6"/>
      <c r="M155" s="6"/>
      <c r="N155" s="6"/>
      <c r="O155" s="1484" t="s">
        <v>809</v>
      </c>
      <c r="P155" s="1484"/>
      <c r="Q155" s="1484"/>
      <c r="R155" s="1484"/>
      <c r="S155" s="1484"/>
      <c r="T155" s="1484"/>
      <c r="U155" s="1484"/>
      <c r="V155" s="1484"/>
      <c r="W155" s="1484"/>
      <c r="X155" s="1484"/>
      <c r="Y155" s="1484"/>
      <c r="Z155" s="1484"/>
      <c r="AA155" s="1484"/>
      <c r="AB155" s="1484"/>
      <c r="AC155" s="1484"/>
      <c r="AD155" s="1484"/>
      <c r="AE155" s="1484"/>
      <c r="AF155" s="1484"/>
      <c r="AG155" s="1484"/>
      <c r="AH155" s="1484"/>
      <c r="BM155">
        <v>7</v>
      </c>
      <c r="BN155" s="2" t="s">
        <v>810</v>
      </c>
      <c r="CR155" s="24"/>
      <c r="CS155" s="25"/>
      <c r="CT155" s="25"/>
      <c r="CU155" s="25"/>
      <c r="CV155" s="25"/>
      <c r="CW155" s="25"/>
      <c r="CX155" s="11"/>
      <c r="CY155" s="24"/>
      <c r="CZ155" s="11"/>
      <c r="DA155" s="11"/>
      <c r="DB155" s="11"/>
      <c r="DC155" s="11"/>
      <c r="DD155" s="11"/>
    </row>
    <row r="156" spans="1:108" ht="13.2" customHeight="1">
      <c r="D156" t="s">
        <v>811</v>
      </c>
      <c r="O156" s="1472" t="s">
        <v>812</v>
      </c>
      <c r="P156" s="1362"/>
      <c r="Q156" s="1362"/>
      <c r="R156" s="1362"/>
      <c r="S156" s="1362"/>
      <c r="T156" s="1362"/>
      <c r="U156" s="1362"/>
      <c r="V156" s="1362"/>
      <c r="W156" s="1362"/>
      <c r="X156" s="1362"/>
      <c r="Y156" s="1362"/>
      <c r="Z156" s="1362"/>
      <c r="AA156" s="1362"/>
      <c r="AB156" s="1362"/>
      <c r="AC156" s="1362"/>
      <c r="AD156" s="1362"/>
      <c r="AE156" s="1362"/>
      <c r="AF156" s="1362"/>
      <c r="AG156" s="1362"/>
      <c r="AH156" s="1362"/>
      <c r="BT156" t="s">
        <v>547</v>
      </c>
      <c r="CB156" s="108" t="s">
        <v>813</v>
      </c>
      <c r="CC156" s="109"/>
      <c r="CD156" s="109"/>
      <c r="CE156" s="109"/>
      <c r="CF156" s="109"/>
      <c r="CG156" s="109"/>
      <c r="CH156" s="109"/>
      <c r="CI156" s="2"/>
      <c r="CJ156" s="108" t="s">
        <v>814</v>
      </c>
      <c r="CK156" s="2"/>
      <c r="CL156" s="2"/>
      <c r="CM156" s="2"/>
      <c r="CN156" s="2"/>
      <c r="CR156" s="24"/>
      <c r="CS156" s="25"/>
      <c r="CT156" s="25"/>
      <c r="CU156" s="25"/>
      <c r="CV156" s="25"/>
      <c r="CW156" s="25"/>
      <c r="CX156" s="11"/>
      <c r="CY156" s="24"/>
      <c r="CZ156" s="11"/>
      <c r="DA156" s="11"/>
      <c r="DB156" s="11"/>
      <c r="DC156" s="11"/>
      <c r="DD156" s="11"/>
    </row>
    <row r="157" spans="1:108" ht="13.2" customHeight="1">
      <c r="D157" t="s">
        <v>815</v>
      </c>
      <c r="O157" s="1472" t="s">
        <v>816</v>
      </c>
      <c r="P157" s="1472"/>
      <c r="Q157" s="1472"/>
      <c r="R157" s="1472"/>
      <c r="S157" s="1472"/>
      <c r="T157" s="1472"/>
      <c r="U157" s="1472"/>
      <c r="V157" s="1472"/>
      <c r="W157" s="1472"/>
      <c r="X157" s="1472"/>
      <c r="Y157" s="6"/>
      <c r="Z157" s="6"/>
      <c r="AA157" s="6"/>
      <c r="AB157" s="6"/>
      <c r="AC157" s="6"/>
      <c r="AD157" s="6"/>
      <c r="AE157" s="6"/>
      <c r="AF157" s="6"/>
      <c r="BN157" s="110" t="s">
        <v>817</v>
      </c>
      <c r="BS157">
        <v>2</v>
      </c>
      <c r="BT157" t="s">
        <v>818</v>
      </c>
      <c r="CB157" s="171" t="s">
        <v>819</v>
      </c>
      <c r="CC157" s="109"/>
      <c r="CD157" s="109"/>
      <c r="CE157" s="109"/>
      <c r="CF157" s="109"/>
      <c r="CG157" s="109"/>
      <c r="CH157" s="109"/>
      <c r="CI157" s="2"/>
      <c r="CJ157" s="171" t="s">
        <v>820</v>
      </c>
      <c r="CK157" s="2"/>
      <c r="CL157" s="2"/>
      <c r="CM157" s="2"/>
      <c r="CN157" s="2"/>
      <c r="CR157" s="11"/>
      <c r="CS157" s="25"/>
      <c r="CT157" s="25"/>
      <c r="CU157" s="25"/>
      <c r="CV157" s="25"/>
      <c r="CW157" s="25"/>
      <c r="CX157" s="11"/>
      <c r="CY157" s="11"/>
      <c r="CZ157" s="11"/>
      <c r="DA157" s="11"/>
      <c r="DB157" s="11"/>
      <c r="DC157" s="11"/>
      <c r="DD157" s="11"/>
    </row>
    <row r="158" spans="1:108" ht="13.2" customHeight="1">
      <c r="D158" t="s">
        <v>821</v>
      </c>
      <c r="O158" s="1506">
        <v>94041</v>
      </c>
      <c r="P158" s="1506"/>
      <c r="Q158" s="1506"/>
      <c r="R158" s="1506"/>
      <c r="S158" s="7"/>
      <c r="T158" s="7"/>
      <c r="U158" s="7"/>
      <c r="V158" s="7"/>
      <c r="W158" s="7"/>
      <c r="X158" s="7"/>
      <c r="Y158" s="7"/>
      <c r="Z158" s="7"/>
      <c r="AA158" s="7"/>
      <c r="AB158" s="7"/>
      <c r="AC158" s="7"/>
      <c r="AD158" s="7"/>
      <c r="AE158" s="7"/>
      <c r="AF158" s="7"/>
      <c r="BN158" s="110" t="s">
        <v>822</v>
      </c>
      <c r="BS158">
        <v>7</v>
      </c>
      <c r="BT158" t="s">
        <v>823</v>
      </c>
      <c r="CB158" s="1037"/>
      <c r="CC158" s="1038"/>
      <c r="CD158" s="1039"/>
      <c r="CE158" s="1039"/>
      <c r="CF158" s="1039"/>
      <c r="CG158" s="1039"/>
      <c r="CH158" s="1039"/>
      <c r="CI158" s="2"/>
      <c r="CJ158" s="2"/>
      <c r="CK158" s="2"/>
      <c r="CL158" s="2"/>
      <c r="CM158" s="2"/>
      <c r="CN158" s="2"/>
      <c r="CR158" s="11"/>
      <c r="CS158" s="25"/>
      <c r="CT158" s="25"/>
      <c r="CU158" s="25"/>
      <c r="CV158" s="25"/>
      <c r="CW158" s="25"/>
      <c r="CX158" s="11"/>
      <c r="CY158" s="11"/>
      <c r="CZ158" s="11"/>
      <c r="DA158" s="11"/>
      <c r="DB158" s="11"/>
      <c r="DC158" s="11"/>
      <c r="DD158" s="11"/>
    </row>
    <row r="159" spans="1:108" ht="13.2" customHeight="1" thickBot="1">
      <c r="D159" t="s">
        <v>824</v>
      </c>
      <c r="O159" s="1493" t="s">
        <v>825</v>
      </c>
      <c r="P159" s="1501"/>
      <c r="Q159" s="1501"/>
      <c r="R159" s="1501"/>
      <c r="S159" s="1501"/>
      <c r="T159" s="1501"/>
      <c r="V159" s="56" t="s">
        <v>826</v>
      </c>
      <c r="W159" s="1507"/>
      <c r="X159" s="1507"/>
      <c r="Y159" s="8"/>
      <c r="Z159" s="8"/>
      <c r="AA159" s="8"/>
      <c r="AB159" s="8"/>
      <c r="AC159" s="8"/>
      <c r="AD159" s="8"/>
      <c r="AE159" s="8"/>
      <c r="AF159" s="8"/>
      <c r="BN159" s="110" t="s">
        <v>827</v>
      </c>
      <c r="BS159">
        <v>7</v>
      </c>
      <c r="BT159" t="s">
        <v>828</v>
      </c>
      <c r="CB159" s="221" t="s">
        <v>829</v>
      </c>
      <c r="CC159" s="222" t="s">
        <v>830</v>
      </c>
      <c r="CD159" s="222" t="s">
        <v>831</v>
      </c>
      <c r="CE159" s="222" t="s">
        <v>832</v>
      </c>
      <c r="CF159" s="222" t="s">
        <v>833</v>
      </c>
      <c r="CG159" s="222" t="s">
        <v>834</v>
      </c>
      <c r="CH159" s="222" t="s">
        <v>835</v>
      </c>
      <c r="CI159" s="2"/>
      <c r="CJ159" s="222" t="s">
        <v>830</v>
      </c>
      <c r="CK159" s="222" t="s">
        <v>831</v>
      </c>
      <c r="CL159" s="222" t="s">
        <v>832</v>
      </c>
      <c r="CM159" s="222" t="s">
        <v>833</v>
      </c>
      <c r="CN159" s="222" t="s">
        <v>834</v>
      </c>
      <c r="CR159" s="11"/>
      <c r="CS159" s="1040" t="s">
        <v>836</v>
      </c>
      <c r="CT159" s="1041" t="s">
        <v>831</v>
      </c>
      <c r="CU159" s="1041" t="s">
        <v>832</v>
      </c>
      <c r="CV159" s="1041" t="s">
        <v>833</v>
      </c>
      <c r="CW159" s="1041" t="s">
        <v>837</v>
      </c>
      <c r="CX159" s="11"/>
      <c r="CY159" s="11"/>
      <c r="CZ159" s="1040" t="s">
        <v>836</v>
      </c>
      <c r="DA159" s="1041" t="s">
        <v>831</v>
      </c>
      <c r="DB159" s="1041" t="s">
        <v>832</v>
      </c>
      <c r="DC159" s="1041" t="s">
        <v>833</v>
      </c>
      <c r="DD159" s="1041" t="s">
        <v>837</v>
      </c>
    </row>
    <row r="160" spans="1:108" ht="13.2" customHeight="1">
      <c r="D160" t="s">
        <v>838</v>
      </c>
      <c r="O160" s="1493" t="s">
        <v>839</v>
      </c>
      <c r="P160" s="1501"/>
      <c r="Q160" s="1501"/>
      <c r="R160" s="1501"/>
      <c r="S160" s="1501"/>
      <c r="T160" s="1501"/>
      <c r="U160" s="8"/>
      <c r="V160" s="8"/>
      <c r="W160" s="8"/>
      <c r="X160" s="8"/>
      <c r="Y160" s="8"/>
      <c r="Z160" s="8"/>
      <c r="AA160" s="8"/>
      <c r="AB160" s="8"/>
      <c r="AC160" s="8"/>
      <c r="AD160" s="8"/>
      <c r="AE160" s="8"/>
      <c r="AF160" s="8"/>
      <c r="BN160" s="110" t="s">
        <v>840</v>
      </c>
      <c r="BS160">
        <v>6</v>
      </c>
      <c r="BT160" t="s">
        <v>841</v>
      </c>
      <c r="CB160" s="223" t="s">
        <v>818</v>
      </c>
      <c r="CC160" s="313">
        <v>2796</v>
      </c>
      <c r="CD160" s="314">
        <v>2996</v>
      </c>
      <c r="CE160" s="315">
        <v>3596</v>
      </c>
      <c r="CF160" s="314">
        <v>4154</v>
      </c>
      <c r="CG160" s="315">
        <v>4634</v>
      </c>
      <c r="CH160" s="316">
        <v>5114</v>
      </c>
      <c r="CI160" s="2"/>
      <c r="CJ160" s="683">
        <v>1937</v>
      </c>
      <c r="CK160" s="683">
        <v>2201</v>
      </c>
      <c r="CL160" s="683">
        <v>2682</v>
      </c>
      <c r="CM160" s="683">
        <v>3432</v>
      </c>
      <c r="CN160" s="683">
        <v>4077</v>
      </c>
      <c r="CR160" s="110" t="s">
        <v>817</v>
      </c>
      <c r="CS160" s="202">
        <v>473390</v>
      </c>
      <c r="CT160" s="202">
        <v>545814</v>
      </c>
      <c r="CU160" s="202">
        <v>658400</v>
      </c>
      <c r="CV160" s="202">
        <v>842752</v>
      </c>
      <c r="CW160" s="202">
        <v>938878</v>
      </c>
      <c r="CX160" s="11"/>
      <c r="CY160" s="110" t="s">
        <v>817</v>
      </c>
      <c r="CZ160" s="202">
        <v>473390</v>
      </c>
      <c r="DA160" s="202">
        <v>545814</v>
      </c>
      <c r="DB160" s="202">
        <v>658400</v>
      </c>
      <c r="DC160" s="202">
        <v>842752</v>
      </c>
      <c r="DD160" s="202">
        <v>938878</v>
      </c>
    </row>
    <row r="161" spans="1:108" ht="13.2" customHeight="1">
      <c r="D161" t="s">
        <v>842</v>
      </c>
      <c r="O161" s="1490" t="s">
        <v>843</v>
      </c>
      <c r="P161" s="1490"/>
      <c r="Q161" s="1490"/>
      <c r="R161" s="1490"/>
      <c r="S161" s="1490"/>
      <c r="T161" s="1490"/>
      <c r="U161" s="1490"/>
      <c r="V161" s="1490"/>
      <c r="W161" s="1490"/>
      <c r="X161" s="1490"/>
      <c r="Y161" s="1490"/>
      <c r="Z161" s="1490"/>
      <c r="AA161" s="1490"/>
      <c r="AB161" s="1490"/>
      <c r="AC161" s="1490"/>
      <c r="AD161" s="1490"/>
      <c r="AE161" s="1490"/>
      <c r="AF161" s="1490"/>
      <c r="AG161" s="1490"/>
      <c r="AH161" s="1490"/>
      <c r="BJ161" t="s">
        <v>844</v>
      </c>
      <c r="BN161" s="110" t="s">
        <v>845</v>
      </c>
      <c r="BS161">
        <v>7</v>
      </c>
      <c r="BT161" t="s">
        <v>846</v>
      </c>
      <c r="CB161" s="224" t="s">
        <v>823</v>
      </c>
      <c r="CC161" s="317">
        <v>2020</v>
      </c>
      <c r="CD161" s="318">
        <v>2162</v>
      </c>
      <c r="CE161" s="317">
        <v>2594</v>
      </c>
      <c r="CF161" s="318">
        <v>3000</v>
      </c>
      <c r="CG161" s="318">
        <v>3346</v>
      </c>
      <c r="CH161" s="319">
        <v>3692</v>
      </c>
      <c r="CI161" s="2"/>
      <c r="CJ161" s="683">
        <v>1003</v>
      </c>
      <c r="CK161" s="683">
        <v>1101</v>
      </c>
      <c r="CL161" s="683">
        <v>1445</v>
      </c>
      <c r="CM161" s="683">
        <v>2025</v>
      </c>
      <c r="CN161" s="683">
        <v>2396</v>
      </c>
      <c r="CR161" s="110" t="s">
        <v>822</v>
      </c>
      <c r="CS161" s="200">
        <v>352022</v>
      </c>
      <c r="CT161" s="200">
        <v>405878</v>
      </c>
      <c r="CU161" s="200">
        <v>489600</v>
      </c>
      <c r="CV161" s="200">
        <v>626688</v>
      </c>
      <c r="CW161" s="200">
        <v>698170</v>
      </c>
      <c r="CX161" s="11"/>
      <c r="CY161" s="110" t="s">
        <v>822</v>
      </c>
      <c r="CZ161" s="200">
        <v>352022</v>
      </c>
      <c r="DA161" s="200">
        <v>405878</v>
      </c>
      <c r="DB161" s="200">
        <v>489600</v>
      </c>
      <c r="DC161" s="200">
        <v>626688</v>
      </c>
      <c r="DD161" s="200">
        <v>698170</v>
      </c>
    </row>
    <row r="162" spans="1:108" ht="13.2" customHeight="1">
      <c r="O162" s="94"/>
      <c r="P162" s="94"/>
      <c r="Q162" s="94"/>
      <c r="R162" s="94"/>
      <c r="S162" s="94"/>
      <c r="T162" s="94"/>
      <c r="U162" s="94"/>
      <c r="V162" s="94"/>
      <c r="W162" s="94"/>
      <c r="X162" s="94"/>
      <c r="Y162" s="94"/>
      <c r="Z162" s="94"/>
      <c r="AA162" s="94"/>
      <c r="AB162" s="94"/>
      <c r="AC162" s="94"/>
      <c r="AD162" s="94"/>
      <c r="AE162" s="94"/>
      <c r="AF162" s="94"/>
      <c r="AG162" s="94"/>
      <c r="AH162" s="94"/>
      <c r="BJ162" t="s">
        <v>694</v>
      </c>
      <c r="BN162" s="110" t="s">
        <v>847</v>
      </c>
      <c r="BS162">
        <v>7</v>
      </c>
      <c r="BT162" t="s">
        <v>848</v>
      </c>
      <c r="CB162" s="224" t="s">
        <v>828</v>
      </c>
      <c r="CC162" s="320">
        <v>1924</v>
      </c>
      <c r="CD162" s="321">
        <v>2062</v>
      </c>
      <c r="CE162" s="320">
        <v>2474</v>
      </c>
      <c r="CF162" s="321">
        <v>2856</v>
      </c>
      <c r="CG162" s="321">
        <v>3186</v>
      </c>
      <c r="CH162" s="322">
        <v>3516</v>
      </c>
      <c r="CI162" s="2"/>
      <c r="CJ162" s="683">
        <v>1253</v>
      </c>
      <c r="CK162" s="683">
        <v>1260</v>
      </c>
      <c r="CL162" s="683">
        <v>1493</v>
      </c>
      <c r="CM162" s="683">
        <v>2084</v>
      </c>
      <c r="CN162" s="683">
        <v>2507</v>
      </c>
      <c r="CR162" s="110" t="s">
        <v>827</v>
      </c>
      <c r="CS162" s="202">
        <v>352022</v>
      </c>
      <c r="CT162" s="202">
        <v>405878</v>
      </c>
      <c r="CU162" s="202">
        <v>489600</v>
      </c>
      <c r="CV162" s="202">
        <v>626688</v>
      </c>
      <c r="CW162" s="202">
        <v>698170</v>
      </c>
      <c r="CX162" s="11"/>
      <c r="CY162" s="110" t="s">
        <v>827</v>
      </c>
      <c r="CZ162" s="202">
        <v>352022</v>
      </c>
      <c r="DA162" s="202">
        <v>405878</v>
      </c>
      <c r="DB162" s="202">
        <v>489600</v>
      </c>
      <c r="DC162" s="202">
        <v>626688</v>
      </c>
      <c r="DD162" s="202">
        <v>698170</v>
      </c>
    </row>
    <row r="163" spans="1:108" ht="13.2" customHeight="1">
      <c r="C163" s="21" t="s">
        <v>849</v>
      </c>
      <c r="D163" s="2" t="s">
        <v>850</v>
      </c>
      <c r="O163" s="94"/>
      <c r="P163" s="94"/>
      <c r="Q163" s="94"/>
      <c r="R163" s="94"/>
      <c r="S163" s="94"/>
      <c r="T163" s="94"/>
      <c r="U163" s="94"/>
      <c r="V163" s="94"/>
      <c r="W163" s="94"/>
      <c r="X163" s="94"/>
      <c r="Y163" s="94"/>
      <c r="Z163" s="94"/>
      <c r="AA163" s="94"/>
      <c r="AB163" s="94"/>
      <c r="AC163" s="94"/>
      <c r="AD163" s="94"/>
      <c r="AE163" s="94"/>
      <c r="AF163" s="94"/>
      <c r="AG163" s="94"/>
      <c r="AH163" s="94"/>
      <c r="BN163" s="110" t="s">
        <v>851</v>
      </c>
      <c r="BS163">
        <v>2</v>
      </c>
      <c r="BT163" t="s">
        <v>852</v>
      </c>
      <c r="CB163" s="224" t="s">
        <v>841</v>
      </c>
      <c r="CC163" s="320">
        <v>1644</v>
      </c>
      <c r="CD163" s="321">
        <v>1762</v>
      </c>
      <c r="CE163" s="320">
        <v>2114</v>
      </c>
      <c r="CF163" s="321">
        <v>2442</v>
      </c>
      <c r="CG163" s="321">
        <v>2724</v>
      </c>
      <c r="CH163" s="322">
        <v>3006</v>
      </c>
      <c r="CI163" s="2"/>
      <c r="CJ163" s="683">
        <v>1069</v>
      </c>
      <c r="CK163" s="683">
        <v>1126</v>
      </c>
      <c r="CL163" s="683">
        <v>1466</v>
      </c>
      <c r="CM163" s="683">
        <v>2054</v>
      </c>
      <c r="CN163" s="683">
        <v>2462</v>
      </c>
      <c r="CR163" s="110" t="s">
        <v>840</v>
      </c>
      <c r="CS163" s="200">
        <v>319236</v>
      </c>
      <c r="CT163" s="200">
        <v>368076</v>
      </c>
      <c r="CU163" s="200">
        <v>444000</v>
      </c>
      <c r="CV163" s="200">
        <v>568320</v>
      </c>
      <c r="CW163" s="200">
        <v>633144</v>
      </c>
      <c r="CX163" s="11"/>
      <c r="CY163" s="110" t="s">
        <v>840</v>
      </c>
      <c r="CZ163" s="200">
        <v>319236</v>
      </c>
      <c r="DA163" s="200">
        <v>368076</v>
      </c>
      <c r="DB163" s="200">
        <v>444000</v>
      </c>
      <c r="DC163" s="200">
        <v>568320</v>
      </c>
      <c r="DD163" s="200">
        <v>633144</v>
      </c>
    </row>
    <row r="164" spans="1:108" ht="13.2" customHeight="1">
      <c r="C164" s="21"/>
      <c r="D164" s="1498" t="s">
        <v>853</v>
      </c>
      <c r="E164" s="1498"/>
      <c r="F164" s="1498"/>
      <c r="G164" s="1498"/>
      <c r="H164" s="1498"/>
      <c r="I164" s="1498"/>
      <c r="J164" s="1498"/>
      <c r="K164" s="1498"/>
      <c r="L164" s="1498"/>
      <c r="M164" s="1498"/>
      <c r="N164" s="1498"/>
      <c r="O164" s="1498"/>
      <c r="P164" s="1498"/>
      <c r="Q164" s="1498"/>
      <c r="R164" s="1498"/>
      <c r="S164" s="1498"/>
      <c r="T164" s="1498"/>
      <c r="U164" s="1498"/>
      <c r="V164" s="1498"/>
      <c r="W164" s="1498"/>
      <c r="X164" s="1498"/>
      <c r="Y164" s="1498"/>
      <c r="Z164" s="1498"/>
      <c r="AA164" s="1498"/>
      <c r="AB164" s="1498"/>
      <c r="AC164" s="1498"/>
      <c r="AD164" s="1498"/>
      <c r="AE164" s="1498"/>
      <c r="AF164" s="1498"/>
      <c r="AG164" s="1498"/>
      <c r="AH164" s="1498"/>
      <c r="BN164" s="110" t="s">
        <v>854</v>
      </c>
      <c r="BS164">
        <v>7</v>
      </c>
      <c r="BT164" t="s">
        <v>855</v>
      </c>
      <c r="CB164" s="224" t="s">
        <v>846</v>
      </c>
      <c r="CC164" s="320">
        <v>1776</v>
      </c>
      <c r="CD164" s="321">
        <v>1902</v>
      </c>
      <c r="CE164" s="320">
        <v>2284</v>
      </c>
      <c r="CF164" s="321">
        <v>2640</v>
      </c>
      <c r="CG164" s="321">
        <v>2944</v>
      </c>
      <c r="CH164" s="322">
        <v>3248</v>
      </c>
      <c r="CI164" s="2"/>
      <c r="CJ164" s="683">
        <v>989</v>
      </c>
      <c r="CK164" s="683">
        <v>1086</v>
      </c>
      <c r="CL164" s="683">
        <v>1425</v>
      </c>
      <c r="CM164" s="683">
        <v>1997</v>
      </c>
      <c r="CN164" s="683">
        <v>2195</v>
      </c>
      <c r="CR164" s="110" t="s">
        <v>845</v>
      </c>
      <c r="CS164" s="202">
        <v>352022</v>
      </c>
      <c r="CT164" s="202">
        <v>405878</v>
      </c>
      <c r="CU164" s="202">
        <v>489600</v>
      </c>
      <c r="CV164" s="202">
        <v>626688</v>
      </c>
      <c r="CW164" s="202">
        <v>698170</v>
      </c>
      <c r="CX164" s="11"/>
      <c r="CY164" s="110" t="s">
        <v>845</v>
      </c>
      <c r="CZ164" s="202">
        <v>352022</v>
      </c>
      <c r="DA164" s="202">
        <v>405878</v>
      </c>
      <c r="DB164" s="202">
        <v>489600</v>
      </c>
      <c r="DC164" s="202">
        <v>626688</v>
      </c>
      <c r="DD164" s="202">
        <v>698170</v>
      </c>
    </row>
    <row r="165" spans="1:108" ht="13.2" customHeight="1">
      <c r="C165" s="21"/>
      <c r="D165" s="57"/>
      <c r="E165" s="57"/>
      <c r="F165" s="57"/>
      <c r="G165" s="57"/>
      <c r="H165" s="57"/>
      <c r="I165" s="57"/>
      <c r="J165" s="57"/>
      <c r="K165" s="57"/>
      <c r="L165" s="57"/>
      <c r="M165" s="57"/>
      <c r="N165" s="57"/>
      <c r="O165" s="1042"/>
      <c r="P165" s="1042"/>
      <c r="Q165" s="1042"/>
      <c r="R165" s="1042"/>
      <c r="S165" s="1042"/>
      <c r="T165" s="1042"/>
      <c r="U165" s="1042"/>
      <c r="V165" s="1042"/>
      <c r="W165" s="1042"/>
      <c r="X165" s="1042"/>
      <c r="Y165" s="1042"/>
      <c r="Z165" s="1042"/>
      <c r="AA165" s="94"/>
      <c r="AB165" s="94"/>
      <c r="AC165" s="94"/>
      <c r="AD165" s="94"/>
      <c r="AE165" s="94"/>
      <c r="AF165" s="94"/>
      <c r="AG165" s="94"/>
      <c r="AH165" s="94"/>
      <c r="BN165" s="110" t="s">
        <v>856</v>
      </c>
      <c r="BS165">
        <v>6</v>
      </c>
      <c r="BT165" t="s">
        <v>857</v>
      </c>
      <c r="CB165" s="224" t="s">
        <v>848</v>
      </c>
      <c r="CC165" s="320">
        <v>1680</v>
      </c>
      <c r="CD165" s="321">
        <v>1800</v>
      </c>
      <c r="CE165" s="320">
        <v>2160</v>
      </c>
      <c r="CF165" s="321">
        <v>2496</v>
      </c>
      <c r="CG165" s="321">
        <v>2784</v>
      </c>
      <c r="CH165" s="322">
        <v>3072</v>
      </c>
      <c r="CI165" s="2"/>
      <c r="CJ165" s="683">
        <v>915</v>
      </c>
      <c r="CK165" s="683">
        <v>921</v>
      </c>
      <c r="CL165" s="683">
        <v>1208</v>
      </c>
      <c r="CM165" s="683">
        <v>1625</v>
      </c>
      <c r="CN165" s="683">
        <v>1631</v>
      </c>
      <c r="CR165" s="110" t="s">
        <v>847</v>
      </c>
      <c r="CS165" s="200">
        <v>352022</v>
      </c>
      <c r="CT165" s="200">
        <v>405878</v>
      </c>
      <c r="CU165" s="200">
        <v>489600</v>
      </c>
      <c r="CV165" s="200">
        <v>626688</v>
      </c>
      <c r="CW165" s="200">
        <v>698170</v>
      </c>
      <c r="CX165" s="11"/>
      <c r="CY165" s="110" t="s">
        <v>847</v>
      </c>
      <c r="CZ165" s="200">
        <v>352022</v>
      </c>
      <c r="DA165" s="200">
        <v>405878</v>
      </c>
      <c r="DB165" s="200">
        <v>489600</v>
      </c>
      <c r="DC165" s="200">
        <v>626688</v>
      </c>
      <c r="DD165" s="200">
        <v>698170</v>
      </c>
    </row>
    <row r="166" spans="1:108" ht="13.2" customHeight="1">
      <c r="B166" s="1"/>
      <c r="C166" s="21"/>
      <c r="D166" s="57"/>
      <c r="E166" s="57"/>
      <c r="F166" s="57"/>
      <c r="G166" s="57"/>
      <c r="H166" s="57"/>
      <c r="I166" s="57"/>
      <c r="J166" s="57"/>
      <c r="K166" s="57"/>
      <c r="L166" s="57"/>
      <c r="M166" s="57"/>
      <c r="N166" s="57"/>
      <c r="O166" s="1042"/>
      <c r="P166" s="1042"/>
      <c r="Q166" s="1042"/>
      <c r="R166" s="1042"/>
      <c r="S166" s="1042"/>
      <c r="T166" s="1042"/>
      <c r="U166" s="1042"/>
      <c r="V166" s="1042"/>
      <c r="W166" s="1042"/>
      <c r="X166" s="1042"/>
      <c r="Y166" s="1042"/>
      <c r="Z166" s="1042"/>
      <c r="AA166" s="94"/>
      <c r="AB166" s="94"/>
      <c r="AC166" s="94"/>
      <c r="AD166" s="94"/>
      <c r="AE166" s="94"/>
      <c r="AF166" s="94"/>
      <c r="AG166" s="94"/>
      <c r="AH166" s="94"/>
      <c r="BN166" s="110" t="s">
        <v>858</v>
      </c>
      <c r="BS166">
        <v>5</v>
      </c>
      <c r="BT166" t="s">
        <v>859</v>
      </c>
      <c r="CB166" s="224" t="s">
        <v>852</v>
      </c>
      <c r="CC166" s="320">
        <v>2796</v>
      </c>
      <c r="CD166" s="321">
        <v>2996</v>
      </c>
      <c r="CE166" s="320">
        <v>3596</v>
      </c>
      <c r="CF166" s="321">
        <v>4154</v>
      </c>
      <c r="CG166" s="321">
        <v>4634</v>
      </c>
      <c r="CH166" s="322">
        <v>5114</v>
      </c>
      <c r="CI166" s="2"/>
      <c r="CJ166" s="683">
        <v>1937</v>
      </c>
      <c r="CK166" s="683">
        <v>2201</v>
      </c>
      <c r="CL166" s="683">
        <v>2682</v>
      </c>
      <c r="CM166" s="683">
        <v>3432</v>
      </c>
      <c r="CN166" s="683">
        <v>4077</v>
      </c>
      <c r="CR166" s="110" t="s">
        <v>851</v>
      </c>
      <c r="CS166" s="202">
        <v>473390</v>
      </c>
      <c r="CT166" s="202">
        <v>545814</v>
      </c>
      <c r="CU166" s="202">
        <v>658400</v>
      </c>
      <c r="CV166" s="202">
        <v>842752</v>
      </c>
      <c r="CW166" s="202">
        <v>938878</v>
      </c>
      <c r="CX166" s="11"/>
      <c r="CY166" s="110" t="s">
        <v>851</v>
      </c>
      <c r="CZ166" s="202">
        <v>473390</v>
      </c>
      <c r="DA166" s="202">
        <v>545814</v>
      </c>
      <c r="DB166" s="202">
        <v>658400</v>
      </c>
      <c r="DC166" s="202">
        <v>842752</v>
      </c>
      <c r="DD166" s="202">
        <v>938878</v>
      </c>
    </row>
    <row r="167" spans="1:108" ht="13.2" customHeight="1">
      <c r="B167" s="1"/>
      <c r="C167" s="21"/>
      <c r="D167" s="57"/>
      <c r="E167" s="57"/>
      <c r="F167" s="57"/>
      <c r="G167" s="57"/>
      <c r="H167" s="57"/>
      <c r="I167" s="57"/>
      <c r="J167" s="57"/>
      <c r="K167" s="57"/>
      <c r="L167" s="57"/>
      <c r="M167" s="57"/>
      <c r="N167" s="57"/>
      <c r="O167" s="1042"/>
      <c r="P167" s="1042"/>
      <c r="Q167" s="1042"/>
      <c r="R167" s="1042"/>
      <c r="S167" s="1042"/>
      <c r="T167" s="1042"/>
      <c r="U167" s="1042"/>
      <c r="V167" s="1042"/>
      <c r="W167" s="1042"/>
      <c r="X167" s="1042"/>
      <c r="Y167" s="1042"/>
      <c r="Z167" s="1042"/>
      <c r="AA167" s="94"/>
      <c r="AB167" s="94"/>
      <c r="AC167" s="94"/>
      <c r="AD167" s="94"/>
      <c r="AE167" s="94"/>
      <c r="AF167" s="94"/>
      <c r="AG167" s="94"/>
      <c r="AH167" s="94"/>
      <c r="BN167" s="110" t="s">
        <v>860</v>
      </c>
      <c r="BS167">
        <v>7</v>
      </c>
      <c r="BT167" t="s">
        <v>861</v>
      </c>
      <c r="CB167" s="224" t="s">
        <v>855</v>
      </c>
      <c r="CC167" s="320">
        <v>1644</v>
      </c>
      <c r="CD167" s="321">
        <v>1762</v>
      </c>
      <c r="CE167" s="320">
        <v>2114</v>
      </c>
      <c r="CF167" s="321">
        <v>2442</v>
      </c>
      <c r="CG167" s="321">
        <v>2724</v>
      </c>
      <c r="CH167" s="322">
        <v>3006</v>
      </c>
      <c r="CI167" s="2"/>
      <c r="CJ167" s="683">
        <v>869</v>
      </c>
      <c r="CK167" s="683">
        <v>1086</v>
      </c>
      <c r="CL167" s="683">
        <v>1253</v>
      </c>
      <c r="CM167" s="683">
        <v>1756</v>
      </c>
      <c r="CN167" s="683">
        <v>2104</v>
      </c>
      <c r="CR167" s="110" t="s">
        <v>854</v>
      </c>
      <c r="CS167" s="200">
        <v>352022</v>
      </c>
      <c r="CT167" s="200">
        <v>405878</v>
      </c>
      <c r="CU167" s="200">
        <v>489600</v>
      </c>
      <c r="CV167" s="200">
        <v>626688</v>
      </c>
      <c r="CW167" s="200">
        <v>698170</v>
      </c>
      <c r="CX167" s="11"/>
      <c r="CY167" s="110" t="s">
        <v>854</v>
      </c>
      <c r="CZ167" s="200">
        <v>352022</v>
      </c>
      <c r="DA167" s="200">
        <v>405878</v>
      </c>
      <c r="DB167" s="200">
        <v>489600</v>
      </c>
      <c r="DC167" s="200">
        <v>626688</v>
      </c>
      <c r="DD167" s="200">
        <v>698170</v>
      </c>
    </row>
    <row r="168" spans="1:108" ht="13.2" customHeight="1">
      <c r="O168" s="94"/>
      <c r="P168" s="94"/>
      <c r="Q168" s="94"/>
      <c r="R168" s="94"/>
      <c r="S168" s="94"/>
      <c r="T168" s="94"/>
      <c r="U168" s="94"/>
      <c r="V168" s="94"/>
      <c r="W168" s="94"/>
      <c r="X168" s="94"/>
      <c r="Y168" s="94"/>
      <c r="Z168" s="94"/>
      <c r="AA168" s="94"/>
      <c r="AB168" s="94"/>
      <c r="AC168" s="94"/>
      <c r="AD168" s="94"/>
      <c r="AE168" s="94"/>
      <c r="AF168" s="94"/>
      <c r="AG168" s="94"/>
      <c r="AH168" s="94"/>
      <c r="BN168" s="110" t="s">
        <v>862</v>
      </c>
      <c r="BS168">
        <v>7</v>
      </c>
      <c r="BT168" t="s">
        <v>863</v>
      </c>
      <c r="CB168" s="224" t="s">
        <v>857</v>
      </c>
      <c r="CC168" s="320">
        <v>2252</v>
      </c>
      <c r="CD168" s="321">
        <v>2412</v>
      </c>
      <c r="CE168" s="320">
        <v>2894</v>
      </c>
      <c r="CF168" s="321">
        <v>3342</v>
      </c>
      <c r="CG168" s="321">
        <v>3730</v>
      </c>
      <c r="CH168" s="322">
        <v>4116</v>
      </c>
      <c r="CI168" s="2"/>
      <c r="CJ168" s="683">
        <v>1679</v>
      </c>
      <c r="CK168" s="683">
        <v>1777</v>
      </c>
      <c r="CL168" s="683">
        <v>2206</v>
      </c>
      <c r="CM168" s="683">
        <v>2992</v>
      </c>
      <c r="CN168" s="683">
        <v>3455</v>
      </c>
      <c r="CR168" s="110" t="s">
        <v>856</v>
      </c>
      <c r="CS168" s="202">
        <v>331890</v>
      </c>
      <c r="CT168" s="202">
        <v>382666</v>
      </c>
      <c r="CU168" s="202">
        <v>461600</v>
      </c>
      <c r="CV168" s="202">
        <v>590848</v>
      </c>
      <c r="CW168" s="202">
        <v>658242</v>
      </c>
      <c r="CX168" s="11"/>
      <c r="CY168" s="110" t="s">
        <v>856</v>
      </c>
      <c r="CZ168" s="202">
        <v>331890</v>
      </c>
      <c r="DA168" s="202">
        <v>382666</v>
      </c>
      <c r="DB168" s="202">
        <v>461600</v>
      </c>
      <c r="DC168" s="202">
        <v>590848</v>
      </c>
      <c r="DD168" s="202">
        <v>658242</v>
      </c>
    </row>
    <row r="169" spans="1:108" ht="13.2" customHeight="1">
      <c r="A169" s="1486" t="s">
        <v>864</v>
      </c>
      <c r="B169" s="1486"/>
      <c r="C169" s="1486"/>
      <c r="D169" s="1486"/>
      <c r="E169" s="1486"/>
      <c r="F169" s="1486"/>
      <c r="G169" s="1486"/>
      <c r="H169" s="1486"/>
      <c r="I169" s="1486"/>
      <c r="J169" s="1486"/>
      <c r="K169" s="1486"/>
      <c r="L169" s="1486"/>
      <c r="M169" s="1486"/>
      <c r="N169" s="1486"/>
      <c r="O169" s="1486"/>
      <c r="P169" s="1486"/>
      <c r="Q169" s="1486"/>
      <c r="R169" s="1486"/>
      <c r="S169" s="1486"/>
      <c r="T169" s="1486"/>
      <c r="U169" s="1486"/>
      <c r="V169" s="1486"/>
      <c r="W169" s="1486"/>
      <c r="X169" s="1486"/>
      <c r="Y169" s="1486"/>
      <c r="Z169" s="1486"/>
      <c r="AA169" s="1486"/>
      <c r="AB169" s="1486"/>
      <c r="AC169" s="1486"/>
      <c r="AD169" s="1486"/>
      <c r="AE169" s="1486"/>
      <c r="AF169" s="1486"/>
      <c r="AG169" s="1486"/>
      <c r="AH169" s="1486"/>
      <c r="AI169" s="1486"/>
      <c r="AJ169" s="1486"/>
      <c r="AK169" s="1486"/>
      <c r="AL169" s="1486"/>
      <c r="AM169" s="1486"/>
      <c r="AN169" s="1486"/>
      <c r="AO169" s="1486"/>
      <c r="AP169" s="1486"/>
      <c r="AQ169" s="1486"/>
      <c r="AR169" s="1486"/>
      <c r="AS169" s="1486"/>
      <c r="AT169" s="1486"/>
      <c r="AU169" s="54"/>
      <c r="AV169" s="54"/>
      <c r="AW169" s="54"/>
      <c r="AX169" s="54"/>
      <c r="AY169" s="54"/>
      <c r="BN169" s="110" t="s">
        <v>865</v>
      </c>
      <c r="BS169">
        <v>5</v>
      </c>
      <c r="BT169" t="s">
        <v>866</v>
      </c>
      <c r="CB169" s="224" t="s">
        <v>859</v>
      </c>
      <c r="CC169" s="320">
        <v>1644</v>
      </c>
      <c r="CD169" s="321">
        <v>1762</v>
      </c>
      <c r="CE169" s="320">
        <v>2114</v>
      </c>
      <c r="CF169" s="321">
        <v>2442</v>
      </c>
      <c r="CG169" s="321">
        <v>2724</v>
      </c>
      <c r="CH169" s="322">
        <v>3006</v>
      </c>
      <c r="CI169" s="2"/>
      <c r="CJ169" s="683">
        <v>1210</v>
      </c>
      <c r="CK169" s="683">
        <v>1217</v>
      </c>
      <c r="CL169" s="683">
        <v>1505</v>
      </c>
      <c r="CM169" s="683">
        <v>2109</v>
      </c>
      <c r="CN169" s="683">
        <v>2415</v>
      </c>
      <c r="CR169" s="110" t="s">
        <v>858</v>
      </c>
      <c r="CS169" s="200">
        <v>307732</v>
      </c>
      <c r="CT169" s="200">
        <v>354812</v>
      </c>
      <c r="CU169" s="200">
        <v>428000</v>
      </c>
      <c r="CV169" s="200">
        <v>547840</v>
      </c>
      <c r="CW169" s="200">
        <v>610328</v>
      </c>
      <c r="CX169" s="11"/>
      <c r="CY169" s="110" t="s">
        <v>858</v>
      </c>
      <c r="CZ169" s="200">
        <v>307732</v>
      </c>
      <c r="DA169" s="200">
        <v>354812</v>
      </c>
      <c r="DB169" s="200">
        <v>428000</v>
      </c>
      <c r="DC169" s="200">
        <v>547840</v>
      </c>
      <c r="DD169" s="200">
        <v>610328</v>
      </c>
    </row>
    <row r="170" spans="1:108" ht="13.2" customHeight="1">
      <c r="A170" s="1486"/>
      <c r="B170" s="1486"/>
      <c r="C170" s="1486"/>
      <c r="D170" s="1486"/>
      <c r="E170" s="1486"/>
      <c r="F170" s="1486"/>
      <c r="G170" s="1486"/>
      <c r="H170" s="1486"/>
      <c r="I170" s="1486"/>
      <c r="J170" s="1486"/>
      <c r="K170" s="1486"/>
      <c r="L170" s="1486"/>
      <c r="M170" s="1486"/>
      <c r="N170" s="1486"/>
      <c r="O170" s="1486"/>
      <c r="P170" s="1486"/>
      <c r="Q170" s="1486"/>
      <c r="R170" s="1486"/>
      <c r="S170" s="1486"/>
      <c r="T170" s="1486"/>
      <c r="U170" s="1486"/>
      <c r="V170" s="1486"/>
      <c r="W170" s="1486"/>
      <c r="X170" s="1486"/>
      <c r="Y170" s="1486"/>
      <c r="Z170" s="1486"/>
      <c r="AA170" s="1486"/>
      <c r="AB170" s="1486"/>
      <c r="AC170" s="1486"/>
      <c r="AD170" s="1486"/>
      <c r="AE170" s="1486"/>
      <c r="AF170" s="1486"/>
      <c r="AG170" s="1486"/>
      <c r="AH170" s="1486"/>
      <c r="AI170" s="1486"/>
      <c r="AJ170" s="1486"/>
      <c r="AK170" s="1486"/>
      <c r="AL170" s="1486"/>
      <c r="AM170" s="1486"/>
      <c r="AN170" s="1486"/>
      <c r="AO170" s="1486"/>
      <c r="AP170" s="1486"/>
      <c r="AQ170" s="1486"/>
      <c r="AR170" s="1486"/>
      <c r="AS170" s="1486"/>
      <c r="AT170" s="1486"/>
      <c r="AU170" s="54"/>
      <c r="AV170" s="54"/>
      <c r="AW170" s="54"/>
      <c r="AX170" s="54"/>
      <c r="AY170" s="54"/>
      <c r="BN170" s="110" t="s">
        <v>867</v>
      </c>
      <c r="BS170">
        <v>7</v>
      </c>
      <c r="BT170" t="s">
        <v>868</v>
      </c>
      <c r="CB170" s="224" t="s">
        <v>861</v>
      </c>
      <c r="CC170" s="320">
        <v>1644</v>
      </c>
      <c r="CD170" s="321">
        <v>1762</v>
      </c>
      <c r="CE170" s="320">
        <v>2114</v>
      </c>
      <c r="CF170" s="321">
        <v>2442</v>
      </c>
      <c r="CG170" s="321">
        <v>2724</v>
      </c>
      <c r="CH170" s="322">
        <v>3006</v>
      </c>
      <c r="CI170" s="2"/>
      <c r="CJ170" s="683">
        <v>841</v>
      </c>
      <c r="CK170" s="683">
        <v>935</v>
      </c>
      <c r="CL170" s="683">
        <v>1227</v>
      </c>
      <c r="CM170" s="683">
        <v>1631</v>
      </c>
      <c r="CN170" s="683">
        <v>2060</v>
      </c>
      <c r="CR170" s="110" t="s">
        <v>860</v>
      </c>
      <c r="CS170" s="202">
        <v>352022</v>
      </c>
      <c r="CT170" s="202">
        <v>405878</v>
      </c>
      <c r="CU170" s="202">
        <v>489600</v>
      </c>
      <c r="CV170" s="202">
        <v>626688</v>
      </c>
      <c r="CW170" s="202">
        <v>698170</v>
      </c>
      <c r="CX170" s="11"/>
      <c r="CY170" s="110" t="s">
        <v>860</v>
      </c>
      <c r="CZ170" s="202">
        <v>352022</v>
      </c>
      <c r="DA170" s="202">
        <v>405878</v>
      </c>
      <c r="DB170" s="202">
        <v>489600</v>
      </c>
      <c r="DC170" s="202">
        <v>626688</v>
      </c>
      <c r="DD170" s="202">
        <v>698170</v>
      </c>
    </row>
    <row r="171" spans="1:108" ht="13.2" customHeight="1">
      <c r="BN171" s="110" t="s">
        <v>869</v>
      </c>
      <c r="BS171">
        <v>5</v>
      </c>
      <c r="BT171" t="s">
        <v>870</v>
      </c>
      <c r="CB171" s="224" t="s">
        <v>863</v>
      </c>
      <c r="CC171" s="320">
        <v>1644</v>
      </c>
      <c r="CD171" s="321">
        <v>1762</v>
      </c>
      <c r="CE171" s="320">
        <v>2114</v>
      </c>
      <c r="CF171" s="321">
        <v>2442</v>
      </c>
      <c r="CG171" s="321">
        <v>2724</v>
      </c>
      <c r="CH171" s="322">
        <v>3006</v>
      </c>
      <c r="CI171" s="2"/>
      <c r="CJ171" s="683">
        <v>1065</v>
      </c>
      <c r="CK171" s="683">
        <v>1132</v>
      </c>
      <c r="CL171" s="683">
        <v>1478</v>
      </c>
      <c r="CM171" s="683">
        <v>2071</v>
      </c>
      <c r="CN171" s="683">
        <v>2482</v>
      </c>
      <c r="CR171" s="110" t="s">
        <v>862</v>
      </c>
      <c r="CS171" s="200">
        <v>352022</v>
      </c>
      <c r="CT171" s="200">
        <v>405878</v>
      </c>
      <c r="CU171" s="200">
        <v>489600</v>
      </c>
      <c r="CV171" s="200">
        <v>626688</v>
      </c>
      <c r="CW171" s="200">
        <v>698170</v>
      </c>
      <c r="CX171" s="11"/>
      <c r="CY171" s="110" t="s">
        <v>862</v>
      </c>
      <c r="CZ171" s="200">
        <v>352022</v>
      </c>
      <c r="DA171" s="200">
        <v>405878</v>
      </c>
      <c r="DB171" s="200">
        <v>489600</v>
      </c>
      <c r="DC171" s="200">
        <v>626688</v>
      </c>
      <c r="DD171" s="200">
        <v>698170</v>
      </c>
    </row>
    <row r="172" spans="1:108" ht="13.2" customHeight="1">
      <c r="A172" s="1" t="s">
        <v>871</v>
      </c>
      <c r="C172" s="1" t="s">
        <v>91</v>
      </c>
      <c r="BN172" s="110" t="s">
        <v>872</v>
      </c>
      <c r="BS172">
        <v>5</v>
      </c>
      <c r="BT172" t="s">
        <v>873</v>
      </c>
      <c r="CB172" s="224" t="s">
        <v>866</v>
      </c>
      <c r="CC172" s="320">
        <v>1644</v>
      </c>
      <c r="CD172" s="321">
        <v>1762</v>
      </c>
      <c r="CE172" s="320">
        <v>2114</v>
      </c>
      <c r="CF172" s="321">
        <v>2442</v>
      </c>
      <c r="CG172" s="321">
        <v>2724</v>
      </c>
      <c r="CH172" s="322">
        <v>3006</v>
      </c>
      <c r="CI172" s="2"/>
      <c r="CJ172" s="683">
        <v>940</v>
      </c>
      <c r="CK172" s="683">
        <v>1056</v>
      </c>
      <c r="CL172" s="683">
        <v>1371</v>
      </c>
      <c r="CM172" s="683">
        <v>1873</v>
      </c>
      <c r="CN172" s="683">
        <v>2287</v>
      </c>
      <c r="CR172" s="110" t="s">
        <v>865</v>
      </c>
      <c r="CS172" s="202">
        <v>324988</v>
      </c>
      <c r="CT172" s="202">
        <v>374708</v>
      </c>
      <c r="CU172" s="202">
        <v>452000</v>
      </c>
      <c r="CV172" s="202">
        <v>578560</v>
      </c>
      <c r="CW172" s="202">
        <v>644552</v>
      </c>
      <c r="CX172" s="11"/>
      <c r="CY172" s="110" t="s">
        <v>865</v>
      </c>
      <c r="CZ172" s="202">
        <v>324988</v>
      </c>
      <c r="DA172" s="202">
        <v>374708</v>
      </c>
      <c r="DB172" s="202">
        <v>452000</v>
      </c>
      <c r="DC172" s="202">
        <v>578560</v>
      </c>
      <c r="DD172" s="202">
        <v>644552</v>
      </c>
    </row>
    <row r="173" spans="1:108" ht="13.2" customHeight="1">
      <c r="C173" s="18"/>
      <c r="D173" t="s">
        <v>874</v>
      </c>
      <c r="J173" s="1483" t="s">
        <v>875</v>
      </c>
      <c r="K173" s="1483"/>
      <c r="L173" s="1483"/>
      <c r="M173" s="1483"/>
      <c r="N173" s="1483"/>
      <c r="O173" s="1483"/>
      <c r="P173" s="1483"/>
      <c r="Q173" s="1483"/>
      <c r="R173" s="1483"/>
      <c r="S173" s="1483"/>
      <c r="U173" s="19"/>
      <c r="X173" s="19"/>
      <c r="BB173" s="2" t="s">
        <v>547</v>
      </c>
      <c r="BN173" s="110" t="s">
        <v>876</v>
      </c>
      <c r="BS173">
        <v>7</v>
      </c>
      <c r="BT173" t="s">
        <v>877</v>
      </c>
      <c r="CB173" s="224" t="s">
        <v>868</v>
      </c>
      <c r="CC173" s="320">
        <v>1680</v>
      </c>
      <c r="CD173" s="321">
        <v>1800</v>
      </c>
      <c r="CE173" s="320">
        <v>2160</v>
      </c>
      <c r="CF173" s="321">
        <v>2496</v>
      </c>
      <c r="CG173" s="321">
        <v>2784</v>
      </c>
      <c r="CH173" s="322">
        <v>3072</v>
      </c>
      <c r="CI173" s="2"/>
      <c r="CJ173" s="683">
        <v>978</v>
      </c>
      <c r="CK173" s="683">
        <v>1254</v>
      </c>
      <c r="CL173" s="683">
        <v>1426</v>
      </c>
      <c r="CM173" s="683">
        <v>1734</v>
      </c>
      <c r="CN173" s="683">
        <v>2365</v>
      </c>
      <c r="CR173" s="110" t="s">
        <v>867</v>
      </c>
      <c r="CS173" s="200">
        <v>352022</v>
      </c>
      <c r="CT173" s="200">
        <v>405878</v>
      </c>
      <c r="CU173" s="200">
        <v>489600</v>
      </c>
      <c r="CV173" s="200">
        <v>626688</v>
      </c>
      <c r="CW173" s="200">
        <v>698170</v>
      </c>
      <c r="CX173" s="11"/>
      <c r="CY173" s="110" t="s">
        <v>867</v>
      </c>
      <c r="CZ173" s="200">
        <v>352022</v>
      </c>
      <c r="DA173" s="200">
        <v>405878</v>
      </c>
      <c r="DB173" s="200">
        <v>489600</v>
      </c>
      <c r="DC173" s="200">
        <v>626688</v>
      </c>
      <c r="DD173" s="200">
        <v>698170</v>
      </c>
    </row>
    <row r="174" spans="1:108" ht="13.2" customHeight="1">
      <c r="C174" s="18"/>
      <c r="D174" s="2" t="s">
        <v>878</v>
      </c>
      <c r="J174" s="1362" t="s">
        <v>879</v>
      </c>
      <c r="K174" s="1362"/>
      <c r="L174" s="1362"/>
      <c r="M174" s="1362"/>
      <c r="N174" s="1362"/>
      <c r="O174" s="1362"/>
      <c r="P174" s="1362"/>
      <c r="Q174" s="1362"/>
      <c r="R174" s="1362"/>
      <c r="S174" s="1362"/>
      <c r="T174" s="1362"/>
      <c r="U174" s="1362"/>
      <c r="V174" s="1362"/>
      <c r="W174" s="1362"/>
      <c r="X174" s="1362"/>
      <c r="Y174" s="1362"/>
      <c r="Z174" s="1362"/>
      <c r="AA174" s="1362"/>
      <c r="AB174" s="1362"/>
      <c r="BB174" t="s">
        <v>880</v>
      </c>
      <c r="BN174" s="110" t="s">
        <v>881</v>
      </c>
      <c r="BS174">
        <v>7</v>
      </c>
      <c r="BT174" t="s">
        <v>882</v>
      </c>
      <c r="CB174" s="224" t="s">
        <v>870</v>
      </c>
      <c r="CC174" s="320">
        <v>1644</v>
      </c>
      <c r="CD174" s="321">
        <v>1762</v>
      </c>
      <c r="CE174" s="320">
        <v>2114</v>
      </c>
      <c r="CF174" s="321">
        <v>2442</v>
      </c>
      <c r="CG174" s="321">
        <v>2724</v>
      </c>
      <c r="CH174" s="322">
        <v>3006</v>
      </c>
      <c r="CI174" s="2"/>
      <c r="CJ174" s="683">
        <v>1058</v>
      </c>
      <c r="CK174" s="683">
        <v>1064</v>
      </c>
      <c r="CL174" s="683">
        <v>1380</v>
      </c>
      <c r="CM174" s="683">
        <v>1934</v>
      </c>
      <c r="CN174" s="683">
        <v>2317</v>
      </c>
      <c r="CR174" s="110" t="s">
        <v>869</v>
      </c>
      <c r="CS174" s="202">
        <v>307732</v>
      </c>
      <c r="CT174" s="202">
        <v>354812</v>
      </c>
      <c r="CU174" s="202">
        <v>428000</v>
      </c>
      <c r="CV174" s="202">
        <v>547840</v>
      </c>
      <c r="CW174" s="202">
        <v>610328</v>
      </c>
      <c r="CX174" s="11"/>
      <c r="CY174" s="110" t="s">
        <v>869</v>
      </c>
      <c r="CZ174" s="202">
        <v>307732</v>
      </c>
      <c r="DA174" s="202">
        <v>354812</v>
      </c>
      <c r="DB174" s="202">
        <v>428000</v>
      </c>
      <c r="DC174" s="202">
        <v>547840</v>
      </c>
      <c r="DD174" s="202">
        <v>610328</v>
      </c>
    </row>
    <row r="175" spans="1:108" ht="13.2" customHeight="1">
      <c r="C175" s="6"/>
      <c r="D175" s="2" t="s">
        <v>883</v>
      </c>
      <c r="O175" s="21"/>
      <c r="U175" s="1370"/>
      <c r="V175" s="1370"/>
      <c r="BB175" t="s">
        <v>884</v>
      </c>
      <c r="BN175" s="110" t="s">
        <v>885</v>
      </c>
      <c r="BS175">
        <v>1</v>
      </c>
      <c r="BT175" t="s">
        <v>886</v>
      </c>
      <c r="CB175" s="224" t="s">
        <v>873</v>
      </c>
      <c r="CC175" s="320">
        <v>1644</v>
      </c>
      <c r="CD175" s="321">
        <v>1762</v>
      </c>
      <c r="CE175" s="320">
        <v>2114</v>
      </c>
      <c r="CF175" s="321">
        <v>2442</v>
      </c>
      <c r="CG175" s="321">
        <v>2724</v>
      </c>
      <c r="CH175" s="322">
        <v>3006</v>
      </c>
      <c r="CI175" s="2"/>
      <c r="CJ175" s="683">
        <v>1151</v>
      </c>
      <c r="CK175" s="683">
        <v>1158</v>
      </c>
      <c r="CL175" s="683">
        <v>1445</v>
      </c>
      <c r="CM175" s="683">
        <v>2025</v>
      </c>
      <c r="CN175" s="683">
        <v>2427</v>
      </c>
      <c r="CR175" s="110" t="s">
        <v>872</v>
      </c>
      <c r="CS175" s="200">
        <v>307732</v>
      </c>
      <c r="CT175" s="200">
        <v>354812</v>
      </c>
      <c r="CU175" s="200">
        <v>428000</v>
      </c>
      <c r="CV175" s="200">
        <v>547840</v>
      </c>
      <c r="CW175" s="200">
        <v>610328</v>
      </c>
      <c r="CX175" s="11"/>
      <c r="CY175" s="110" t="s">
        <v>872</v>
      </c>
      <c r="CZ175" s="200">
        <v>307732</v>
      </c>
      <c r="DA175" s="200">
        <v>354812</v>
      </c>
      <c r="DB175" s="200">
        <v>428000</v>
      </c>
      <c r="DC175" s="200">
        <v>547840</v>
      </c>
      <c r="DD175" s="200">
        <v>610328</v>
      </c>
    </row>
    <row r="176" spans="1:108" ht="13.2" customHeight="1">
      <c r="C176" s="6"/>
      <c r="D176" s="20"/>
      <c r="E176" t="s">
        <v>887</v>
      </c>
      <c r="O176" s="21"/>
      <c r="P176" t="s">
        <v>888</v>
      </c>
      <c r="T176" s="21" t="s">
        <v>889</v>
      </c>
      <c r="U176" s="1463"/>
      <c r="V176" s="1463"/>
      <c r="W176" s="1154" t="s">
        <v>890</v>
      </c>
      <c r="X176" s="1514"/>
      <c r="Y176" s="1514"/>
      <c r="BB176" t="s">
        <v>891</v>
      </c>
      <c r="BN176" s="110" t="s">
        <v>892</v>
      </c>
      <c r="BS176">
        <v>5</v>
      </c>
      <c r="BT176" t="s">
        <v>893</v>
      </c>
      <c r="CB176" s="224" t="s">
        <v>877</v>
      </c>
      <c r="CC176" s="320">
        <v>1644</v>
      </c>
      <c r="CD176" s="321">
        <v>1762</v>
      </c>
      <c r="CE176" s="320">
        <v>2114</v>
      </c>
      <c r="CF176" s="321">
        <v>2442</v>
      </c>
      <c r="CG176" s="321">
        <v>2724</v>
      </c>
      <c r="CH176" s="322">
        <v>3006</v>
      </c>
      <c r="CI176" s="2"/>
      <c r="CJ176" s="683">
        <v>1053</v>
      </c>
      <c r="CK176" s="683">
        <v>1060</v>
      </c>
      <c r="CL176" s="683">
        <v>1390</v>
      </c>
      <c r="CM176" s="683">
        <v>1948</v>
      </c>
      <c r="CN176" s="683">
        <v>2334</v>
      </c>
      <c r="CR176" s="110" t="s">
        <v>876</v>
      </c>
      <c r="CS176" s="202">
        <v>352022</v>
      </c>
      <c r="CT176" s="202">
        <v>405878</v>
      </c>
      <c r="CU176" s="202">
        <v>489600</v>
      </c>
      <c r="CV176" s="202">
        <v>626688</v>
      </c>
      <c r="CW176" s="202">
        <v>698170</v>
      </c>
      <c r="CX176" s="11"/>
      <c r="CY176" s="110" t="s">
        <v>876</v>
      </c>
      <c r="CZ176" s="202">
        <v>352022</v>
      </c>
      <c r="DA176" s="202">
        <v>405878</v>
      </c>
      <c r="DB176" s="202">
        <v>489600</v>
      </c>
      <c r="DC176" s="202">
        <v>626688</v>
      </c>
      <c r="DD176" s="202">
        <v>698170</v>
      </c>
    </row>
    <row r="177" spans="1:108" ht="13.2" customHeight="1">
      <c r="C177" s="18"/>
      <c r="D177" t="s">
        <v>894</v>
      </c>
      <c r="R177" s="1370" t="s">
        <v>844</v>
      </c>
      <c r="S177" s="1370"/>
      <c r="BB177" t="s">
        <v>895</v>
      </c>
      <c r="BN177" s="110" t="s">
        <v>896</v>
      </c>
      <c r="BS177">
        <v>2</v>
      </c>
      <c r="BT177" t="s">
        <v>897</v>
      </c>
      <c r="CB177" s="224" t="s">
        <v>882</v>
      </c>
      <c r="CC177" s="320">
        <v>1644</v>
      </c>
      <c r="CD177" s="321">
        <v>1762</v>
      </c>
      <c r="CE177" s="320">
        <v>2114</v>
      </c>
      <c r="CF177" s="321">
        <v>2442</v>
      </c>
      <c r="CG177" s="321">
        <v>2724</v>
      </c>
      <c r="CH177" s="322">
        <v>3006</v>
      </c>
      <c r="CI177" s="2"/>
      <c r="CJ177" s="683">
        <v>819</v>
      </c>
      <c r="CK177" s="683">
        <v>910</v>
      </c>
      <c r="CL177" s="683">
        <v>1194</v>
      </c>
      <c r="CM177" s="683">
        <v>1673</v>
      </c>
      <c r="CN177" s="683">
        <v>2005</v>
      </c>
      <c r="CR177" s="110" t="s">
        <v>881</v>
      </c>
      <c r="CS177" s="200">
        <v>352022</v>
      </c>
      <c r="CT177" s="200">
        <v>405878</v>
      </c>
      <c r="CU177" s="200">
        <v>489600</v>
      </c>
      <c r="CV177" s="200">
        <v>626688</v>
      </c>
      <c r="CW177" s="200">
        <v>698170</v>
      </c>
      <c r="CX177" s="11"/>
      <c r="CY177" s="110" t="s">
        <v>881</v>
      </c>
      <c r="CZ177" s="200">
        <v>352022</v>
      </c>
      <c r="DA177" s="200">
        <v>405878</v>
      </c>
      <c r="DB177" s="200">
        <v>489600</v>
      </c>
      <c r="DC177" s="200">
        <v>626688</v>
      </c>
      <c r="DD177" s="200">
        <v>698170</v>
      </c>
    </row>
    <row r="178" spans="1:108" ht="13.2" customHeight="1">
      <c r="C178" s="18"/>
      <c r="D178" s="2" t="s">
        <v>898</v>
      </c>
      <c r="AA178" t="s">
        <v>888</v>
      </c>
      <c r="AE178" s="21" t="s">
        <v>889</v>
      </c>
      <c r="AF178" s="1513"/>
      <c r="AG178" s="1513"/>
      <c r="AH178" s="1154" t="s">
        <v>890</v>
      </c>
      <c r="AI178" s="1401"/>
      <c r="AJ178" s="1401"/>
      <c r="AK178" s="1401"/>
      <c r="BB178" t="s">
        <v>899</v>
      </c>
      <c r="BN178" s="110" t="s">
        <v>900</v>
      </c>
      <c r="BS178">
        <v>7</v>
      </c>
      <c r="BT178" t="s">
        <v>901</v>
      </c>
      <c r="CB178" s="224" t="s">
        <v>886</v>
      </c>
      <c r="CC178" s="320">
        <v>2650</v>
      </c>
      <c r="CD178" s="321">
        <v>2840</v>
      </c>
      <c r="CE178" s="320">
        <v>3406</v>
      </c>
      <c r="CF178" s="321">
        <v>3938</v>
      </c>
      <c r="CG178" s="321">
        <v>4392</v>
      </c>
      <c r="CH178" s="322">
        <v>4846</v>
      </c>
      <c r="CI178" s="2"/>
      <c r="CJ178" s="683">
        <v>1856</v>
      </c>
      <c r="CK178" s="683">
        <v>2081</v>
      </c>
      <c r="CL178" s="683">
        <v>2625</v>
      </c>
      <c r="CM178" s="683">
        <v>3335</v>
      </c>
      <c r="CN178" s="683">
        <v>3698</v>
      </c>
      <c r="CR178" s="110" t="s">
        <v>885</v>
      </c>
      <c r="CS178" s="202">
        <v>437727</v>
      </c>
      <c r="CT178" s="202">
        <v>504695</v>
      </c>
      <c r="CU178" s="202">
        <v>608800</v>
      </c>
      <c r="CV178" s="202">
        <v>779264</v>
      </c>
      <c r="CW178" s="202">
        <v>868149</v>
      </c>
      <c r="CX178" s="11"/>
      <c r="CY178" s="110" t="s">
        <v>885</v>
      </c>
      <c r="CZ178" s="202">
        <v>437727</v>
      </c>
      <c r="DA178" s="202">
        <v>504695</v>
      </c>
      <c r="DB178" s="202">
        <v>608800</v>
      </c>
      <c r="DC178" s="202">
        <v>779264</v>
      </c>
      <c r="DD178" s="202">
        <v>868149</v>
      </c>
    </row>
    <row r="179" spans="1:108" ht="13.2" customHeight="1">
      <c r="C179" s="18"/>
      <c r="BN179" s="110" t="s">
        <v>902</v>
      </c>
      <c r="BS179">
        <v>7</v>
      </c>
      <c r="BT179" t="s">
        <v>903</v>
      </c>
      <c r="CB179" s="224" t="s">
        <v>893</v>
      </c>
      <c r="CC179" s="320">
        <v>1644</v>
      </c>
      <c r="CD179" s="321">
        <v>1762</v>
      </c>
      <c r="CE179" s="320">
        <v>2114</v>
      </c>
      <c r="CF179" s="321">
        <v>2442</v>
      </c>
      <c r="CG179" s="321">
        <v>2724</v>
      </c>
      <c r="CH179" s="322">
        <v>3006</v>
      </c>
      <c r="CI179" s="2"/>
      <c r="CJ179" s="683">
        <v>1099</v>
      </c>
      <c r="CK179" s="683">
        <v>1106</v>
      </c>
      <c r="CL179" s="683">
        <v>1433</v>
      </c>
      <c r="CM179" s="683">
        <v>2008</v>
      </c>
      <c r="CN179" s="683">
        <v>2293</v>
      </c>
      <c r="CR179" s="110" t="s">
        <v>892</v>
      </c>
      <c r="CS179" s="200">
        <v>307732</v>
      </c>
      <c r="CT179" s="200">
        <v>354812</v>
      </c>
      <c r="CU179" s="200">
        <v>428000</v>
      </c>
      <c r="CV179" s="200">
        <v>547840</v>
      </c>
      <c r="CW179" s="200">
        <v>610328</v>
      </c>
      <c r="CX179" s="11"/>
      <c r="CY179" s="110" t="s">
        <v>892</v>
      </c>
      <c r="CZ179" s="200">
        <v>307732</v>
      </c>
      <c r="DA179" s="200">
        <v>354812</v>
      </c>
      <c r="DB179" s="200">
        <v>428000</v>
      </c>
      <c r="DC179" s="200">
        <v>547840</v>
      </c>
      <c r="DD179" s="200">
        <v>610328</v>
      </c>
    </row>
    <row r="180" spans="1:108" ht="13.2" customHeight="1">
      <c r="C180" s="18"/>
      <c r="D180" t="s">
        <v>904</v>
      </c>
      <c r="X180" s="1370" t="s">
        <v>844</v>
      </c>
      <c r="Y180" s="1370"/>
      <c r="BN180" s="110" t="s">
        <v>905</v>
      </c>
      <c r="BS180">
        <v>5</v>
      </c>
      <c r="BT180" t="s">
        <v>906</v>
      </c>
      <c r="CB180" s="224" t="s">
        <v>897</v>
      </c>
      <c r="CC180" s="320">
        <v>3384</v>
      </c>
      <c r="CD180" s="321">
        <v>3626</v>
      </c>
      <c r="CE180" s="320">
        <v>4352</v>
      </c>
      <c r="CF180" s="321">
        <v>5028</v>
      </c>
      <c r="CG180" s="321">
        <v>5610</v>
      </c>
      <c r="CH180" s="322">
        <v>6190</v>
      </c>
      <c r="CI180" s="2"/>
      <c r="CJ180" s="683">
        <v>2275</v>
      </c>
      <c r="CK180" s="683">
        <v>2780</v>
      </c>
      <c r="CL180" s="683">
        <v>3318</v>
      </c>
      <c r="CM180" s="683">
        <v>4138</v>
      </c>
      <c r="CN180" s="683">
        <v>4399</v>
      </c>
      <c r="CR180" s="110" t="s">
        <v>896</v>
      </c>
      <c r="CS180" s="202">
        <v>384234</v>
      </c>
      <c r="CT180" s="202">
        <v>443018</v>
      </c>
      <c r="CU180" s="202">
        <v>534400</v>
      </c>
      <c r="CV180" s="202">
        <v>684032</v>
      </c>
      <c r="CW180" s="202">
        <v>762054</v>
      </c>
      <c r="CX180" s="11"/>
      <c r="CY180" s="110" t="s">
        <v>896</v>
      </c>
      <c r="CZ180" s="202">
        <v>384234</v>
      </c>
      <c r="DA180" s="202">
        <v>443018</v>
      </c>
      <c r="DB180" s="202">
        <v>534400</v>
      </c>
      <c r="DC180" s="202">
        <v>684032</v>
      </c>
      <c r="DD180" s="202">
        <v>762054</v>
      </c>
    </row>
    <row r="181" spans="1:108" ht="13.2" customHeight="1">
      <c r="C181" s="6"/>
      <c r="E181" s="2" t="s">
        <v>907</v>
      </c>
      <c r="BN181" s="110" t="s">
        <v>908</v>
      </c>
      <c r="BS181">
        <v>7</v>
      </c>
      <c r="BT181" t="s">
        <v>909</v>
      </c>
      <c r="CB181" s="224" t="s">
        <v>901</v>
      </c>
      <c r="CC181" s="320">
        <v>1644</v>
      </c>
      <c r="CD181" s="321">
        <v>1762</v>
      </c>
      <c r="CE181" s="320">
        <v>2114</v>
      </c>
      <c r="CF181" s="321">
        <v>2442</v>
      </c>
      <c r="CG181" s="321">
        <v>2724</v>
      </c>
      <c r="CH181" s="322">
        <v>3006</v>
      </c>
      <c r="CI181" s="2"/>
      <c r="CJ181" s="683">
        <v>928</v>
      </c>
      <c r="CK181" s="683">
        <v>1119</v>
      </c>
      <c r="CL181" s="683">
        <v>1338</v>
      </c>
      <c r="CM181" s="683">
        <v>1875</v>
      </c>
      <c r="CN181" s="683">
        <v>2247</v>
      </c>
      <c r="CR181" s="110" t="s">
        <v>900</v>
      </c>
      <c r="CS181" s="200">
        <v>352022</v>
      </c>
      <c r="CT181" s="200">
        <v>405878</v>
      </c>
      <c r="CU181" s="200">
        <v>489600</v>
      </c>
      <c r="CV181" s="200">
        <v>626688</v>
      </c>
      <c r="CW181" s="200">
        <v>698170</v>
      </c>
      <c r="CX181" s="11"/>
      <c r="CY181" s="110" t="s">
        <v>900</v>
      </c>
      <c r="CZ181" s="200">
        <v>352022</v>
      </c>
      <c r="DA181" s="200">
        <v>405878</v>
      </c>
      <c r="DB181" s="200">
        <v>489600</v>
      </c>
      <c r="DC181" s="200">
        <v>626688</v>
      </c>
      <c r="DD181" s="200">
        <v>698170</v>
      </c>
    </row>
    <row r="182" spans="1:108" ht="13.2" customHeight="1">
      <c r="C182" s="379"/>
      <c r="BN182" s="110" t="s">
        <v>910</v>
      </c>
      <c r="BS182">
        <v>7</v>
      </c>
      <c r="BT182" t="s">
        <v>911</v>
      </c>
      <c r="CB182" s="224" t="s">
        <v>903</v>
      </c>
      <c r="CC182" s="320">
        <v>1644</v>
      </c>
      <c r="CD182" s="321">
        <v>1762</v>
      </c>
      <c r="CE182" s="320">
        <v>2114</v>
      </c>
      <c r="CF182" s="321">
        <v>2442</v>
      </c>
      <c r="CG182" s="321">
        <v>2724</v>
      </c>
      <c r="CH182" s="322">
        <v>3006</v>
      </c>
      <c r="CI182" s="2"/>
      <c r="CJ182" s="683">
        <v>1173</v>
      </c>
      <c r="CK182" s="683">
        <v>1220</v>
      </c>
      <c r="CL182" s="683">
        <v>1601</v>
      </c>
      <c r="CM182" s="683">
        <v>2243</v>
      </c>
      <c r="CN182" s="683">
        <v>2688</v>
      </c>
      <c r="CR182" s="110" t="s">
        <v>902</v>
      </c>
      <c r="CS182" s="202">
        <v>352022</v>
      </c>
      <c r="CT182" s="202">
        <v>405878</v>
      </c>
      <c r="CU182" s="202">
        <v>489600</v>
      </c>
      <c r="CV182" s="202">
        <v>626688</v>
      </c>
      <c r="CW182" s="202">
        <v>698170</v>
      </c>
      <c r="CX182" s="11"/>
      <c r="CY182" s="110" t="s">
        <v>902</v>
      </c>
      <c r="CZ182" s="202">
        <v>352022</v>
      </c>
      <c r="DA182" s="202">
        <v>405878</v>
      </c>
      <c r="DB182" s="202">
        <v>489600</v>
      </c>
      <c r="DC182" s="202">
        <v>626688</v>
      </c>
      <c r="DD182" s="202">
        <v>698170</v>
      </c>
    </row>
    <row r="183" spans="1:108" ht="13.2" customHeight="1">
      <c r="A183" s="1" t="s">
        <v>912</v>
      </c>
      <c r="C183" s="1" t="s">
        <v>93</v>
      </c>
      <c r="BN183" s="110" t="s">
        <v>913</v>
      </c>
      <c r="BS183">
        <v>4</v>
      </c>
      <c r="BT183" t="s">
        <v>914</v>
      </c>
      <c r="CB183" s="224" t="s">
        <v>906</v>
      </c>
      <c r="CC183" s="320">
        <v>1644</v>
      </c>
      <c r="CD183" s="321">
        <v>1762</v>
      </c>
      <c r="CE183" s="320">
        <v>2114</v>
      </c>
      <c r="CF183" s="321">
        <v>2442</v>
      </c>
      <c r="CG183" s="321">
        <v>2724</v>
      </c>
      <c r="CH183" s="322">
        <v>3006</v>
      </c>
      <c r="CI183" s="2"/>
      <c r="CJ183" s="683">
        <v>1071</v>
      </c>
      <c r="CK183" s="683">
        <v>1227</v>
      </c>
      <c r="CL183" s="683">
        <v>1509</v>
      </c>
      <c r="CM183" s="683">
        <v>2081</v>
      </c>
      <c r="CN183" s="683">
        <v>2534</v>
      </c>
      <c r="CR183" s="110" t="s">
        <v>905</v>
      </c>
      <c r="CS183" s="200">
        <v>307732</v>
      </c>
      <c r="CT183" s="200">
        <v>354812</v>
      </c>
      <c r="CU183" s="200">
        <v>428000</v>
      </c>
      <c r="CV183" s="200">
        <v>547840</v>
      </c>
      <c r="CW183" s="200">
        <v>610328</v>
      </c>
      <c r="CX183" s="11"/>
      <c r="CY183" s="110" t="s">
        <v>905</v>
      </c>
      <c r="CZ183" s="200">
        <v>307732</v>
      </c>
      <c r="DA183" s="200">
        <v>354812</v>
      </c>
      <c r="DB183" s="200">
        <v>428000</v>
      </c>
      <c r="DC183" s="200">
        <v>547840</v>
      </c>
      <c r="DD183" s="200">
        <v>610328</v>
      </c>
    </row>
    <row r="184" spans="1:108" ht="13.2" customHeight="1">
      <c r="C184" s="16"/>
      <c r="D184" t="s">
        <v>915</v>
      </c>
      <c r="I184" s="1439" t="str">
        <f>H18</f>
        <v xml:space="preserve">334 San Antonio Apartments </v>
      </c>
      <c r="J184" s="1439"/>
      <c r="K184" s="1439"/>
      <c r="L184" s="1439"/>
      <c r="M184" s="1439"/>
      <c r="N184" s="1439"/>
      <c r="O184" s="1439"/>
      <c r="P184" s="1439"/>
      <c r="Q184" s="1439"/>
      <c r="R184" s="1439"/>
      <c r="S184" s="1439"/>
      <c r="T184" s="1439"/>
      <c r="U184" s="1439"/>
      <c r="V184" s="1439"/>
      <c r="W184" s="1439"/>
      <c r="X184" s="1439"/>
      <c r="Y184" s="1439"/>
      <c r="Z184" s="1439"/>
      <c r="AA184" s="1439"/>
      <c r="AB184" s="1439"/>
      <c r="AC184" s="1439"/>
      <c r="AD184" s="1439"/>
      <c r="AE184" s="1439"/>
      <c r="BC184" t="s">
        <v>916</v>
      </c>
      <c r="BN184" s="110" t="s">
        <v>917</v>
      </c>
      <c r="BS184">
        <v>4</v>
      </c>
      <c r="BT184" t="s">
        <v>918</v>
      </c>
      <c r="CB184" s="224" t="s">
        <v>909</v>
      </c>
      <c r="CC184" s="320">
        <v>1644</v>
      </c>
      <c r="CD184" s="321">
        <v>1762</v>
      </c>
      <c r="CE184" s="320">
        <v>2114</v>
      </c>
      <c r="CF184" s="321">
        <v>2442</v>
      </c>
      <c r="CG184" s="321">
        <v>2724</v>
      </c>
      <c r="CH184" s="322">
        <v>3006</v>
      </c>
      <c r="CI184" s="2"/>
      <c r="CJ184" s="683">
        <v>731</v>
      </c>
      <c r="CK184" s="683">
        <v>886</v>
      </c>
      <c r="CL184" s="683">
        <v>1054</v>
      </c>
      <c r="CM184" s="683">
        <v>1270</v>
      </c>
      <c r="CN184" s="683">
        <v>1748</v>
      </c>
      <c r="CR184" s="110" t="s">
        <v>908</v>
      </c>
      <c r="CS184" s="202">
        <v>352022</v>
      </c>
      <c r="CT184" s="202">
        <v>405878</v>
      </c>
      <c r="CU184" s="202">
        <v>489600</v>
      </c>
      <c r="CV184" s="202">
        <v>626688</v>
      </c>
      <c r="CW184" s="202">
        <v>698170</v>
      </c>
      <c r="CX184" s="11"/>
      <c r="CY184" s="110" t="s">
        <v>908</v>
      </c>
      <c r="CZ184" s="202">
        <v>352022</v>
      </c>
      <c r="DA184" s="202">
        <v>405878</v>
      </c>
      <c r="DB184" s="202">
        <v>489600</v>
      </c>
      <c r="DC184" s="202">
        <v>626688</v>
      </c>
      <c r="DD184" s="202">
        <v>698170</v>
      </c>
    </row>
    <row r="185" spans="1:108" ht="13.2" customHeight="1">
      <c r="C185" s="16"/>
      <c r="D185" t="s">
        <v>919</v>
      </c>
      <c r="I185" s="1427" t="s">
        <v>920</v>
      </c>
      <c r="J185" s="1329"/>
      <c r="K185" s="1329"/>
      <c r="L185" s="1329"/>
      <c r="M185" s="1329"/>
      <c r="N185" s="1329"/>
      <c r="O185" s="1329"/>
      <c r="P185" s="1329"/>
      <c r="Q185" s="1329"/>
      <c r="R185" s="1329"/>
      <c r="S185" s="1329"/>
      <c r="T185" s="1329"/>
      <c r="U185" s="1329"/>
      <c r="V185" s="1329"/>
      <c r="W185" s="1329"/>
      <c r="X185" s="1329"/>
      <c r="Y185" s="1329"/>
      <c r="Z185" s="1329"/>
      <c r="AA185" s="1329"/>
      <c r="AB185" s="1329"/>
      <c r="AC185" s="1329"/>
      <c r="AD185" s="1329"/>
      <c r="AE185" s="1329"/>
      <c r="BC185" t="s">
        <v>921</v>
      </c>
      <c r="BN185" s="110" t="s">
        <v>922</v>
      </c>
      <c r="BS185">
        <v>7</v>
      </c>
      <c r="BT185" t="s">
        <v>923</v>
      </c>
      <c r="CB185" s="224" t="s">
        <v>911</v>
      </c>
      <c r="CC185" s="320">
        <v>1784</v>
      </c>
      <c r="CD185" s="321">
        <v>1912</v>
      </c>
      <c r="CE185" s="320">
        <v>2294</v>
      </c>
      <c r="CF185" s="321">
        <v>2652</v>
      </c>
      <c r="CG185" s="321">
        <v>2960</v>
      </c>
      <c r="CH185" s="322">
        <v>3266</v>
      </c>
      <c r="CI185" s="2"/>
      <c r="CJ185" s="683">
        <v>1036</v>
      </c>
      <c r="CK185" s="683">
        <v>1348</v>
      </c>
      <c r="CL185" s="683">
        <v>1493</v>
      </c>
      <c r="CM185" s="683">
        <v>2092</v>
      </c>
      <c r="CN185" s="683">
        <v>2476</v>
      </c>
      <c r="CR185" s="110" t="s">
        <v>910</v>
      </c>
      <c r="CS185" s="200">
        <v>352022</v>
      </c>
      <c r="CT185" s="200">
        <v>405878</v>
      </c>
      <c r="CU185" s="200">
        <v>489600</v>
      </c>
      <c r="CV185" s="200">
        <v>626688</v>
      </c>
      <c r="CW185" s="200">
        <v>698170</v>
      </c>
      <c r="CX185" s="11"/>
      <c r="CY185" s="110" t="s">
        <v>910</v>
      </c>
      <c r="CZ185" s="200">
        <v>352022</v>
      </c>
      <c r="DA185" s="200">
        <v>405878</v>
      </c>
      <c r="DB185" s="200">
        <v>489600</v>
      </c>
      <c r="DC185" s="200">
        <v>626688</v>
      </c>
      <c r="DD185" s="200">
        <v>698170</v>
      </c>
    </row>
    <row r="186" spans="1:108" ht="13.2" customHeight="1">
      <c r="C186" s="16"/>
      <c r="E186" t="s">
        <v>924</v>
      </c>
      <c r="BN186" s="110" t="s">
        <v>925</v>
      </c>
      <c r="BS186">
        <v>4</v>
      </c>
      <c r="BT186" t="s">
        <v>926</v>
      </c>
      <c r="CB186" s="224" t="s">
        <v>914</v>
      </c>
      <c r="CC186" s="320">
        <v>2530</v>
      </c>
      <c r="CD186" s="321">
        <v>2710</v>
      </c>
      <c r="CE186" s="320">
        <v>3254</v>
      </c>
      <c r="CF186" s="321">
        <v>3760</v>
      </c>
      <c r="CG186" s="321">
        <v>4192</v>
      </c>
      <c r="CH186" s="322">
        <v>4626</v>
      </c>
      <c r="CI186" s="2"/>
      <c r="CJ186" s="683">
        <v>2414</v>
      </c>
      <c r="CK186" s="683">
        <v>2479</v>
      </c>
      <c r="CL186" s="683">
        <v>2982</v>
      </c>
      <c r="CM186" s="683">
        <v>4025</v>
      </c>
      <c r="CN186" s="683">
        <v>4383</v>
      </c>
      <c r="CR186" s="110" t="s">
        <v>913</v>
      </c>
      <c r="CS186" s="202">
        <v>404366</v>
      </c>
      <c r="CT186" s="202">
        <v>466230</v>
      </c>
      <c r="CU186" s="202">
        <v>562400</v>
      </c>
      <c r="CV186" s="202">
        <v>719872</v>
      </c>
      <c r="CW186" s="202">
        <v>801982</v>
      </c>
      <c r="CX186" s="11"/>
      <c r="CY186" s="110" t="s">
        <v>913</v>
      </c>
      <c r="CZ186" s="202">
        <v>404366</v>
      </c>
      <c r="DA186" s="202">
        <v>466230</v>
      </c>
      <c r="DB186" s="202">
        <v>562400</v>
      </c>
      <c r="DC186" s="202">
        <v>719872</v>
      </c>
      <c r="DD186" s="202">
        <v>801982</v>
      </c>
    </row>
    <row r="187" spans="1:108" ht="13.2" customHeight="1">
      <c r="C187" s="16"/>
      <c r="E187" s="1481"/>
      <c r="F187" s="1481"/>
      <c r="G187" s="1481"/>
      <c r="H187" s="1481"/>
      <c r="I187" s="1481"/>
      <c r="J187" s="1481"/>
      <c r="K187" s="1481"/>
      <c r="L187" s="1481"/>
      <c r="M187" s="1481"/>
      <c r="N187" s="1481"/>
      <c r="O187" s="1481"/>
      <c r="P187" s="1481"/>
      <c r="Q187" s="1481"/>
      <c r="R187" s="1481"/>
      <c r="S187" s="1481"/>
      <c r="T187" s="1481"/>
      <c r="U187" s="1481"/>
      <c r="V187" s="1481"/>
      <c r="W187" s="1481"/>
      <c r="X187" s="1481"/>
      <c r="Y187" s="1481"/>
      <c r="Z187" s="1481"/>
      <c r="AA187" s="1481"/>
      <c r="AB187" s="1481"/>
      <c r="AC187" s="1481"/>
      <c r="AD187" s="1481"/>
      <c r="AE187" s="1481"/>
      <c r="BN187" s="110" t="s">
        <v>927</v>
      </c>
      <c r="BS187">
        <v>6</v>
      </c>
      <c r="BT187" t="s">
        <v>928</v>
      </c>
      <c r="CB187" s="224" t="s">
        <v>918</v>
      </c>
      <c r="CC187" s="320">
        <v>2804</v>
      </c>
      <c r="CD187" s="321">
        <v>3004</v>
      </c>
      <c r="CE187" s="320">
        <v>3606</v>
      </c>
      <c r="CF187" s="321">
        <v>4168</v>
      </c>
      <c r="CG187" s="321">
        <v>4650</v>
      </c>
      <c r="CH187" s="322">
        <v>5130</v>
      </c>
      <c r="CI187" s="2"/>
      <c r="CJ187" s="683">
        <v>1915</v>
      </c>
      <c r="CK187" s="683">
        <v>2128</v>
      </c>
      <c r="CL187" s="683">
        <v>2792</v>
      </c>
      <c r="CM187" s="683">
        <v>3636</v>
      </c>
      <c r="CN187" s="683">
        <v>4144</v>
      </c>
      <c r="CR187" s="110" t="s">
        <v>917</v>
      </c>
      <c r="CS187" s="200">
        <v>384234</v>
      </c>
      <c r="CT187" s="200">
        <v>443018</v>
      </c>
      <c r="CU187" s="200">
        <v>534400</v>
      </c>
      <c r="CV187" s="200">
        <v>684032</v>
      </c>
      <c r="CW187" s="200">
        <v>762054</v>
      </c>
      <c r="CX187" s="11"/>
      <c r="CY187" s="110" t="s">
        <v>917</v>
      </c>
      <c r="CZ187" s="200">
        <v>384234</v>
      </c>
      <c r="DA187" s="200">
        <v>443018</v>
      </c>
      <c r="DB187" s="200">
        <v>534400</v>
      </c>
      <c r="DC187" s="200">
        <v>684032</v>
      </c>
      <c r="DD187" s="200">
        <v>762054</v>
      </c>
    </row>
    <row r="188" spans="1:108" ht="13.2" customHeight="1">
      <c r="C188" s="16"/>
      <c r="E188" s="1482"/>
      <c r="F188" s="1482"/>
      <c r="G188" s="1482"/>
      <c r="H188" s="1482"/>
      <c r="I188" s="1482"/>
      <c r="J188" s="1482"/>
      <c r="K188" s="1482"/>
      <c r="L188" s="1482"/>
      <c r="M188" s="1482"/>
      <c r="N188" s="1482"/>
      <c r="O188" s="1482"/>
      <c r="P188" s="1482"/>
      <c r="Q188" s="1482"/>
      <c r="R188" s="1482"/>
      <c r="S188" s="1482"/>
      <c r="T188" s="1482"/>
      <c r="U188" s="1482"/>
      <c r="V188" s="1482"/>
      <c r="W188" s="1482"/>
      <c r="X188" s="1482"/>
      <c r="Y188" s="1482"/>
      <c r="Z188" s="1482"/>
      <c r="AA188" s="1482"/>
      <c r="AB188" s="1482"/>
      <c r="AC188" s="1482"/>
      <c r="AD188" s="1482"/>
      <c r="AE188" s="1482"/>
      <c r="BN188" s="110" t="s">
        <v>929</v>
      </c>
      <c r="BS188">
        <v>7</v>
      </c>
      <c r="BT188" t="s">
        <v>930</v>
      </c>
      <c r="CB188" s="224" t="s">
        <v>923</v>
      </c>
      <c r="CC188" s="320">
        <v>1992</v>
      </c>
      <c r="CD188" s="321">
        <v>2132</v>
      </c>
      <c r="CE188" s="320">
        <v>2560</v>
      </c>
      <c r="CF188" s="321">
        <v>2958</v>
      </c>
      <c r="CG188" s="321">
        <v>3300</v>
      </c>
      <c r="CH188" s="322">
        <v>3642</v>
      </c>
      <c r="CI188" s="2"/>
      <c r="CJ188" s="683">
        <v>1352</v>
      </c>
      <c r="CK188" s="683">
        <v>1361</v>
      </c>
      <c r="CL188" s="683">
        <v>1785</v>
      </c>
      <c r="CM188" s="683">
        <v>2501</v>
      </c>
      <c r="CN188" s="683">
        <v>2997</v>
      </c>
      <c r="CR188" s="110" t="s">
        <v>922</v>
      </c>
      <c r="CS188" s="202">
        <v>352022</v>
      </c>
      <c r="CT188" s="202">
        <v>405878</v>
      </c>
      <c r="CU188" s="202">
        <v>489600</v>
      </c>
      <c r="CV188" s="202">
        <v>626688</v>
      </c>
      <c r="CW188" s="202">
        <v>698170</v>
      </c>
      <c r="CX188" s="11"/>
      <c r="CY188" s="110" t="s">
        <v>922</v>
      </c>
      <c r="CZ188" s="202">
        <v>352022</v>
      </c>
      <c r="DA188" s="202">
        <v>405878</v>
      </c>
      <c r="DB188" s="202">
        <v>489600</v>
      </c>
      <c r="DC188" s="202">
        <v>626688</v>
      </c>
      <c r="DD188" s="202">
        <v>698170</v>
      </c>
    </row>
    <row r="189" spans="1:108" ht="13.2" customHeight="1">
      <c r="C189" s="16"/>
      <c r="D189" t="s">
        <v>931</v>
      </c>
      <c r="I189" s="1472" t="s">
        <v>932</v>
      </c>
      <c r="J189" s="1362"/>
      <c r="K189" s="1362"/>
      <c r="L189" s="1362"/>
      <c r="M189" s="1362"/>
      <c r="N189" s="1362"/>
      <c r="O189" s="1362"/>
      <c r="P189" s="1362"/>
      <c r="Q189" t="s">
        <v>933</v>
      </c>
      <c r="T189" s="1362" t="s">
        <v>932</v>
      </c>
      <c r="U189" s="1362"/>
      <c r="V189" s="1362"/>
      <c r="W189" s="1362"/>
      <c r="X189" s="1362"/>
      <c r="Y189" s="1362"/>
      <c r="Z189" s="1362"/>
      <c r="AA189" s="1362"/>
      <c r="AB189" s="1362"/>
      <c r="AC189" s="1362"/>
      <c r="AD189" s="1362"/>
      <c r="AE189" s="1362"/>
      <c r="BC189" t="s">
        <v>547</v>
      </c>
      <c r="BH189" s="2" t="s">
        <v>810</v>
      </c>
      <c r="BN189" s="110" t="s">
        <v>934</v>
      </c>
      <c r="BS189">
        <v>5</v>
      </c>
      <c r="BT189" t="s">
        <v>935</v>
      </c>
      <c r="CB189" s="224" t="s">
        <v>926</v>
      </c>
      <c r="CC189" s="320">
        <v>2962</v>
      </c>
      <c r="CD189" s="321">
        <v>3172</v>
      </c>
      <c r="CE189" s="320">
        <v>3806</v>
      </c>
      <c r="CF189" s="321">
        <v>4400</v>
      </c>
      <c r="CG189" s="321">
        <v>4906</v>
      </c>
      <c r="CH189" s="322">
        <v>5416</v>
      </c>
      <c r="CI189" s="2"/>
      <c r="CJ189" s="683">
        <v>2352</v>
      </c>
      <c r="CK189" s="683">
        <v>2454</v>
      </c>
      <c r="CL189" s="683">
        <v>2903</v>
      </c>
      <c r="CM189" s="683">
        <v>3927</v>
      </c>
      <c r="CN189" s="683">
        <v>4693</v>
      </c>
      <c r="CR189" s="110" t="s">
        <v>925</v>
      </c>
      <c r="CS189" s="200">
        <v>396888</v>
      </c>
      <c r="CT189" s="200">
        <v>457608</v>
      </c>
      <c r="CU189" s="200">
        <v>552000</v>
      </c>
      <c r="CV189" s="200">
        <v>706560</v>
      </c>
      <c r="CW189" s="200">
        <v>787152</v>
      </c>
      <c r="CX189" s="11"/>
      <c r="CY189" s="110" t="s">
        <v>925</v>
      </c>
      <c r="CZ189" s="200">
        <v>396888</v>
      </c>
      <c r="DA189" s="200">
        <v>457608</v>
      </c>
      <c r="DB189" s="200">
        <v>552000</v>
      </c>
      <c r="DC189" s="200">
        <v>706560</v>
      </c>
      <c r="DD189" s="200">
        <v>787152</v>
      </c>
    </row>
    <row r="190" spans="1:108" ht="13.2" customHeight="1">
      <c r="C190" s="16"/>
      <c r="D190" t="s">
        <v>936</v>
      </c>
      <c r="I190" s="1329">
        <v>94040</v>
      </c>
      <c r="J190" s="1329"/>
      <c r="K190" s="1329"/>
      <c r="L190" s="1329"/>
      <c r="M190" s="1329"/>
      <c r="N190" s="1329"/>
      <c r="O190" t="s">
        <v>937</v>
      </c>
      <c r="T190" s="1504">
        <v>5094.01</v>
      </c>
      <c r="U190" s="1504"/>
      <c r="V190" s="1504"/>
      <c r="W190" s="1504"/>
      <c r="X190" s="1504"/>
      <c r="Y190" s="1504"/>
      <c r="Z190" s="1504"/>
      <c r="AA190" s="1504"/>
      <c r="AB190" s="1504"/>
      <c r="AC190" s="1504"/>
      <c r="AD190" s="1504"/>
      <c r="AE190" s="1504"/>
      <c r="BC190" t="s">
        <v>938</v>
      </c>
      <c r="BH190" t="s">
        <v>938</v>
      </c>
      <c r="BN190" s="110" t="s">
        <v>939</v>
      </c>
      <c r="BS190">
        <v>6</v>
      </c>
      <c r="BT190" t="s">
        <v>940</v>
      </c>
      <c r="CB190" s="224" t="s">
        <v>928</v>
      </c>
      <c r="CC190" s="320">
        <v>2252</v>
      </c>
      <c r="CD190" s="321">
        <v>2412</v>
      </c>
      <c r="CE190" s="320">
        <v>2894</v>
      </c>
      <c r="CF190" s="321">
        <v>3342</v>
      </c>
      <c r="CG190" s="321">
        <v>3730</v>
      </c>
      <c r="CH190" s="322">
        <v>4116</v>
      </c>
      <c r="CI190" s="2"/>
      <c r="CJ190" s="683">
        <v>1679</v>
      </c>
      <c r="CK190" s="683">
        <v>1777</v>
      </c>
      <c r="CL190" s="683">
        <v>2206</v>
      </c>
      <c r="CM190" s="683">
        <v>2992</v>
      </c>
      <c r="CN190" s="683">
        <v>3455</v>
      </c>
      <c r="CR190" s="110" t="s">
        <v>927</v>
      </c>
      <c r="CS190" s="202">
        <v>331890</v>
      </c>
      <c r="CT190" s="202">
        <v>382666</v>
      </c>
      <c r="CU190" s="202">
        <v>461600</v>
      </c>
      <c r="CV190" s="202">
        <v>590848</v>
      </c>
      <c r="CW190" s="202">
        <v>658242</v>
      </c>
      <c r="CX190" s="11"/>
      <c r="CY190" s="110" t="s">
        <v>927</v>
      </c>
      <c r="CZ190" s="202">
        <v>331890</v>
      </c>
      <c r="DA190" s="202">
        <v>382666</v>
      </c>
      <c r="DB190" s="202">
        <v>461600</v>
      </c>
      <c r="DC190" s="202">
        <v>590848</v>
      </c>
      <c r="DD190" s="202">
        <v>658242</v>
      </c>
    </row>
    <row r="191" spans="1:108" ht="13.2" customHeight="1">
      <c r="C191" s="16"/>
      <c r="D191" t="s">
        <v>941</v>
      </c>
      <c r="N191" s="1481" t="s">
        <v>942</v>
      </c>
      <c r="O191" s="1481"/>
      <c r="P191" s="1481"/>
      <c r="Q191" s="1481"/>
      <c r="R191" s="1481"/>
      <c r="S191" s="1481"/>
      <c r="T191" s="1481"/>
      <c r="U191" s="1481"/>
      <c r="V191" s="1481"/>
      <c r="W191" s="1481"/>
      <c r="X191" s="1481"/>
      <c r="Y191" s="1481"/>
      <c r="Z191" s="1481"/>
      <c r="AA191" s="1481"/>
      <c r="AB191" s="1481"/>
      <c r="AC191" s="1481"/>
      <c r="AD191" s="1481"/>
      <c r="AE191" s="1481"/>
      <c r="BC191" t="s">
        <v>943</v>
      </c>
      <c r="BH191" t="s">
        <v>943</v>
      </c>
      <c r="BN191" s="110" t="s">
        <v>944</v>
      </c>
      <c r="BS191">
        <v>4</v>
      </c>
      <c r="BT191" t="s">
        <v>945</v>
      </c>
      <c r="CB191" s="224" t="s">
        <v>930</v>
      </c>
      <c r="CC191" s="320">
        <v>1670</v>
      </c>
      <c r="CD191" s="321">
        <v>1788</v>
      </c>
      <c r="CE191" s="320">
        <v>2144</v>
      </c>
      <c r="CF191" s="321">
        <v>2478</v>
      </c>
      <c r="CG191" s="321">
        <v>2764</v>
      </c>
      <c r="CH191" s="322">
        <v>3050</v>
      </c>
      <c r="CI191" s="2"/>
      <c r="CJ191" s="683">
        <v>904</v>
      </c>
      <c r="CK191" s="683">
        <v>1005</v>
      </c>
      <c r="CL191" s="683">
        <v>1318</v>
      </c>
      <c r="CM191" s="683">
        <v>1847</v>
      </c>
      <c r="CN191" s="683">
        <v>1883</v>
      </c>
      <c r="CR191" s="110" t="s">
        <v>929</v>
      </c>
      <c r="CS191" s="200">
        <v>352022</v>
      </c>
      <c r="CT191" s="200">
        <v>405878</v>
      </c>
      <c r="CU191" s="200">
        <v>489600</v>
      </c>
      <c r="CV191" s="200">
        <v>626688</v>
      </c>
      <c r="CW191" s="200">
        <v>698170</v>
      </c>
      <c r="CX191" s="11"/>
      <c r="CY191" s="110" t="s">
        <v>929</v>
      </c>
      <c r="CZ191" s="200">
        <v>352022</v>
      </c>
      <c r="DA191" s="200">
        <v>405878</v>
      </c>
      <c r="DB191" s="200">
        <v>489600</v>
      </c>
      <c r="DC191" s="200">
        <v>626688</v>
      </c>
      <c r="DD191" s="200">
        <v>698170</v>
      </c>
    </row>
    <row r="192" spans="1:108" ht="13.2" customHeight="1">
      <c r="C192" s="16"/>
      <c r="M192" s="1169"/>
      <c r="N192" s="1482"/>
      <c r="O192" s="1482"/>
      <c r="P192" s="1482"/>
      <c r="Q192" s="1482"/>
      <c r="R192" s="1482"/>
      <c r="S192" s="1482"/>
      <c r="T192" s="1482"/>
      <c r="U192" s="1482"/>
      <c r="V192" s="1482"/>
      <c r="W192" s="1482"/>
      <c r="X192" s="1482"/>
      <c r="Y192" s="1482"/>
      <c r="Z192" s="1482"/>
      <c r="AA192" s="1482"/>
      <c r="AB192" s="1482"/>
      <c r="AC192" s="1482"/>
      <c r="AD192" s="1482"/>
      <c r="AE192" s="1482"/>
      <c r="BC192" t="s">
        <v>946</v>
      </c>
      <c r="BH192" s="2" t="s">
        <v>947</v>
      </c>
      <c r="BN192" s="110" t="s">
        <v>948</v>
      </c>
      <c r="BS192">
        <v>5</v>
      </c>
      <c r="BT192" t="s">
        <v>949</v>
      </c>
      <c r="CB192" s="224" t="s">
        <v>935</v>
      </c>
      <c r="CC192" s="320">
        <v>1960</v>
      </c>
      <c r="CD192" s="321">
        <v>2098</v>
      </c>
      <c r="CE192" s="320">
        <v>2516</v>
      </c>
      <c r="CF192" s="321">
        <v>2910</v>
      </c>
      <c r="CG192" s="321">
        <v>3244</v>
      </c>
      <c r="CH192" s="322">
        <v>3580</v>
      </c>
      <c r="CI192" s="2"/>
      <c r="CJ192" s="683">
        <v>1776</v>
      </c>
      <c r="CK192" s="683">
        <v>1852</v>
      </c>
      <c r="CL192" s="683">
        <v>2306</v>
      </c>
      <c r="CM192" s="683">
        <v>3079</v>
      </c>
      <c r="CN192" s="683">
        <v>3745</v>
      </c>
      <c r="CR192" s="110" t="s">
        <v>934</v>
      </c>
      <c r="CS192" s="202">
        <v>324988</v>
      </c>
      <c r="CT192" s="202">
        <v>374708</v>
      </c>
      <c r="CU192" s="202">
        <v>452000</v>
      </c>
      <c r="CV192" s="202">
        <v>578560</v>
      </c>
      <c r="CW192" s="202">
        <v>644552</v>
      </c>
      <c r="CX192" s="11"/>
      <c r="CY192" s="110" t="s">
        <v>934</v>
      </c>
      <c r="CZ192" s="202">
        <v>324988</v>
      </c>
      <c r="DA192" s="202">
        <v>374708</v>
      </c>
      <c r="DB192" s="202">
        <v>452000</v>
      </c>
      <c r="DC192" s="202">
        <v>578560</v>
      </c>
      <c r="DD192" s="202">
        <v>644552</v>
      </c>
    </row>
    <row r="193" spans="1:108" ht="13.2" customHeight="1">
      <c r="C193" s="16"/>
      <c r="D193" t="s">
        <v>950</v>
      </c>
      <c r="M193" s="1169"/>
      <c r="N193" s="706"/>
      <c r="O193" s="706"/>
      <c r="P193" s="706"/>
      <c r="Q193" s="706"/>
      <c r="R193" s="706"/>
      <c r="S193" s="706"/>
      <c r="T193" s="1508" t="s">
        <v>880</v>
      </c>
      <c r="U193" s="1508"/>
      <c r="V193" s="1508"/>
      <c r="W193" s="1508"/>
      <c r="X193" s="1508"/>
      <c r="Y193" s="1508"/>
      <c r="Z193" s="1508"/>
      <c r="AA193" s="1508"/>
      <c r="AB193" s="1508"/>
      <c r="AC193" s="1508"/>
      <c r="AD193" s="1508"/>
      <c r="AE193" s="1508"/>
      <c r="AF193" s="1508"/>
      <c r="AG193" s="1508"/>
      <c r="AH193" s="1508"/>
      <c r="AI193" s="1508"/>
      <c r="BC193" t="s">
        <v>951</v>
      </c>
      <c r="BH193" s="2" t="s">
        <v>952</v>
      </c>
      <c r="BN193" s="110" t="s">
        <v>953</v>
      </c>
      <c r="BS193">
        <v>4</v>
      </c>
      <c r="BT193" t="s">
        <v>954</v>
      </c>
      <c r="CB193" s="224" t="s">
        <v>940</v>
      </c>
      <c r="CC193" s="320">
        <v>2252</v>
      </c>
      <c r="CD193" s="321">
        <v>2412</v>
      </c>
      <c r="CE193" s="320">
        <v>2894</v>
      </c>
      <c r="CF193" s="321">
        <v>3342</v>
      </c>
      <c r="CG193" s="321">
        <v>3730</v>
      </c>
      <c r="CH193" s="322">
        <v>4116</v>
      </c>
      <c r="CI193" s="2"/>
      <c r="CJ193" s="683">
        <v>1679</v>
      </c>
      <c r="CK193" s="683">
        <v>1777</v>
      </c>
      <c r="CL193" s="683">
        <v>2206</v>
      </c>
      <c r="CM193" s="683">
        <v>2992</v>
      </c>
      <c r="CN193" s="683">
        <v>3455</v>
      </c>
      <c r="CR193" s="110" t="s">
        <v>939</v>
      </c>
      <c r="CS193" s="200">
        <v>331890</v>
      </c>
      <c r="CT193" s="200">
        <v>382666</v>
      </c>
      <c r="CU193" s="200">
        <v>461600</v>
      </c>
      <c r="CV193" s="200">
        <v>590848</v>
      </c>
      <c r="CW193" s="200">
        <v>658242</v>
      </c>
      <c r="CX193" s="11"/>
      <c r="CY193" s="110" t="s">
        <v>939</v>
      </c>
      <c r="CZ193" s="200">
        <v>331890</v>
      </c>
      <c r="DA193" s="200">
        <v>382666</v>
      </c>
      <c r="DB193" s="200">
        <v>461600</v>
      </c>
      <c r="DC193" s="200">
        <v>590848</v>
      </c>
      <c r="DD193" s="200">
        <v>658242</v>
      </c>
    </row>
    <row r="194" spans="1:108" ht="13.2" customHeight="1">
      <c r="C194" s="16"/>
      <c r="D194" s="2" t="s">
        <v>955</v>
      </c>
      <c r="M194" s="1169"/>
      <c r="N194" s="706"/>
      <c r="O194" s="706"/>
      <c r="P194" s="706"/>
      <c r="Q194" s="706"/>
      <c r="R194" s="706"/>
      <c r="S194" s="706"/>
      <c r="AH194" s="1370" t="s">
        <v>844</v>
      </c>
      <c r="AI194" s="1370"/>
      <c r="BC194" t="s">
        <v>947</v>
      </c>
      <c r="BN194" s="110" t="s">
        <v>956</v>
      </c>
      <c r="BS194">
        <v>2</v>
      </c>
      <c r="BT194" t="s">
        <v>957</v>
      </c>
      <c r="CB194" s="224" t="s">
        <v>945</v>
      </c>
      <c r="CC194" s="320">
        <v>2340</v>
      </c>
      <c r="CD194" s="321">
        <v>2506</v>
      </c>
      <c r="CE194" s="320">
        <v>3006</v>
      </c>
      <c r="CF194" s="321">
        <v>3472</v>
      </c>
      <c r="CG194" s="321">
        <v>3874</v>
      </c>
      <c r="CH194" s="322">
        <v>4276</v>
      </c>
      <c r="CI194" s="2"/>
      <c r="CJ194" s="683">
        <v>1799</v>
      </c>
      <c r="CK194" s="683">
        <v>1999</v>
      </c>
      <c r="CL194" s="683">
        <v>2623</v>
      </c>
      <c r="CM194" s="683">
        <v>3655</v>
      </c>
      <c r="CN194" s="683">
        <v>4046</v>
      </c>
      <c r="CR194" s="110" t="s">
        <v>944</v>
      </c>
      <c r="CS194" s="202">
        <v>352022</v>
      </c>
      <c r="CT194" s="202">
        <v>405878</v>
      </c>
      <c r="CU194" s="202">
        <v>489600</v>
      </c>
      <c r="CV194" s="202">
        <v>626688</v>
      </c>
      <c r="CW194" s="202">
        <v>698170</v>
      </c>
      <c r="CX194" s="11"/>
      <c r="CY194" s="110" t="s">
        <v>944</v>
      </c>
      <c r="CZ194" s="202">
        <v>352022</v>
      </c>
      <c r="DA194" s="202">
        <v>405878</v>
      </c>
      <c r="DB194" s="202">
        <v>489600</v>
      </c>
      <c r="DC194" s="202">
        <v>626688</v>
      </c>
      <c r="DD194" s="202">
        <v>698170</v>
      </c>
    </row>
    <row r="195" spans="1:108" ht="13.2" customHeight="1">
      <c r="C195" s="16"/>
      <c r="D195" t="s">
        <v>958</v>
      </c>
      <c r="T195" s="1370" t="s">
        <v>694</v>
      </c>
      <c r="U195" s="1370"/>
      <c r="W195" t="s">
        <v>959</v>
      </c>
      <c r="AH195" s="1370">
        <v>19</v>
      </c>
      <c r="AI195" s="1370"/>
      <c r="BC195" t="s">
        <v>960</v>
      </c>
      <c r="BN195" s="110" t="s">
        <v>961</v>
      </c>
      <c r="BS195">
        <v>6</v>
      </c>
      <c r="BT195" t="s">
        <v>962</v>
      </c>
      <c r="CB195" s="224" t="s">
        <v>949</v>
      </c>
      <c r="CC195" s="320">
        <v>1960</v>
      </c>
      <c r="CD195" s="321">
        <v>2098</v>
      </c>
      <c r="CE195" s="320">
        <v>2516</v>
      </c>
      <c r="CF195" s="321">
        <v>2910</v>
      </c>
      <c r="CG195" s="321">
        <v>3244</v>
      </c>
      <c r="CH195" s="322">
        <v>3580</v>
      </c>
      <c r="CI195" s="2"/>
      <c r="CJ195" s="683">
        <v>1776</v>
      </c>
      <c r="CK195" s="683">
        <v>1852</v>
      </c>
      <c r="CL195" s="683">
        <v>2306</v>
      </c>
      <c r="CM195" s="683">
        <v>3079</v>
      </c>
      <c r="CN195" s="683">
        <v>3745</v>
      </c>
      <c r="CR195" s="110" t="s">
        <v>948</v>
      </c>
      <c r="CS195" s="200">
        <v>324988</v>
      </c>
      <c r="CT195" s="200">
        <v>374708</v>
      </c>
      <c r="CU195" s="200">
        <v>452000</v>
      </c>
      <c r="CV195" s="200">
        <v>578560</v>
      </c>
      <c r="CW195" s="200">
        <v>644552</v>
      </c>
      <c r="CX195" s="11"/>
      <c r="CY195" s="110" t="s">
        <v>948</v>
      </c>
      <c r="CZ195" s="200">
        <v>324988</v>
      </c>
      <c r="DA195" s="200">
        <v>374708</v>
      </c>
      <c r="DB195" s="200">
        <v>452000</v>
      </c>
      <c r="DC195" s="200">
        <v>578560</v>
      </c>
      <c r="DD195" s="200">
        <v>644552</v>
      </c>
    </row>
    <row r="196" spans="1:108" ht="13.2" customHeight="1">
      <c r="C196" s="16"/>
      <c r="D196" t="s">
        <v>963</v>
      </c>
      <c r="T196" s="1382" t="s">
        <v>844</v>
      </c>
      <c r="U196" s="1382"/>
      <c r="W196" t="s">
        <v>964</v>
      </c>
      <c r="AH196" s="1370">
        <v>28</v>
      </c>
      <c r="AI196" s="1370"/>
      <c r="BN196" s="110" t="s">
        <v>965</v>
      </c>
      <c r="BS196">
        <v>4</v>
      </c>
      <c r="BT196" t="s">
        <v>966</v>
      </c>
      <c r="CB196" s="224" t="s">
        <v>954</v>
      </c>
      <c r="CC196" s="320">
        <v>2894</v>
      </c>
      <c r="CD196" s="321">
        <v>3100</v>
      </c>
      <c r="CE196" s="320">
        <v>3722</v>
      </c>
      <c r="CF196" s="321">
        <v>4300</v>
      </c>
      <c r="CG196" s="321">
        <v>4796</v>
      </c>
      <c r="CH196" s="322">
        <v>5292</v>
      </c>
      <c r="CI196" s="2"/>
      <c r="CJ196" s="683">
        <v>2145</v>
      </c>
      <c r="CK196" s="683">
        <v>2328</v>
      </c>
      <c r="CL196" s="683">
        <v>2881</v>
      </c>
      <c r="CM196" s="683">
        <v>3852</v>
      </c>
      <c r="CN196" s="683">
        <v>4690</v>
      </c>
      <c r="CR196" s="110" t="s">
        <v>953</v>
      </c>
      <c r="CS196" s="202">
        <v>353173</v>
      </c>
      <c r="CT196" s="202">
        <v>407205</v>
      </c>
      <c r="CU196" s="202">
        <v>491200</v>
      </c>
      <c r="CV196" s="202">
        <v>628736</v>
      </c>
      <c r="CW196" s="202">
        <v>700451</v>
      </c>
      <c r="CX196" s="11"/>
      <c r="CY196" s="110" t="s">
        <v>953</v>
      </c>
      <c r="CZ196" s="202">
        <v>353173</v>
      </c>
      <c r="DA196" s="202">
        <v>407205</v>
      </c>
      <c r="DB196" s="202">
        <v>491200</v>
      </c>
      <c r="DC196" s="202">
        <v>628736</v>
      </c>
      <c r="DD196" s="202">
        <v>700451</v>
      </c>
    </row>
    <row r="197" spans="1:108" ht="13.2" customHeight="1">
      <c r="C197" s="16"/>
      <c r="D197" s="2" t="s">
        <v>967</v>
      </c>
      <c r="T197" s="1382" t="s">
        <v>844</v>
      </c>
      <c r="U197" s="1382"/>
      <c r="W197" t="s">
        <v>968</v>
      </c>
      <c r="AH197" s="1370">
        <v>17</v>
      </c>
      <c r="AI197" s="1370"/>
      <c r="BC197" t="s">
        <v>547</v>
      </c>
      <c r="BN197" s="110" t="s">
        <v>969</v>
      </c>
      <c r="BS197">
        <v>2</v>
      </c>
      <c r="BT197" t="s">
        <v>970</v>
      </c>
      <c r="CB197" s="224" t="s">
        <v>957</v>
      </c>
      <c r="CC197" s="320">
        <v>3384</v>
      </c>
      <c r="CD197" s="321">
        <v>3626</v>
      </c>
      <c r="CE197" s="320">
        <v>4352</v>
      </c>
      <c r="CF197" s="321">
        <v>5028</v>
      </c>
      <c r="CG197" s="321">
        <v>5610</v>
      </c>
      <c r="CH197" s="322">
        <v>6190</v>
      </c>
      <c r="CI197" s="2"/>
      <c r="CJ197" s="683">
        <v>2275</v>
      </c>
      <c r="CK197" s="683">
        <v>2780</v>
      </c>
      <c r="CL197" s="683">
        <v>3318</v>
      </c>
      <c r="CM197" s="683">
        <v>4138</v>
      </c>
      <c r="CN197" s="683">
        <v>4399</v>
      </c>
      <c r="CR197" s="110" t="s">
        <v>956</v>
      </c>
      <c r="CS197" s="200">
        <v>689665</v>
      </c>
      <c r="CT197" s="200">
        <v>795177</v>
      </c>
      <c r="CU197" s="200">
        <v>959200</v>
      </c>
      <c r="CV197" s="200">
        <v>1227776</v>
      </c>
      <c r="CW197" s="200">
        <v>1367819</v>
      </c>
      <c r="CX197" s="11"/>
      <c r="CY197" s="110" t="s">
        <v>956</v>
      </c>
      <c r="CZ197" s="200">
        <v>689665</v>
      </c>
      <c r="DA197" s="200">
        <v>795177</v>
      </c>
      <c r="DB197" s="200">
        <v>959200</v>
      </c>
      <c r="DC197" s="200">
        <v>1227776</v>
      </c>
      <c r="DD197" s="200">
        <v>1367819</v>
      </c>
    </row>
    <row r="198" spans="1:108" s="11" customFormat="1" ht="13.2" customHeight="1">
      <c r="A198"/>
      <c r="B198"/>
      <c r="C198" s="16"/>
      <c r="D198" s="2" t="s">
        <v>971</v>
      </c>
      <c r="E198"/>
      <c r="F198"/>
      <c r="G198"/>
      <c r="H198"/>
      <c r="I198"/>
      <c r="J198"/>
      <c r="K198"/>
      <c r="L198"/>
      <c r="M198"/>
      <c r="N198"/>
      <c r="O198"/>
      <c r="P198"/>
      <c r="Q198"/>
      <c r="R198"/>
      <c r="S198"/>
      <c r="T198" s="1382">
        <v>0</v>
      </c>
      <c r="U198" s="1382"/>
      <c r="V198"/>
      <c r="X198" s="1487" t="s">
        <v>972</v>
      </c>
      <c r="Y198" s="1487"/>
      <c r="Z198" s="1487"/>
      <c r="AA198" s="1487"/>
      <c r="AB198" s="1487"/>
      <c r="AC198" s="1487"/>
      <c r="AD198" s="1487"/>
      <c r="AE198" s="1487"/>
      <c r="AF198" s="1487"/>
      <c r="AG198" s="1487"/>
      <c r="AH198" s="1487"/>
      <c r="AI198" s="1487"/>
      <c r="AJ198" s="1487"/>
      <c r="AK198" s="1487"/>
      <c r="AL198" s="1487"/>
      <c r="AM198" s="1487"/>
      <c r="AN198" s="1487"/>
      <c r="AO198" s="1487"/>
      <c r="AP198" s="1487"/>
      <c r="AQ198" s="1487"/>
      <c r="AR198" s="1487"/>
      <c r="AS198" s="1487"/>
      <c r="AT198" s="1487"/>
      <c r="AU198"/>
      <c r="AV198"/>
      <c r="AW198"/>
      <c r="AX198"/>
      <c r="AY198"/>
      <c r="AZ198" s="23"/>
      <c r="BA198" s="23"/>
      <c r="BC198" s="11" t="s">
        <v>810</v>
      </c>
      <c r="BD198"/>
      <c r="BN198" s="110" t="s">
        <v>973</v>
      </c>
      <c r="BO198"/>
      <c r="BP198"/>
      <c r="BQ198"/>
      <c r="BR198"/>
      <c r="BS198">
        <v>4</v>
      </c>
      <c r="BT198" t="s">
        <v>974</v>
      </c>
      <c r="BU198"/>
      <c r="BV198" s="24"/>
      <c r="CB198" s="224" t="s">
        <v>962</v>
      </c>
      <c r="CC198" s="320">
        <v>1832</v>
      </c>
      <c r="CD198" s="321">
        <v>1962</v>
      </c>
      <c r="CE198" s="320">
        <v>2354</v>
      </c>
      <c r="CF198" s="321">
        <v>2720</v>
      </c>
      <c r="CG198" s="321">
        <v>3034</v>
      </c>
      <c r="CH198" s="322">
        <v>3348</v>
      </c>
      <c r="CI198" s="2"/>
      <c r="CJ198" s="683">
        <v>1248</v>
      </c>
      <c r="CK198" s="683">
        <v>1363</v>
      </c>
      <c r="CL198" s="683">
        <v>1736</v>
      </c>
      <c r="CM198" s="683">
        <v>2433</v>
      </c>
      <c r="CN198" s="683">
        <v>2915</v>
      </c>
      <c r="CR198" s="110" t="s">
        <v>961</v>
      </c>
      <c r="CS198" s="202">
        <v>307732</v>
      </c>
      <c r="CT198" s="202">
        <v>354812</v>
      </c>
      <c r="CU198" s="202">
        <v>428000</v>
      </c>
      <c r="CV198" s="202">
        <v>547840</v>
      </c>
      <c r="CW198" s="202">
        <v>610328</v>
      </c>
      <c r="CY198" s="110" t="s">
        <v>961</v>
      </c>
      <c r="CZ198" s="202">
        <v>307732</v>
      </c>
      <c r="DA198" s="202">
        <v>354812</v>
      </c>
      <c r="DB198" s="202">
        <v>428000</v>
      </c>
      <c r="DC198" s="202">
        <v>547840</v>
      </c>
      <c r="DD198" s="202">
        <v>610328</v>
      </c>
    </row>
    <row r="199" spans="1:108" s="11" customFormat="1" ht="13.2" customHeight="1">
      <c r="A199"/>
      <c r="B199"/>
      <c r="C199" s="16"/>
      <c r="D199" s="68" t="s">
        <v>975</v>
      </c>
      <c r="E199"/>
      <c r="F199"/>
      <c r="G199"/>
      <c r="H199"/>
      <c r="I199"/>
      <c r="J199"/>
      <c r="K199"/>
      <c r="L199"/>
      <c r="M199"/>
      <c r="N199"/>
      <c r="O199"/>
      <c r="P199"/>
      <c r="Q199"/>
      <c r="R199"/>
      <c r="S199"/>
      <c r="T199" s="1370" t="s">
        <v>844</v>
      </c>
      <c r="U199" s="1370"/>
      <c r="V199"/>
      <c r="W199"/>
      <c r="X199" s="1487"/>
      <c r="Y199" s="1487"/>
      <c r="Z199" s="1487"/>
      <c r="AA199" s="1487"/>
      <c r="AB199" s="1487"/>
      <c r="AC199" s="1487"/>
      <c r="AD199" s="1487"/>
      <c r="AE199" s="1487"/>
      <c r="AF199" s="1487"/>
      <c r="AG199" s="1487"/>
      <c r="AH199" s="1487"/>
      <c r="AI199" s="1487"/>
      <c r="AJ199" s="1487"/>
      <c r="AK199" s="1487"/>
      <c r="AL199" s="1487"/>
      <c r="AM199" s="1487"/>
      <c r="AN199" s="1487"/>
      <c r="AO199" s="1487"/>
      <c r="AP199" s="1487"/>
      <c r="AQ199" s="1487"/>
      <c r="AR199" s="1487"/>
      <c r="AS199" s="1487"/>
      <c r="AT199" s="1487"/>
      <c r="AU199"/>
      <c r="AV199"/>
      <c r="AW199"/>
      <c r="AX199"/>
      <c r="AY199"/>
      <c r="AZ199" s="23"/>
      <c r="BA199" s="23"/>
      <c r="BC199" t="s">
        <v>797</v>
      </c>
      <c r="BD199"/>
      <c r="BN199" s="110" t="s">
        <v>976</v>
      </c>
      <c r="BO199"/>
      <c r="BP199"/>
      <c r="BQ199"/>
      <c r="BR199"/>
      <c r="BS199">
        <v>2</v>
      </c>
      <c r="BT199" s="25" t="s">
        <v>932</v>
      </c>
      <c r="BU199"/>
      <c r="BV199" s="24"/>
      <c r="CB199" s="224" t="s">
        <v>966</v>
      </c>
      <c r="CC199" s="320">
        <v>2432</v>
      </c>
      <c r="CD199" s="321">
        <v>2606</v>
      </c>
      <c r="CE199" s="320">
        <v>3126</v>
      </c>
      <c r="CF199" s="321">
        <v>3612</v>
      </c>
      <c r="CG199" s="321">
        <v>4032</v>
      </c>
      <c r="CH199" s="322">
        <v>4448</v>
      </c>
      <c r="CI199" s="2"/>
      <c r="CJ199" s="683">
        <v>1669</v>
      </c>
      <c r="CK199" s="683">
        <v>1855</v>
      </c>
      <c r="CL199" s="683">
        <v>2434</v>
      </c>
      <c r="CM199" s="683">
        <v>3250</v>
      </c>
      <c r="CN199" s="683">
        <v>3683</v>
      </c>
      <c r="CR199" s="110" t="s">
        <v>965</v>
      </c>
      <c r="CS199" s="200">
        <v>404366</v>
      </c>
      <c r="CT199" s="200">
        <v>466230</v>
      </c>
      <c r="CU199" s="200">
        <v>562400</v>
      </c>
      <c r="CV199" s="200">
        <v>719872</v>
      </c>
      <c r="CW199" s="200">
        <v>801982</v>
      </c>
      <c r="CY199" s="110" t="s">
        <v>965</v>
      </c>
      <c r="CZ199" s="200">
        <v>404366</v>
      </c>
      <c r="DA199" s="200">
        <v>466230</v>
      </c>
      <c r="DB199" s="200">
        <v>562400</v>
      </c>
      <c r="DC199" s="200">
        <v>719872</v>
      </c>
      <c r="DD199" s="200">
        <v>801982</v>
      </c>
    </row>
    <row r="200" spans="1:108" s="11" customFormat="1" ht="13.2" customHeight="1">
      <c r="A200"/>
      <c r="B200"/>
      <c r="C200" s="16"/>
      <c r="D200" s="11" t="s">
        <v>977</v>
      </c>
      <c r="T200" s="1370" t="s">
        <v>844</v>
      </c>
      <c r="U200" s="1370"/>
      <c r="V200"/>
      <c r="W200"/>
      <c r="X200"/>
      <c r="Y200"/>
      <c r="AA200"/>
      <c r="AB200" s="1027" t="s">
        <v>978</v>
      </c>
      <c r="AC200"/>
      <c r="AF200"/>
      <c r="AG200"/>
      <c r="AH200" s="1154"/>
      <c r="AJ200"/>
      <c r="AK200"/>
      <c r="AL200"/>
      <c r="AM200"/>
      <c r="AN200"/>
      <c r="AO200"/>
      <c r="AP200"/>
      <c r="AQ200"/>
      <c r="AR200"/>
      <c r="AS200"/>
      <c r="AU200"/>
      <c r="AV200"/>
      <c r="AW200"/>
      <c r="AX200"/>
      <c r="AY200"/>
      <c r="AZ200" s="23"/>
      <c r="BA200" s="23"/>
      <c r="BC200" s="2" t="s">
        <v>979</v>
      </c>
      <c r="BD200" s="304"/>
      <c r="BN200" s="110" t="s">
        <v>980</v>
      </c>
      <c r="BO200"/>
      <c r="BP200"/>
      <c r="BQ200"/>
      <c r="BR200"/>
      <c r="BS200">
        <v>2</v>
      </c>
      <c r="BT200" s="25" t="s">
        <v>981</v>
      </c>
      <c r="BU200"/>
      <c r="CB200" s="224" t="s">
        <v>970</v>
      </c>
      <c r="CC200" s="320">
        <v>3384</v>
      </c>
      <c r="CD200" s="321">
        <v>3626</v>
      </c>
      <c r="CE200" s="320">
        <v>4352</v>
      </c>
      <c r="CF200" s="321">
        <v>5028</v>
      </c>
      <c r="CG200" s="321">
        <v>5610</v>
      </c>
      <c r="CH200" s="322">
        <v>6190</v>
      </c>
      <c r="CI200" s="2"/>
      <c r="CJ200" s="683">
        <v>2275</v>
      </c>
      <c r="CK200" s="683">
        <v>2780</v>
      </c>
      <c r="CL200" s="683">
        <v>3318</v>
      </c>
      <c r="CM200" s="683">
        <v>4138</v>
      </c>
      <c r="CN200" s="683">
        <v>4399</v>
      </c>
      <c r="CR200" s="110" t="s">
        <v>969</v>
      </c>
      <c r="CS200" s="201">
        <v>532060</v>
      </c>
      <c r="CT200" s="201">
        <v>613460</v>
      </c>
      <c r="CU200" s="202">
        <v>740000</v>
      </c>
      <c r="CV200" s="201">
        <v>947200</v>
      </c>
      <c r="CW200" s="201">
        <v>1055240</v>
      </c>
      <c r="CY200" s="110" t="s">
        <v>969</v>
      </c>
      <c r="CZ200" s="201">
        <v>532060</v>
      </c>
      <c r="DA200" s="201">
        <v>613460</v>
      </c>
      <c r="DB200" s="201">
        <v>740000</v>
      </c>
      <c r="DC200" s="201">
        <v>947200</v>
      </c>
      <c r="DD200" s="201">
        <v>1055240</v>
      </c>
    </row>
    <row r="201" spans="1:108" s="11" customFormat="1" ht="13.2" customHeight="1">
      <c r="A201"/>
      <c r="B201"/>
      <c r="C201" s="16"/>
      <c r="E201" s="2" t="s">
        <v>982</v>
      </c>
      <c r="V201"/>
      <c r="X201"/>
      <c r="Y201"/>
      <c r="Z201"/>
      <c r="AB201" s="1027" t="s">
        <v>983</v>
      </c>
      <c r="AC201"/>
      <c r="AH201" s="1154"/>
      <c r="AJ201"/>
      <c r="AK201"/>
      <c r="AL201"/>
      <c r="AM201"/>
      <c r="AN201"/>
      <c r="AO201"/>
      <c r="AP201"/>
      <c r="AQ201"/>
      <c r="AR201"/>
      <c r="AS201"/>
      <c r="AU201"/>
      <c r="AV201"/>
      <c r="AW201"/>
      <c r="AX201"/>
      <c r="AY201"/>
      <c r="AZ201" s="23"/>
      <c r="BA201" s="23"/>
      <c r="BC201" s="2" t="s">
        <v>984</v>
      </c>
      <c r="BD201" s="304"/>
      <c r="BN201" s="110" t="s">
        <v>985</v>
      </c>
      <c r="BO201" s="24"/>
      <c r="BP201" s="25"/>
      <c r="BQ201" s="25"/>
      <c r="BR201" s="25"/>
      <c r="BS201">
        <v>6</v>
      </c>
      <c r="BT201" s="25" t="s">
        <v>986</v>
      </c>
      <c r="BU201"/>
      <c r="CB201" s="224" t="s">
        <v>974</v>
      </c>
      <c r="CC201" s="320">
        <v>3090</v>
      </c>
      <c r="CD201" s="321">
        <v>3310</v>
      </c>
      <c r="CE201" s="320">
        <v>3972</v>
      </c>
      <c r="CF201" s="321">
        <v>4590</v>
      </c>
      <c r="CG201" s="321">
        <v>5120</v>
      </c>
      <c r="CH201" s="322">
        <v>5648</v>
      </c>
      <c r="CI201" s="2"/>
      <c r="CJ201" s="683">
        <v>2381</v>
      </c>
      <c r="CK201" s="683">
        <v>2688</v>
      </c>
      <c r="CL201" s="683">
        <v>3028</v>
      </c>
      <c r="CM201" s="683">
        <v>4011</v>
      </c>
      <c r="CN201" s="683">
        <v>4468</v>
      </c>
      <c r="CR201" s="110" t="s">
        <v>973</v>
      </c>
      <c r="CS201" s="200">
        <v>404366</v>
      </c>
      <c r="CT201" s="200">
        <v>466230</v>
      </c>
      <c r="CU201" s="200">
        <v>562400</v>
      </c>
      <c r="CV201" s="200">
        <v>719872</v>
      </c>
      <c r="CW201" s="200">
        <v>801982</v>
      </c>
      <c r="CY201" s="110" t="s">
        <v>973</v>
      </c>
      <c r="CZ201" s="200">
        <v>404366</v>
      </c>
      <c r="DA201" s="200">
        <v>466230</v>
      </c>
      <c r="DB201" s="200">
        <v>562400</v>
      </c>
      <c r="DC201" s="200">
        <v>719872</v>
      </c>
      <c r="DD201" s="200">
        <v>801982</v>
      </c>
    </row>
    <row r="202" spans="1:108" ht="13.2" customHeight="1">
      <c r="C202" s="16"/>
      <c r="AE202" s="6"/>
      <c r="BC202" t="s">
        <v>987</v>
      </c>
      <c r="BD202" s="304"/>
      <c r="BN202" s="110" t="s">
        <v>988</v>
      </c>
      <c r="BO202" s="11"/>
      <c r="BP202" s="25"/>
      <c r="BQ202" s="25"/>
      <c r="BR202" s="25"/>
      <c r="BS202">
        <v>7</v>
      </c>
      <c r="BT202" s="25" t="s">
        <v>989</v>
      </c>
      <c r="CB202" s="224" t="s">
        <v>932</v>
      </c>
      <c r="CC202" s="320">
        <v>3516</v>
      </c>
      <c r="CD202" s="321">
        <v>3768</v>
      </c>
      <c r="CE202" s="320">
        <v>4522</v>
      </c>
      <c r="CF202" s="321">
        <v>5222</v>
      </c>
      <c r="CG202" s="321">
        <v>5826</v>
      </c>
      <c r="CH202" s="322">
        <v>6430</v>
      </c>
      <c r="CI202" s="2"/>
      <c r="CJ202" s="683">
        <v>2608</v>
      </c>
      <c r="CK202" s="683">
        <v>2975</v>
      </c>
      <c r="CL202" s="683">
        <v>3446</v>
      </c>
      <c r="CM202" s="683">
        <v>4477</v>
      </c>
      <c r="CN202" s="683">
        <v>4878</v>
      </c>
      <c r="CR202" s="110" t="s">
        <v>976</v>
      </c>
      <c r="CS202" s="201">
        <v>532060</v>
      </c>
      <c r="CT202" s="201">
        <v>613460</v>
      </c>
      <c r="CU202" s="201">
        <v>740000</v>
      </c>
      <c r="CV202" s="201">
        <v>947200</v>
      </c>
      <c r="CW202" s="201">
        <v>1055240</v>
      </c>
      <c r="CX202" s="11"/>
      <c r="CY202" s="110" t="s">
        <v>976</v>
      </c>
      <c r="CZ202" s="201">
        <v>532060</v>
      </c>
      <c r="DA202" s="201">
        <v>613460</v>
      </c>
      <c r="DB202" s="201">
        <v>740000</v>
      </c>
      <c r="DC202" s="201">
        <v>947200</v>
      </c>
      <c r="DD202" s="201">
        <v>1055240</v>
      </c>
    </row>
    <row r="203" spans="1:108" ht="13.2" customHeight="1">
      <c r="A203" s="1" t="s">
        <v>990</v>
      </c>
      <c r="C203" s="1" t="s">
        <v>991</v>
      </c>
      <c r="BC203" t="s">
        <v>992</v>
      </c>
      <c r="BN203" s="110" t="s">
        <v>993</v>
      </c>
      <c r="BO203" s="11"/>
      <c r="BP203" s="25"/>
      <c r="BQ203" s="25"/>
      <c r="BR203" s="25"/>
      <c r="BS203">
        <v>7</v>
      </c>
      <c r="BT203" s="25" t="s">
        <v>994</v>
      </c>
      <c r="CB203" s="224" t="s">
        <v>981</v>
      </c>
      <c r="CC203" s="320">
        <v>3462</v>
      </c>
      <c r="CD203" s="321">
        <v>3708</v>
      </c>
      <c r="CE203" s="320">
        <v>4450</v>
      </c>
      <c r="CF203" s="321">
        <v>5142</v>
      </c>
      <c r="CG203" s="321">
        <v>5734</v>
      </c>
      <c r="CH203" s="322">
        <v>6330</v>
      </c>
      <c r="CI203" s="2"/>
      <c r="CJ203" s="683">
        <v>3056</v>
      </c>
      <c r="CK203" s="683">
        <v>3221</v>
      </c>
      <c r="CL203" s="683">
        <v>4223</v>
      </c>
      <c r="CM203" s="683">
        <v>5256</v>
      </c>
      <c r="CN203" s="683">
        <v>5605</v>
      </c>
      <c r="CR203" s="110" t="s">
        <v>980</v>
      </c>
      <c r="CS203" s="200">
        <v>404366</v>
      </c>
      <c r="CT203" s="200">
        <v>466230</v>
      </c>
      <c r="CU203" s="200">
        <v>562400</v>
      </c>
      <c r="CV203" s="200">
        <v>719872</v>
      </c>
      <c r="CW203" s="200">
        <v>801982</v>
      </c>
      <c r="CX203" s="11"/>
      <c r="CY203" s="110" t="s">
        <v>980</v>
      </c>
      <c r="CZ203" s="200">
        <v>404366</v>
      </c>
      <c r="DA203" s="200">
        <v>466230</v>
      </c>
      <c r="DB203" s="200">
        <v>562400</v>
      </c>
      <c r="DC203" s="200">
        <v>719872</v>
      </c>
      <c r="DD203" s="200">
        <v>801982</v>
      </c>
    </row>
    <row r="204" spans="1:108" ht="13.2" customHeight="1">
      <c r="D204" s="1439" t="s">
        <v>995</v>
      </c>
      <c r="E204" s="1439"/>
      <c r="F204" s="1439"/>
      <c r="G204" s="1439"/>
      <c r="H204" s="1439"/>
      <c r="I204" s="1439"/>
      <c r="J204" s="1439"/>
      <c r="K204" s="1439"/>
      <c r="L204" s="1439"/>
      <c r="M204" s="1439"/>
      <c r="P204" s="1499">
        <f>M26</f>
        <v>3847496</v>
      </c>
      <c r="Q204" s="1500"/>
      <c r="R204" s="1500"/>
      <c r="S204" s="1500"/>
      <c r="T204" s="1500"/>
      <c r="U204" s="1500"/>
      <c r="BC204" t="s">
        <v>996</v>
      </c>
      <c r="BN204" s="110" t="s">
        <v>997</v>
      </c>
      <c r="BS204">
        <v>6</v>
      </c>
      <c r="BT204" s="25" t="s">
        <v>998</v>
      </c>
      <c r="BU204" s="11"/>
      <c r="CB204" s="224" t="s">
        <v>986</v>
      </c>
      <c r="CC204" s="320">
        <v>1702</v>
      </c>
      <c r="CD204" s="321">
        <v>1822</v>
      </c>
      <c r="CE204" s="320">
        <v>2190</v>
      </c>
      <c r="CF204" s="321">
        <v>2530</v>
      </c>
      <c r="CG204" s="321">
        <v>2822</v>
      </c>
      <c r="CH204" s="322">
        <v>3114</v>
      </c>
      <c r="CI204" s="2"/>
      <c r="CJ204" s="683">
        <v>1151</v>
      </c>
      <c r="CK204" s="683">
        <v>1229</v>
      </c>
      <c r="CL204" s="683">
        <v>1613</v>
      </c>
      <c r="CM204" s="683">
        <v>2260</v>
      </c>
      <c r="CN204" s="683">
        <v>2709</v>
      </c>
      <c r="CR204" s="110" t="s">
        <v>985</v>
      </c>
      <c r="CS204" s="202">
        <v>319236</v>
      </c>
      <c r="CT204" s="202">
        <v>368076</v>
      </c>
      <c r="CU204" s="202">
        <v>444000</v>
      </c>
      <c r="CV204" s="202">
        <v>568320</v>
      </c>
      <c r="CW204" s="202">
        <v>633144</v>
      </c>
      <c r="CX204" s="11"/>
      <c r="CY204" s="110" t="s">
        <v>985</v>
      </c>
      <c r="CZ204" s="202">
        <v>319236</v>
      </c>
      <c r="DA204" s="202">
        <v>368076</v>
      </c>
      <c r="DB204" s="202">
        <v>444000</v>
      </c>
      <c r="DC204" s="202">
        <v>568320</v>
      </c>
      <c r="DD204" s="202">
        <v>633144</v>
      </c>
    </row>
    <row r="205" spans="1:108" ht="13.2" customHeight="1">
      <c r="C205" s="16"/>
      <c r="D205" s="1488" t="s">
        <v>999</v>
      </c>
      <c r="E205" s="1439"/>
      <c r="F205" s="1439"/>
      <c r="G205" s="1439"/>
      <c r="H205" s="1439"/>
      <c r="I205" s="1439"/>
      <c r="J205" s="1439"/>
      <c r="K205" s="1439"/>
      <c r="L205" s="1439"/>
      <c r="M205" s="1439"/>
      <c r="P205" s="1500">
        <f>M27</f>
        <v>18494735</v>
      </c>
      <c r="Q205" s="1500"/>
      <c r="R205" s="1500"/>
      <c r="S205" s="1500"/>
      <c r="T205" s="1500"/>
      <c r="U205" s="1500"/>
      <c r="V205" s="17"/>
      <c r="W205" s="2" t="s">
        <v>1000</v>
      </c>
      <c r="Z205" s="1485" t="s">
        <v>1001</v>
      </c>
      <c r="AA205" s="1485"/>
      <c r="AB205" s="1485"/>
      <c r="AC205" s="1485"/>
      <c r="AD205" s="1485"/>
      <c r="AE205" s="1485"/>
      <c r="AF205" s="1485"/>
      <c r="AG205" s="1485"/>
      <c r="AH205" s="1485"/>
      <c r="AI205" s="1485"/>
      <c r="AJ205" s="1485"/>
      <c r="AK205" s="1485"/>
      <c r="AL205" s="1485"/>
      <c r="AM205" s="1485"/>
      <c r="AN205" s="1485"/>
      <c r="AP205" s="1360"/>
      <c r="AQ205" s="1360"/>
      <c r="BC205" t="s">
        <v>1002</v>
      </c>
      <c r="BN205" s="110" t="s">
        <v>1003</v>
      </c>
      <c r="BS205">
        <v>4</v>
      </c>
      <c r="BT205" s="25" t="s">
        <v>1004</v>
      </c>
      <c r="BU205" s="11"/>
      <c r="CB205" s="224" t="s">
        <v>989</v>
      </c>
      <c r="CC205" s="320">
        <v>1644</v>
      </c>
      <c r="CD205" s="321">
        <v>1762</v>
      </c>
      <c r="CE205" s="320">
        <v>2114</v>
      </c>
      <c r="CF205" s="321">
        <v>2442</v>
      </c>
      <c r="CG205" s="321">
        <v>2724</v>
      </c>
      <c r="CH205" s="322">
        <v>3006</v>
      </c>
      <c r="CI205" s="2"/>
      <c r="CJ205" s="683">
        <v>1003</v>
      </c>
      <c r="CK205" s="683">
        <v>1101</v>
      </c>
      <c r="CL205" s="683">
        <v>1445</v>
      </c>
      <c r="CM205" s="683">
        <v>2025</v>
      </c>
      <c r="CN205" s="683">
        <v>2396</v>
      </c>
      <c r="CR205" s="110" t="s">
        <v>988</v>
      </c>
      <c r="CS205" s="200">
        <v>352022</v>
      </c>
      <c r="CT205" s="200">
        <v>405878</v>
      </c>
      <c r="CU205" s="200">
        <v>489600</v>
      </c>
      <c r="CV205" s="200">
        <v>626688</v>
      </c>
      <c r="CW205" s="200">
        <v>698170</v>
      </c>
      <c r="CX205" s="11"/>
      <c r="CY205" s="110" t="s">
        <v>988</v>
      </c>
      <c r="CZ205" s="200">
        <v>352022</v>
      </c>
      <c r="DA205" s="200">
        <v>405878</v>
      </c>
      <c r="DB205" s="200">
        <v>489600</v>
      </c>
      <c r="DC205" s="200">
        <v>626688</v>
      </c>
      <c r="DD205" s="200">
        <v>698170</v>
      </c>
    </row>
    <row r="206" spans="1:108" ht="13.2" customHeight="1">
      <c r="D206" s="22"/>
      <c r="E206" s="22"/>
      <c r="F206" s="22"/>
      <c r="G206" s="22"/>
      <c r="H206" s="22"/>
      <c r="I206" s="22"/>
      <c r="J206" s="22"/>
      <c r="K206" s="22"/>
      <c r="L206" s="22"/>
      <c r="M206" s="22"/>
      <c r="N206" s="22"/>
      <c r="O206" s="22"/>
      <c r="P206" s="22"/>
      <c r="BC206" t="s">
        <v>1005</v>
      </c>
      <c r="BN206" s="110" t="s">
        <v>1006</v>
      </c>
      <c r="BS206">
        <v>5</v>
      </c>
      <c r="BT206" s="25" t="s">
        <v>1007</v>
      </c>
      <c r="BU206" s="11"/>
      <c r="CB206" s="224" t="s">
        <v>994</v>
      </c>
      <c r="CC206" s="320">
        <v>1644</v>
      </c>
      <c r="CD206" s="321">
        <v>1762</v>
      </c>
      <c r="CE206" s="320">
        <v>2114</v>
      </c>
      <c r="CF206" s="321">
        <v>2442</v>
      </c>
      <c r="CG206" s="321">
        <v>2724</v>
      </c>
      <c r="CH206" s="322">
        <v>3006</v>
      </c>
      <c r="CI206" s="2"/>
      <c r="CJ206" s="683">
        <v>924</v>
      </c>
      <c r="CK206" s="683">
        <v>930</v>
      </c>
      <c r="CL206" s="683">
        <v>1201</v>
      </c>
      <c r="CM206" s="683">
        <v>1683</v>
      </c>
      <c r="CN206" s="683">
        <v>1834</v>
      </c>
      <c r="CR206" s="110" t="s">
        <v>993</v>
      </c>
      <c r="CS206" s="202">
        <v>352022</v>
      </c>
      <c r="CT206" s="202">
        <v>405878</v>
      </c>
      <c r="CU206" s="202">
        <v>489600</v>
      </c>
      <c r="CV206" s="202">
        <v>626688</v>
      </c>
      <c r="CW206" s="202">
        <v>698170</v>
      </c>
      <c r="CX206" s="11"/>
      <c r="CY206" s="110" t="s">
        <v>993</v>
      </c>
      <c r="CZ206" s="202">
        <v>352022</v>
      </c>
      <c r="DA206" s="202">
        <v>405878</v>
      </c>
      <c r="DB206" s="202">
        <v>489600</v>
      </c>
      <c r="DC206" s="202">
        <v>626688</v>
      </c>
      <c r="DD206" s="202">
        <v>698170</v>
      </c>
    </row>
    <row r="207" spans="1:108" ht="13.2" customHeight="1">
      <c r="A207" s="1" t="s">
        <v>1008</v>
      </c>
      <c r="C207" s="1" t="s">
        <v>1009</v>
      </c>
      <c r="BC207" s="305" t="s">
        <v>1010</v>
      </c>
      <c r="BN207" s="110" t="s">
        <v>1011</v>
      </c>
      <c r="BS207">
        <v>6</v>
      </c>
      <c r="BT207" s="25" t="s">
        <v>1012</v>
      </c>
      <c r="CB207" s="224" t="s">
        <v>998</v>
      </c>
      <c r="CC207" s="320">
        <v>2404</v>
      </c>
      <c r="CD207" s="321">
        <v>2576</v>
      </c>
      <c r="CE207" s="320">
        <v>3092</v>
      </c>
      <c r="CF207" s="321">
        <v>3572</v>
      </c>
      <c r="CG207" s="321">
        <v>3984</v>
      </c>
      <c r="CH207" s="322">
        <v>4396</v>
      </c>
      <c r="CI207" s="2"/>
      <c r="CJ207" s="683">
        <v>1724</v>
      </c>
      <c r="CK207" s="683">
        <v>1894</v>
      </c>
      <c r="CL207" s="683">
        <v>2420</v>
      </c>
      <c r="CM207" s="683">
        <v>3234</v>
      </c>
      <c r="CN207" s="683">
        <v>3663</v>
      </c>
      <c r="CR207" s="110" t="s">
        <v>997</v>
      </c>
      <c r="CS207" s="200">
        <v>384234</v>
      </c>
      <c r="CT207" s="200">
        <v>443018</v>
      </c>
      <c r="CU207" s="200">
        <v>534400</v>
      </c>
      <c r="CV207" s="200">
        <v>684032</v>
      </c>
      <c r="CW207" s="200">
        <v>762054</v>
      </c>
      <c r="CX207" s="11"/>
      <c r="CY207" s="110" t="s">
        <v>997</v>
      </c>
      <c r="CZ207" s="200">
        <v>384234</v>
      </c>
      <c r="DA207" s="200">
        <v>443018</v>
      </c>
      <c r="DB207" s="200">
        <v>534400</v>
      </c>
      <c r="DC207" s="200">
        <v>684032</v>
      </c>
      <c r="DD207" s="200">
        <v>762054</v>
      </c>
    </row>
    <row r="208" spans="1:108" ht="13.2" customHeight="1">
      <c r="C208" s="16"/>
      <c r="D208" s="1472" t="s">
        <v>1013</v>
      </c>
      <c r="E208" s="1472"/>
      <c r="F208" s="1472"/>
      <c r="G208" s="1472"/>
      <c r="H208" s="1472"/>
      <c r="I208" s="1472"/>
      <c r="J208" s="1472"/>
      <c r="K208" s="1472"/>
      <c r="L208" s="1472"/>
      <c r="M208" s="1472"/>
      <c r="BC208" s="2" t="s">
        <v>1014</v>
      </c>
      <c r="BN208" s="110" t="s">
        <v>1015</v>
      </c>
      <c r="BS208">
        <v>7</v>
      </c>
      <c r="BT208" s="25" t="s">
        <v>1016</v>
      </c>
      <c r="CB208" s="224" t="s">
        <v>1004</v>
      </c>
      <c r="CC208" s="320">
        <v>2642</v>
      </c>
      <c r="CD208" s="321">
        <v>2830</v>
      </c>
      <c r="CE208" s="320">
        <v>3396</v>
      </c>
      <c r="CF208" s="321">
        <v>3926</v>
      </c>
      <c r="CG208" s="321">
        <v>4380</v>
      </c>
      <c r="CH208" s="322">
        <v>4832</v>
      </c>
      <c r="CI208" s="2"/>
      <c r="CJ208" s="683">
        <v>1879</v>
      </c>
      <c r="CK208" s="683">
        <v>2089</v>
      </c>
      <c r="CL208" s="683">
        <v>2740</v>
      </c>
      <c r="CM208" s="683">
        <v>3743</v>
      </c>
      <c r="CN208" s="683">
        <v>3960</v>
      </c>
      <c r="CR208" s="110" t="s">
        <v>1003</v>
      </c>
      <c r="CS208" s="202">
        <v>384234</v>
      </c>
      <c r="CT208" s="202">
        <v>443018</v>
      </c>
      <c r="CU208" s="202">
        <v>534400</v>
      </c>
      <c r="CV208" s="202">
        <v>684032</v>
      </c>
      <c r="CW208" s="202">
        <v>762054</v>
      </c>
      <c r="CX208" s="11"/>
      <c r="CY208" s="110" t="s">
        <v>1003</v>
      </c>
      <c r="CZ208" s="202">
        <v>384234</v>
      </c>
      <c r="DA208" s="202">
        <v>443018</v>
      </c>
      <c r="DB208" s="202">
        <v>534400</v>
      </c>
      <c r="DC208" s="202">
        <v>684032</v>
      </c>
      <c r="DD208" s="202">
        <v>762054</v>
      </c>
    </row>
    <row r="209" spans="1:108" ht="13.2" customHeight="1">
      <c r="BC209" t="s">
        <v>1017</v>
      </c>
      <c r="BN209" s="110" t="s">
        <v>1018</v>
      </c>
      <c r="BS209">
        <v>7</v>
      </c>
      <c r="BT209" s="25" t="s">
        <v>1019</v>
      </c>
      <c r="CB209" s="224" t="s">
        <v>1007</v>
      </c>
      <c r="CC209" s="320">
        <v>1724</v>
      </c>
      <c r="CD209" s="321">
        <v>1846</v>
      </c>
      <c r="CE209" s="320">
        <v>2216</v>
      </c>
      <c r="CF209" s="321">
        <v>2560</v>
      </c>
      <c r="CG209" s="321">
        <v>2856</v>
      </c>
      <c r="CH209" s="322">
        <v>3152</v>
      </c>
      <c r="CI209" s="2"/>
      <c r="CJ209" s="683">
        <v>1130</v>
      </c>
      <c r="CK209" s="683">
        <v>1209</v>
      </c>
      <c r="CL209" s="683">
        <v>1566</v>
      </c>
      <c r="CM209" s="683">
        <v>2194</v>
      </c>
      <c r="CN209" s="683">
        <v>2549</v>
      </c>
      <c r="CR209" s="110" t="s">
        <v>1006</v>
      </c>
      <c r="CS209" s="200">
        <v>307732</v>
      </c>
      <c r="CT209" s="200">
        <v>354812</v>
      </c>
      <c r="CU209" s="200">
        <v>428000</v>
      </c>
      <c r="CV209" s="200">
        <v>547840</v>
      </c>
      <c r="CW209" s="200">
        <v>610328</v>
      </c>
      <c r="CX209" s="11"/>
      <c r="CY209" s="110" t="s">
        <v>1006</v>
      </c>
      <c r="CZ209" s="200">
        <v>307732</v>
      </c>
      <c r="DA209" s="200">
        <v>354812</v>
      </c>
      <c r="DB209" s="200">
        <v>428000</v>
      </c>
      <c r="DC209" s="200">
        <v>547840</v>
      </c>
      <c r="DD209" s="200">
        <v>610328</v>
      </c>
    </row>
    <row r="210" spans="1:108" ht="13.2" customHeight="1">
      <c r="A210" s="1" t="s">
        <v>1020</v>
      </c>
      <c r="C210" s="1" t="s">
        <v>1021</v>
      </c>
      <c r="BC210" t="s">
        <v>1022</v>
      </c>
      <c r="BN210" s="110" t="s">
        <v>1023</v>
      </c>
      <c r="BS210">
        <v>5</v>
      </c>
      <c r="BT210" s="25" t="s">
        <v>1024</v>
      </c>
      <c r="CB210" s="224" t="s">
        <v>1012</v>
      </c>
      <c r="CC210" s="320">
        <v>1680</v>
      </c>
      <c r="CD210" s="321">
        <v>1800</v>
      </c>
      <c r="CE210" s="320">
        <v>2160</v>
      </c>
      <c r="CF210" s="321">
        <v>2496</v>
      </c>
      <c r="CG210" s="321">
        <v>2784</v>
      </c>
      <c r="CH210" s="322">
        <v>3072</v>
      </c>
      <c r="CI210" s="2"/>
      <c r="CJ210" s="683">
        <v>1195</v>
      </c>
      <c r="CK210" s="683">
        <v>1197</v>
      </c>
      <c r="CL210" s="683">
        <v>1522</v>
      </c>
      <c r="CM210" s="683">
        <v>2133</v>
      </c>
      <c r="CN210" s="683">
        <v>2556</v>
      </c>
      <c r="CR210" s="110" t="s">
        <v>1011</v>
      </c>
      <c r="CS210" s="202">
        <v>331890</v>
      </c>
      <c r="CT210" s="202">
        <v>382666</v>
      </c>
      <c r="CU210" s="202">
        <v>461600</v>
      </c>
      <c r="CV210" s="202">
        <v>590848</v>
      </c>
      <c r="CW210" s="202">
        <v>658242</v>
      </c>
      <c r="CX210" s="11"/>
      <c r="CY210" s="110" t="s">
        <v>1011</v>
      </c>
      <c r="CZ210" s="202">
        <v>331890</v>
      </c>
      <c r="DA210" s="202">
        <v>382666</v>
      </c>
      <c r="DB210" s="202">
        <v>461600</v>
      </c>
      <c r="DC210" s="202">
        <v>590848</v>
      </c>
      <c r="DD210" s="202">
        <v>658242</v>
      </c>
    </row>
    <row r="211" spans="1:108" ht="13.2" customHeight="1">
      <c r="C211" s="16"/>
      <c r="D211" s="1472" t="s">
        <v>938</v>
      </c>
      <c r="E211" s="1472"/>
      <c r="F211" s="1472"/>
      <c r="G211" s="1472"/>
      <c r="H211" s="1472"/>
      <c r="I211" s="1472"/>
      <c r="J211" s="1472"/>
      <c r="K211" s="1472"/>
      <c r="L211" s="1472"/>
      <c r="M211" s="1472"/>
      <c r="BN211" s="110" t="s">
        <v>1025</v>
      </c>
      <c r="BS211">
        <v>7</v>
      </c>
      <c r="BT211" s="25" t="s">
        <v>1026</v>
      </c>
      <c r="CB211" s="224" t="s">
        <v>1016</v>
      </c>
      <c r="CC211" s="320">
        <v>1644</v>
      </c>
      <c r="CD211" s="321">
        <v>1762</v>
      </c>
      <c r="CE211" s="320">
        <v>2114</v>
      </c>
      <c r="CF211" s="321">
        <v>2442</v>
      </c>
      <c r="CG211" s="321">
        <v>2724</v>
      </c>
      <c r="CH211" s="322">
        <v>3006</v>
      </c>
      <c r="CI211" s="2"/>
      <c r="CJ211" s="683">
        <v>926</v>
      </c>
      <c r="CK211" s="683">
        <v>1030</v>
      </c>
      <c r="CL211" s="683">
        <v>1351</v>
      </c>
      <c r="CM211" s="683">
        <v>1778</v>
      </c>
      <c r="CN211" s="683">
        <v>2229</v>
      </c>
      <c r="CR211" s="110" t="s">
        <v>1015</v>
      </c>
      <c r="CS211" s="200">
        <v>352022</v>
      </c>
      <c r="CT211" s="200">
        <v>405878</v>
      </c>
      <c r="CU211" s="200">
        <v>489600</v>
      </c>
      <c r="CV211" s="200">
        <v>626688</v>
      </c>
      <c r="CW211" s="200">
        <v>698170</v>
      </c>
      <c r="CX211" s="11"/>
      <c r="CY211" s="110" t="s">
        <v>1015</v>
      </c>
      <c r="CZ211" s="200">
        <v>352022</v>
      </c>
      <c r="DA211" s="200">
        <v>405878</v>
      </c>
      <c r="DB211" s="200">
        <v>489600</v>
      </c>
      <c r="DC211" s="200">
        <v>626688</v>
      </c>
      <c r="DD211" s="200">
        <v>698170</v>
      </c>
    </row>
    <row r="212" spans="1:108" ht="13.2" customHeight="1">
      <c r="C212" s="16"/>
      <c r="D212" s="2" t="s">
        <v>1027</v>
      </c>
      <c r="Q212" s="1370"/>
      <c r="R212" s="1370"/>
      <c r="T212" s="1511">
        <f>IFERROR(Q212/AG440,0)</f>
        <v>0</v>
      </c>
      <c r="U212" s="1512"/>
      <c r="BC212" t="s">
        <v>547</v>
      </c>
      <c r="BI212" t="s">
        <v>1028</v>
      </c>
      <c r="BN212" s="110" t="s">
        <v>1029</v>
      </c>
      <c r="BS212">
        <v>4</v>
      </c>
      <c r="BT212" s="25" t="s">
        <v>1030</v>
      </c>
      <c r="CB212" s="224" t="s">
        <v>1019</v>
      </c>
      <c r="CC212" s="320">
        <v>1644</v>
      </c>
      <c r="CD212" s="321">
        <v>1762</v>
      </c>
      <c r="CE212" s="320">
        <v>2114</v>
      </c>
      <c r="CF212" s="321">
        <v>2442</v>
      </c>
      <c r="CG212" s="321">
        <v>2724</v>
      </c>
      <c r="CH212" s="322">
        <v>3006</v>
      </c>
      <c r="CI212" s="2"/>
      <c r="CJ212" s="683">
        <v>777</v>
      </c>
      <c r="CK212" s="683">
        <v>854</v>
      </c>
      <c r="CL212" s="683">
        <v>1120</v>
      </c>
      <c r="CM212" s="683">
        <v>1569</v>
      </c>
      <c r="CN212" s="683">
        <v>1708</v>
      </c>
      <c r="CR212" s="110" t="s">
        <v>1018</v>
      </c>
      <c r="CS212" s="202">
        <v>352022</v>
      </c>
      <c r="CT212" s="202">
        <v>405878</v>
      </c>
      <c r="CU212" s="202">
        <v>489600</v>
      </c>
      <c r="CV212" s="202">
        <v>626688</v>
      </c>
      <c r="CW212" s="202">
        <v>698170</v>
      </c>
      <c r="CX212" s="11"/>
      <c r="CY212" s="110" t="s">
        <v>1018</v>
      </c>
      <c r="CZ212" s="202">
        <v>352022</v>
      </c>
      <c r="DA212" s="202">
        <v>405878</v>
      </c>
      <c r="DB212" s="202">
        <v>489600</v>
      </c>
      <c r="DC212" s="202">
        <v>626688</v>
      </c>
      <c r="DD212" s="202">
        <v>698170</v>
      </c>
    </row>
    <row r="213" spans="1:108" ht="13.2" customHeight="1">
      <c r="D213" s="927" t="s">
        <v>1031</v>
      </c>
      <c r="BC213" t="s">
        <v>1032</v>
      </c>
      <c r="BI213" s="2" t="s">
        <v>1033</v>
      </c>
      <c r="BN213" s="110" t="s">
        <v>1034</v>
      </c>
      <c r="BS213">
        <v>6</v>
      </c>
      <c r="BT213" s="25" t="s">
        <v>1035</v>
      </c>
      <c r="CB213" s="224" t="s">
        <v>1024</v>
      </c>
      <c r="CC213" s="320">
        <v>1644</v>
      </c>
      <c r="CD213" s="321">
        <v>1762</v>
      </c>
      <c r="CE213" s="320">
        <v>2114</v>
      </c>
      <c r="CF213" s="321">
        <v>2442</v>
      </c>
      <c r="CG213" s="321">
        <v>2724</v>
      </c>
      <c r="CH213" s="322">
        <v>3006</v>
      </c>
      <c r="CI213" s="2"/>
      <c r="CJ213" s="683">
        <v>1082</v>
      </c>
      <c r="CK213" s="683">
        <v>1089</v>
      </c>
      <c r="CL213" s="683">
        <v>1429</v>
      </c>
      <c r="CM213" s="683">
        <v>1967</v>
      </c>
      <c r="CN213" s="683">
        <v>2272</v>
      </c>
      <c r="CR213" s="110" t="s">
        <v>1023</v>
      </c>
      <c r="CS213" s="200">
        <v>307732</v>
      </c>
      <c r="CT213" s="200">
        <v>354812</v>
      </c>
      <c r="CU213" s="200">
        <v>428000</v>
      </c>
      <c r="CV213" s="200">
        <v>547840</v>
      </c>
      <c r="CW213" s="200">
        <v>610328</v>
      </c>
      <c r="CX213" s="11"/>
      <c r="CY213" s="110" t="s">
        <v>1023</v>
      </c>
      <c r="CZ213" s="200">
        <v>307732</v>
      </c>
      <c r="DA213" s="200">
        <v>354812</v>
      </c>
      <c r="DB213" s="200">
        <v>428000</v>
      </c>
      <c r="DC213" s="200">
        <v>547840</v>
      </c>
      <c r="DD213" s="200">
        <v>610328</v>
      </c>
    </row>
    <row r="214" spans="1:108" ht="13.2" customHeight="1">
      <c r="D214" s="1495" t="s">
        <v>810</v>
      </c>
      <c r="E214" s="1495"/>
      <c r="F214" s="1495"/>
      <c r="G214" s="1495"/>
      <c r="H214" s="1495"/>
      <c r="I214" s="1495"/>
      <c r="J214" s="1495"/>
      <c r="K214" s="1495"/>
      <c r="L214" s="1495"/>
      <c r="M214" s="1495"/>
      <c r="N214" s="1495"/>
      <c r="O214" s="1495"/>
      <c r="P214" s="1495"/>
      <c r="Q214" s="1495"/>
      <c r="R214" s="1495"/>
      <c r="S214" s="1495"/>
      <c r="T214" s="1495"/>
      <c r="U214" s="1495"/>
      <c r="V214" s="1495"/>
      <c r="W214" s="1495"/>
      <c r="X214" s="1495"/>
      <c r="Y214" s="1495"/>
      <c r="Z214" s="1495"/>
      <c r="AU214" s="16"/>
      <c r="AV214" s="16"/>
      <c r="AW214" s="16"/>
      <c r="AX214" s="16"/>
      <c r="AY214" s="16"/>
      <c r="BC214" t="s">
        <v>1036</v>
      </c>
      <c r="BI214" s="2" t="s">
        <v>1037</v>
      </c>
      <c r="BN214" s="110" t="s">
        <v>1038</v>
      </c>
      <c r="BS214">
        <v>6</v>
      </c>
      <c r="BT214" s="25" t="s">
        <v>1039</v>
      </c>
      <c r="CB214" s="224" t="s">
        <v>1026</v>
      </c>
      <c r="CC214" s="320">
        <v>1780</v>
      </c>
      <c r="CD214" s="321">
        <v>1906</v>
      </c>
      <c r="CE214" s="320">
        <v>2286</v>
      </c>
      <c r="CF214" s="321">
        <v>2642</v>
      </c>
      <c r="CG214" s="321">
        <v>2946</v>
      </c>
      <c r="CH214" s="322">
        <v>3252</v>
      </c>
      <c r="CI214" s="2"/>
      <c r="CJ214" s="683">
        <v>987</v>
      </c>
      <c r="CK214" s="683">
        <v>1123</v>
      </c>
      <c r="CL214" s="683">
        <v>1439</v>
      </c>
      <c r="CM214" s="683">
        <v>1891</v>
      </c>
      <c r="CN214" s="683">
        <v>2416</v>
      </c>
      <c r="CR214" s="110" t="s">
        <v>1025</v>
      </c>
      <c r="CS214" s="202">
        <v>352022</v>
      </c>
      <c r="CT214" s="202">
        <v>405878</v>
      </c>
      <c r="CU214" s="202">
        <v>489600</v>
      </c>
      <c r="CV214" s="202">
        <v>626688</v>
      </c>
      <c r="CW214" s="202">
        <v>698170</v>
      </c>
      <c r="CX214" s="11"/>
      <c r="CY214" s="110" t="s">
        <v>1025</v>
      </c>
      <c r="CZ214" s="202">
        <v>352022</v>
      </c>
      <c r="DA214" s="202">
        <v>405878</v>
      </c>
      <c r="DB214" s="202">
        <v>489600</v>
      </c>
      <c r="DC214" s="202">
        <v>626688</v>
      </c>
      <c r="DD214" s="202">
        <v>698170</v>
      </c>
    </row>
    <row r="215" spans="1:108" ht="13.2" customHeight="1">
      <c r="D215" s="2" t="s">
        <v>1040</v>
      </c>
      <c r="Z215" s="1169"/>
      <c r="AB215" s="1474"/>
      <c r="AC215" s="1474"/>
      <c r="AD215" s="1474"/>
      <c r="AE215" s="1474"/>
      <c r="AF215" s="1474"/>
      <c r="AG215" s="1474"/>
      <c r="AH215" s="1474"/>
      <c r="AI215" s="1474"/>
      <c r="AJ215" s="1474"/>
      <c r="AK215" s="1474"/>
      <c r="AL215" s="1474"/>
      <c r="AM215" s="16"/>
      <c r="AN215" s="16"/>
      <c r="AO215" s="16"/>
      <c r="AP215" s="16"/>
      <c r="AQ215" s="16"/>
      <c r="AR215" s="16"/>
      <c r="AS215" s="16"/>
      <c r="AT215" s="16"/>
      <c r="AU215" s="16"/>
      <c r="AV215" s="16"/>
      <c r="AW215" s="16"/>
      <c r="AX215" s="16"/>
      <c r="AY215" s="16"/>
      <c r="BC215" t="s">
        <v>1041</v>
      </c>
      <c r="BI215" s="2" t="s">
        <v>1042</v>
      </c>
      <c r="CB215" s="224" t="s">
        <v>1030</v>
      </c>
      <c r="CC215" s="323">
        <v>2620</v>
      </c>
      <c r="CD215" s="324">
        <v>2806</v>
      </c>
      <c r="CE215" s="323">
        <v>3370</v>
      </c>
      <c r="CF215" s="324">
        <v>3892</v>
      </c>
      <c r="CG215" s="324">
        <v>4342</v>
      </c>
      <c r="CH215" s="325">
        <v>4792</v>
      </c>
      <c r="CI215" s="2"/>
      <c r="CJ215" s="683">
        <v>1871</v>
      </c>
      <c r="CK215" s="683">
        <v>2147</v>
      </c>
      <c r="CL215" s="683">
        <v>2569</v>
      </c>
      <c r="CM215" s="683">
        <v>3505</v>
      </c>
      <c r="CN215" s="683">
        <v>4080</v>
      </c>
      <c r="CR215" s="110" t="s">
        <v>1029</v>
      </c>
      <c r="CS215" s="200">
        <v>404366</v>
      </c>
      <c r="CT215" s="200">
        <v>466230</v>
      </c>
      <c r="CU215" s="200">
        <v>562400</v>
      </c>
      <c r="CV215" s="200">
        <v>719872</v>
      </c>
      <c r="CW215" s="200">
        <v>801982</v>
      </c>
      <c r="CX215" s="11"/>
      <c r="CY215" s="110" t="s">
        <v>1029</v>
      </c>
      <c r="CZ215" s="200">
        <v>404366</v>
      </c>
      <c r="DA215" s="200">
        <v>466230</v>
      </c>
      <c r="DB215" s="200">
        <v>562400</v>
      </c>
      <c r="DC215" s="200">
        <v>719872</v>
      </c>
      <c r="DD215" s="200">
        <v>801982</v>
      </c>
    </row>
    <row r="216" spans="1:108" ht="13.2" customHeight="1">
      <c r="D216" s="2" t="s">
        <v>1043</v>
      </c>
      <c r="Z216" s="1169"/>
      <c r="AB216" s="1474"/>
      <c r="AC216" s="1474"/>
      <c r="AD216" s="1474"/>
      <c r="AE216" s="1474"/>
      <c r="AF216" s="1474"/>
      <c r="AG216" s="1474"/>
      <c r="AH216" s="1474"/>
      <c r="AI216" s="1474"/>
      <c r="AJ216" s="1474"/>
      <c r="AK216" s="1474"/>
      <c r="AL216" s="1474"/>
      <c r="AM216" s="16"/>
      <c r="AN216" s="16"/>
      <c r="AO216" s="16"/>
      <c r="AP216" s="16"/>
      <c r="AQ216" s="16"/>
      <c r="AR216" s="16"/>
      <c r="AS216" s="16"/>
      <c r="AT216" s="16"/>
      <c r="AU216" s="16"/>
      <c r="AV216" s="16"/>
      <c r="AW216" s="16"/>
      <c r="AX216" s="16"/>
      <c r="AY216" s="16"/>
      <c r="BC216" t="s">
        <v>1044</v>
      </c>
      <c r="BI216" t="s">
        <v>1001</v>
      </c>
      <c r="CB216" s="224" t="s">
        <v>1035</v>
      </c>
      <c r="CC216" s="326">
        <v>2204</v>
      </c>
      <c r="CD216" s="327">
        <v>2362</v>
      </c>
      <c r="CE216" s="326">
        <v>2832</v>
      </c>
      <c r="CF216" s="327">
        <v>3272</v>
      </c>
      <c r="CG216" s="327">
        <v>3652</v>
      </c>
      <c r="CH216" s="328">
        <v>4030</v>
      </c>
      <c r="CI216" s="2"/>
      <c r="CJ216" s="683">
        <v>1602</v>
      </c>
      <c r="CK216" s="683">
        <v>1613</v>
      </c>
      <c r="CL216" s="683">
        <v>2116</v>
      </c>
      <c r="CM216" s="683">
        <v>2944</v>
      </c>
      <c r="CN216" s="683">
        <v>3299</v>
      </c>
      <c r="CR216" s="110" t="s">
        <v>1034</v>
      </c>
      <c r="CS216" s="202">
        <v>331890</v>
      </c>
      <c r="CT216" s="202">
        <v>382666</v>
      </c>
      <c r="CU216" s="202">
        <v>461600</v>
      </c>
      <c r="CV216" s="202">
        <v>590848</v>
      </c>
      <c r="CW216" s="202">
        <v>658242</v>
      </c>
      <c r="CX216" s="11"/>
      <c r="CY216" s="110" t="s">
        <v>1034</v>
      </c>
      <c r="CZ216" s="202">
        <v>331890</v>
      </c>
      <c r="DA216" s="202">
        <v>382666</v>
      </c>
      <c r="DB216" s="202">
        <v>461600</v>
      </c>
      <c r="DC216" s="202">
        <v>590848</v>
      </c>
      <c r="DD216" s="202">
        <v>658242</v>
      </c>
    </row>
    <row r="217" spans="1:108" ht="13.2" customHeight="1" thickBot="1">
      <c r="D217" s="2"/>
      <c r="Z217" s="1169"/>
      <c r="AB217" s="16"/>
      <c r="AC217" s="16"/>
      <c r="AD217" s="16"/>
      <c r="AE217" s="16"/>
      <c r="AF217" s="16"/>
      <c r="AG217" s="16"/>
      <c r="AH217" s="16"/>
      <c r="AI217" s="16"/>
      <c r="AJ217" s="16"/>
      <c r="AK217" s="16"/>
      <c r="AL217" s="16"/>
      <c r="AM217" s="16"/>
      <c r="AN217" s="16"/>
      <c r="AO217" s="16"/>
      <c r="AP217" s="16"/>
      <c r="AQ217" s="16"/>
      <c r="AR217" s="16"/>
      <c r="AS217" s="16"/>
      <c r="AT217" s="16"/>
      <c r="BC217" t="s">
        <v>1045</v>
      </c>
      <c r="BI217" t="s">
        <v>1046</v>
      </c>
      <c r="CB217" s="224" t="s">
        <v>1039</v>
      </c>
      <c r="CC217" s="329">
        <v>1680</v>
      </c>
      <c r="CD217" s="330">
        <v>1800</v>
      </c>
      <c r="CE217" s="329">
        <v>2160</v>
      </c>
      <c r="CF217" s="330">
        <v>2496</v>
      </c>
      <c r="CG217" s="330">
        <v>2784</v>
      </c>
      <c r="CH217" s="331">
        <v>3072</v>
      </c>
      <c r="CI217" s="2"/>
      <c r="CJ217" s="683">
        <v>1195</v>
      </c>
      <c r="CK217" s="683">
        <v>1197</v>
      </c>
      <c r="CL217" s="683">
        <v>1522</v>
      </c>
      <c r="CM217" s="683">
        <v>2133</v>
      </c>
      <c r="CN217" s="683">
        <v>2556</v>
      </c>
      <c r="CR217" s="110" t="s">
        <v>1038</v>
      </c>
      <c r="CS217" s="200">
        <v>331890</v>
      </c>
      <c r="CT217" s="200">
        <v>382666</v>
      </c>
      <c r="CU217" s="200">
        <v>461600</v>
      </c>
      <c r="CV217" s="200">
        <v>590848</v>
      </c>
      <c r="CW217" s="200">
        <v>658242</v>
      </c>
      <c r="CX217" s="11"/>
      <c r="CY217" s="110" t="s">
        <v>1038</v>
      </c>
      <c r="CZ217" s="200">
        <v>331890</v>
      </c>
      <c r="DA217" s="200">
        <v>382666</v>
      </c>
      <c r="DB217" s="200">
        <v>461600</v>
      </c>
      <c r="DC217" s="200">
        <v>590848</v>
      </c>
      <c r="DD217" s="200">
        <v>658242</v>
      </c>
    </row>
    <row r="218" spans="1:108" ht="13.2" customHeight="1">
      <c r="A218" s="1" t="s">
        <v>1047</v>
      </c>
      <c r="C218" s="1" t="s">
        <v>1048</v>
      </c>
      <c r="D218" s="17"/>
      <c r="AC218" s="1" t="s">
        <v>1049</v>
      </c>
      <c r="BC218" t="s">
        <v>1050</v>
      </c>
    </row>
    <row r="219" spans="1:108" ht="13.2" customHeight="1">
      <c r="A219" s="1"/>
      <c r="C219" s="1"/>
      <c r="D219" s="2" t="s">
        <v>1051</v>
      </c>
      <c r="AZ219" s="2"/>
      <c r="BA219" s="2"/>
      <c r="BC219" t="s">
        <v>1052</v>
      </c>
    </row>
    <row r="220" spans="1:108" ht="13.2" customHeight="1">
      <c r="A220" s="1"/>
      <c r="C220" s="1"/>
      <c r="D220" s="1472" t="s">
        <v>1005</v>
      </c>
      <c r="E220" s="1472"/>
      <c r="F220" s="1472"/>
      <c r="G220" s="1472"/>
      <c r="H220" s="1472"/>
      <c r="I220" s="1472"/>
      <c r="J220" s="1472"/>
      <c r="K220" s="1472"/>
      <c r="L220" s="1472"/>
      <c r="M220" s="1472"/>
      <c r="N220" s="1472"/>
      <c r="O220" s="1472"/>
      <c r="P220" s="1472"/>
      <c r="Q220" s="1472"/>
      <c r="R220" s="1472"/>
      <c r="S220" s="1472"/>
      <c r="T220" s="1472"/>
      <c r="U220" s="1472"/>
      <c r="V220" s="1472"/>
      <c r="W220" s="1472"/>
      <c r="X220" s="1472"/>
      <c r="Y220" s="1472"/>
      <c r="Z220" s="1472"/>
      <c r="AC220" s="1388" t="s">
        <v>798</v>
      </c>
      <c r="AD220" s="1388"/>
      <c r="AE220" s="1388"/>
      <c r="AF220" s="1388"/>
      <c r="AG220" s="1388"/>
      <c r="AH220" s="1388"/>
      <c r="AI220" s="1388"/>
      <c r="AJ220" s="1388"/>
      <c r="AK220" s="1388"/>
      <c r="AL220" s="1388"/>
      <c r="AM220" s="1388"/>
      <c r="AN220" s="1388"/>
      <c r="AO220" s="1388"/>
      <c r="AP220" s="1388"/>
      <c r="AQ220" s="1388"/>
      <c r="BA220" s="2"/>
      <c r="BC220" t="s">
        <v>1053</v>
      </c>
    </row>
    <row r="221" spans="1:108" ht="13.2" customHeight="1">
      <c r="A221" s="1"/>
      <c r="B221" s="11"/>
      <c r="C221" s="1"/>
      <c r="BA221" s="2"/>
    </row>
    <row r="222" spans="1:108" ht="13.2" customHeight="1">
      <c r="A222" s="1486" t="s">
        <v>1054</v>
      </c>
      <c r="B222" s="1486"/>
      <c r="C222" s="1486"/>
      <c r="D222" s="1486"/>
      <c r="E222" s="1486"/>
      <c r="F222" s="1486"/>
      <c r="G222" s="1486"/>
      <c r="H222" s="1486"/>
      <c r="I222" s="1486"/>
      <c r="J222" s="1486"/>
      <c r="K222" s="1486"/>
      <c r="L222" s="1486"/>
      <c r="M222" s="1486"/>
      <c r="N222" s="1486"/>
      <c r="O222" s="1486"/>
      <c r="P222" s="1486"/>
      <c r="Q222" s="1486"/>
      <c r="R222" s="1486"/>
      <c r="S222" s="1486"/>
      <c r="T222" s="1486"/>
      <c r="U222" s="1486"/>
      <c r="V222" s="1486"/>
      <c r="W222" s="1486"/>
      <c r="X222" s="1486"/>
      <c r="Y222" s="1486"/>
      <c r="Z222" s="1486"/>
      <c r="AA222" s="1486"/>
      <c r="AB222" s="1486"/>
      <c r="AC222" s="1486"/>
      <c r="AD222" s="1486"/>
      <c r="AE222" s="1486"/>
      <c r="AF222" s="1486"/>
      <c r="AG222" s="1486"/>
      <c r="AH222" s="1486"/>
      <c r="AI222" s="1486"/>
      <c r="AJ222" s="1486"/>
      <c r="AK222" s="1486"/>
      <c r="AL222" s="1486"/>
      <c r="AM222" s="1486"/>
      <c r="AN222" s="1486"/>
      <c r="AO222" s="1486"/>
      <c r="AP222" s="1486"/>
      <c r="AQ222" s="1486"/>
      <c r="AR222" s="1486"/>
      <c r="AS222" s="1486"/>
      <c r="AT222" s="1486"/>
      <c r="AU222" s="54"/>
      <c r="AV222" s="54"/>
      <c r="AW222" s="54"/>
      <c r="AX222" s="54"/>
      <c r="AY222" s="54"/>
      <c r="AZ222" s="2"/>
      <c r="BA222" s="2"/>
      <c r="BP222" s="2"/>
    </row>
    <row r="223" spans="1:108" ht="13.2" customHeight="1">
      <c r="A223" s="1486"/>
      <c r="B223" s="1486"/>
      <c r="C223" s="1486"/>
      <c r="D223" s="1486"/>
      <c r="E223" s="1486"/>
      <c r="F223" s="1486"/>
      <c r="G223" s="1486"/>
      <c r="H223" s="1486"/>
      <c r="I223" s="1486"/>
      <c r="J223" s="1486"/>
      <c r="K223" s="1486"/>
      <c r="L223" s="1486"/>
      <c r="M223" s="1486"/>
      <c r="N223" s="1486"/>
      <c r="O223" s="1486"/>
      <c r="P223" s="1486"/>
      <c r="Q223" s="1486"/>
      <c r="R223" s="1486"/>
      <c r="S223" s="1486"/>
      <c r="T223" s="1486"/>
      <c r="U223" s="1486"/>
      <c r="V223" s="1486"/>
      <c r="W223" s="1486"/>
      <c r="X223" s="1486"/>
      <c r="Y223" s="1486"/>
      <c r="Z223" s="1486"/>
      <c r="AA223" s="1486"/>
      <c r="AB223" s="1486"/>
      <c r="AC223" s="1486"/>
      <c r="AD223" s="1486"/>
      <c r="AE223" s="1486"/>
      <c r="AF223" s="1486"/>
      <c r="AG223" s="1486"/>
      <c r="AH223" s="1486"/>
      <c r="AI223" s="1486"/>
      <c r="AJ223" s="1486"/>
      <c r="AK223" s="1486"/>
      <c r="AL223" s="1486"/>
      <c r="AM223" s="1486"/>
      <c r="AN223" s="1486"/>
      <c r="AO223" s="1486"/>
      <c r="AP223" s="1486"/>
      <c r="AQ223" s="1486"/>
      <c r="AR223" s="1486"/>
      <c r="AS223" s="1486"/>
      <c r="AT223" s="1486"/>
      <c r="BA223" s="2"/>
      <c r="BB223" s="2"/>
      <c r="BQ223" s="2"/>
    </row>
    <row r="224" spans="1:108" ht="13.2" customHeight="1">
      <c r="AZ224" s="2"/>
      <c r="BA224" s="2"/>
      <c r="BB224" s="2"/>
      <c r="BQ224" s="2"/>
    </row>
    <row r="225" spans="1:59" ht="13.2" customHeight="1">
      <c r="A225" s="1" t="s">
        <v>871</v>
      </c>
      <c r="B225" s="1"/>
      <c r="C225" s="1" t="s">
        <v>1055</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3.2" customHeight="1">
      <c r="B226" s="2"/>
      <c r="D226" s="2" t="s">
        <v>1056</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0" t="s">
        <v>810</v>
      </c>
      <c r="AJ226" s="1370"/>
      <c r="AL226" s="2"/>
      <c r="AM226" s="2"/>
      <c r="AN226" s="2"/>
      <c r="AO226" s="2"/>
      <c r="AP226" s="2"/>
      <c r="AQ226" s="2"/>
      <c r="AR226" s="2"/>
      <c r="AS226" s="2"/>
      <c r="AT226" s="2"/>
      <c r="AU226" s="2"/>
      <c r="AV226" s="2"/>
      <c r="AW226" s="2"/>
      <c r="AX226" s="2"/>
      <c r="AY226" s="2"/>
      <c r="AZ226" s="2"/>
      <c r="BB226" s="113" t="s">
        <v>1057</v>
      </c>
      <c r="BG226" s="143">
        <f>IF(AND(AND($M$249="for profit",$M$257="for profit",$M$265="nonprofit")),2,0)</f>
        <v>0</v>
      </c>
    </row>
    <row r="227" spans="1:59" ht="13.2" customHeight="1">
      <c r="B227" s="2"/>
      <c r="D227" s="2" t="s">
        <v>1058</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0" t="s">
        <v>694</v>
      </c>
      <c r="AJ227" s="1370"/>
      <c r="AL227" s="2"/>
      <c r="AM227" s="2"/>
      <c r="AN227" s="2"/>
      <c r="AO227" s="2"/>
      <c r="AP227" s="2"/>
      <c r="AQ227" s="2"/>
      <c r="AR227" s="2"/>
      <c r="AS227" s="2"/>
      <c r="AT227" s="2"/>
      <c r="AU227" s="2"/>
      <c r="AV227" s="2"/>
      <c r="AW227" s="2"/>
      <c r="AX227" s="2"/>
      <c r="AY227" s="2"/>
      <c r="BA227" s="2"/>
      <c r="BB227" s="113" t="s">
        <v>1057</v>
      </c>
      <c r="BG227" s="143">
        <f>IF(AND(AND($M$249="for profit",$M$257="nonprofit",$M$265="for profit")),2,0)</f>
        <v>0</v>
      </c>
    </row>
    <row r="228" spans="1:59" ht="13.2" customHeight="1">
      <c r="B228" s="2"/>
      <c r="D228" s="2" t="s">
        <v>1059</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0" t="s">
        <v>694</v>
      </c>
      <c r="AJ228" s="1370"/>
      <c r="AL228" s="2"/>
      <c r="AM228" s="2"/>
      <c r="AN228" s="2"/>
      <c r="AO228" s="2"/>
      <c r="AP228" s="2"/>
      <c r="AQ228" s="2"/>
      <c r="AR228" s="2"/>
      <c r="AS228" s="2"/>
      <c r="AT228" s="2"/>
      <c r="AU228" s="2"/>
      <c r="AV228" s="2"/>
      <c r="AW228" s="2"/>
      <c r="AX228" s="2"/>
      <c r="AY228" s="2"/>
      <c r="AZ228" s="2"/>
      <c r="BA228" s="2"/>
      <c r="BB228" s="113" t="s">
        <v>1057</v>
      </c>
      <c r="BG228" s="143">
        <f>IF(AND(AND($M$249="nonprofit",$M$257="for profit",$M$265="for profit")),2,0)</f>
        <v>0</v>
      </c>
    </row>
    <row r="229" spans="1:59" ht="13.2" customHeight="1">
      <c r="B229" s="2"/>
      <c r="D229" s="2" t="s">
        <v>1060</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0" t="s">
        <v>810</v>
      </c>
      <c r="AJ229" s="1370"/>
      <c r="AL229" s="2"/>
      <c r="AM229" s="2"/>
      <c r="AN229" s="2"/>
      <c r="AO229" s="2"/>
      <c r="AP229" s="2"/>
      <c r="AQ229" s="2"/>
      <c r="AR229" s="2"/>
      <c r="AS229" s="2"/>
      <c r="AT229" s="2"/>
      <c r="AU229" s="2"/>
      <c r="AV229" s="2"/>
      <c r="AW229" s="2"/>
      <c r="AX229" s="2"/>
      <c r="AY229" s="2"/>
      <c r="BA229" s="2"/>
      <c r="BB229" s="113" t="s">
        <v>1057</v>
      </c>
      <c r="BG229" s="143">
        <f>IF(AND(AND($M$249="for profit",$M$257="nonprofit",$M$265="(select one)")),2,0)</f>
        <v>0</v>
      </c>
    </row>
    <row r="230" spans="1:59" ht="13.2"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3" t="s">
        <v>1057</v>
      </c>
      <c r="BG230" s="142">
        <f>IF(AND(AND($M$249="nonprofit",$M$257="for profit",$M$265="(select one)")),2,0)</f>
        <v>0</v>
      </c>
    </row>
    <row r="231" spans="1:59" ht="13.2" customHeight="1">
      <c r="A231" s="1" t="s">
        <v>912</v>
      </c>
      <c r="B231" s="2"/>
      <c r="C231" s="1" t="s">
        <v>1061</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3"/>
      <c r="BG231" s="113"/>
    </row>
    <row r="232" spans="1:59" ht="13.2" customHeight="1">
      <c r="D232" s="2" t="s">
        <v>1062</v>
      </c>
      <c r="E232" s="2"/>
      <c r="F232" s="2"/>
      <c r="G232" s="2"/>
      <c r="H232" s="2"/>
      <c r="I232" s="2"/>
      <c r="J232" s="2"/>
      <c r="K232" s="2"/>
      <c r="M232" s="1505" t="str">
        <f>H16</f>
        <v>334 San Antonio LP</v>
      </c>
      <c r="N232" s="1505"/>
      <c r="O232" s="1505"/>
      <c r="P232" s="1505"/>
      <c r="Q232" s="1505"/>
      <c r="R232" s="1505"/>
      <c r="S232" s="1505"/>
      <c r="T232" s="1505"/>
      <c r="U232" s="1505"/>
      <c r="V232" s="1505"/>
      <c r="W232" s="1505"/>
      <c r="X232" s="1505"/>
      <c r="Y232" s="1505"/>
      <c r="Z232" s="1505"/>
      <c r="AA232" s="1505"/>
      <c r="AB232" s="1505"/>
      <c r="AC232" s="1505"/>
      <c r="AD232" s="1505"/>
      <c r="AE232" s="1505"/>
      <c r="AF232" s="1505"/>
      <c r="AG232" s="1505"/>
      <c r="AH232" s="1505"/>
      <c r="AI232" s="1505"/>
      <c r="AJ232" s="1505"/>
      <c r="AK232" s="1505"/>
      <c r="AZ232" s="2"/>
      <c r="BA232" s="2"/>
      <c r="BB232" s="114" t="s">
        <v>1057</v>
      </c>
      <c r="BG232" s="143">
        <f>IF(AND(AND($M$249="nonprofit",$M$257="nonprofit",$M$265="for profit")),2,0)</f>
        <v>0</v>
      </c>
    </row>
    <row r="233" spans="1:59" ht="13.2" customHeight="1">
      <c r="D233" s="2" t="s">
        <v>1063</v>
      </c>
      <c r="E233" s="2"/>
      <c r="F233" s="2"/>
      <c r="G233" s="2"/>
      <c r="H233" s="2"/>
      <c r="I233" s="2"/>
      <c r="J233" s="2"/>
      <c r="K233" s="2"/>
      <c r="M233" s="1167" t="s">
        <v>1064</v>
      </c>
      <c r="N233" s="1167"/>
      <c r="O233" s="1167"/>
      <c r="P233" s="1167"/>
      <c r="Q233" s="1167"/>
      <c r="R233" s="1167"/>
      <c r="S233" s="1167"/>
      <c r="T233" s="1167"/>
      <c r="U233" s="1167"/>
      <c r="V233" s="1167"/>
      <c r="W233" s="1167"/>
      <c r="X233" s="1167"/>
      <c r="Y233" s="1167"/>
      <c r="Z233" s="1167"/>
      <c r="AA233" s="1167"/>
      <c r="AB233" s="1167"/>
      <c r="AC233" s="1167"/>
      <c r="AD233" s="1167"/>
      <c r="AE233" s="1167"/>
      <c r="BB233" s="114" t="s">
        <v>1057</v>
      </c>
      <c r="BG233" s="143">
        <f>IF(AND(AND($M$249="nonprofit",$M$257="for profit",$M$265="nonprofit")),2,0)</f>
        <v>0</v>
      </c>
    </row>
    <row r="234" spans="1:59" ht="13.2" customHeight="1">
      <c r="D234" s="2" t="s">
        <v>931</v>
      </c>
      <c r="E234" s="2"/>
      <c r="M234" s="1472" t="s">
        <v>886</v>
      </c>
      <c r="N234" s="1472"/>
      <c r="O234" s="1472"/>
      <c r="P234" s="1472"/>
      <c r="Q234" s="1472"/>
      <c r="R234" s="1472"/>
      <c r="S234" s="1472"/>
      <c r="T234" s="1472"/>
      <c r="V234" s="819" t="s">
        <v>1065</v>
      </c>
      <c r="W234" s="1427" t="s">
        <v>1066</v>
      </c>
      <c r="X234" s="1427"/>
      <c r="Y234" s="2" t="s">
        <v>936</v>
      </c>
      <c r="AC234" s="1472">
        <v>90032</v>
      </c>
      <c r="AD234" s="1472"/>
      <c r="AE234" s="1472"/>
      <c r="AU234" s="2"/>
      <c r="AV234" s="2"/>
      <c r="AW234" s="2"/>
      <c r="AX234" s="2"/>
      <c r="AY234" s="2"/>
      <c r="AZ234" s="2"/>
      <c r="BB234" s="114" t="s">
        <v>1057</v>
      </c>
      <c r="BG234" s="142">
        <f>IF(AND(AND($M$249="for profit",$M$257="nonprofit",$M$265="nonprofit")),2,0)</f>
        <v>0</v>
      </c>
    </row>
    <row r="235" spans="1:59" ht="13.2" customHeight="1">
      <c r="D235" s="2" t="s">
        <v>1067</v>
      </c>
      <c r="E235" s="2"/>
      <c r="F235" s="2"/>
      <c r="G235" s="2"/>
      <c r="H235" s="2"/>
      <c r="I235" s="2"/>
      <c r="J235" s="2"/>
      <c r="K235" s="1043"/>
      <c r="M235" s="1472" t="s">
        <v>790</v>
      </c>
      <c r="N235" s="1472"/>
      <c r="O235" s="1472"/>
      <c r="P235" s="1472"/>
      <c r="Q235" s="1472"/>
      <c r="R235" s="1472"/>
      <c r="S235" s="1472"/>
      <c r="T235" s="1472"/>
      <c r="U235" s="1472"/>
      <c r="V235" s="1472"/>
      <c r="W235" s="1472"/>
      <c r="X235" s="1472"/>
      <c r="Y235" s="1472"/>
      <c r="Z235" s="1472"/>
      <c r="AA235" s="1472"/>
      <c r="AB235" s="1472"/>
      <c r="AC235" s="1472"/>
      <c r="AD235" s="1472"/>
      <c r="AE235" s="1472"/>
      <c r="AI235" s="2"/>
      <c r="AJ235" s="2"/>
      <c r="AK235" s="2"/>
      <c r="AL235" s="2"/>
      <c r="AM235" s="2"/>
      <c r="AN235" s="2"/>
      <c r="AO235" s="2"/>
      <c r="AP235" s="2"/>
      <c r="AQ235" s="2"/>
      <c r="AR235" s="2"/>
      <c r="AS235" s="2"/>
      <c r="AT235" s="2"/>
      <c r="BB235" s="114"/>
      <c r="BG235" s="113"/>
    </row>
    <row r="236" spans="1:59" ht="13.2" customHeight="1">
      <c r="D236" s="2" t="s">
        <v>1068</v>
      </c>
      <c r="E236" s="2"/>
      <c r="F236" s="2"/>
      <c r="M236" s="1443" t="s">
        <v>1069</v>
      </c>
      <c r="N236" s="1443"/>
      <c r="O236" s="1443"/>
      <c r="P236" s="1443"/>
      <c r="Q236" s="1443"/>
      <c r="R236" s="1443"/>
      <c r="S236" s="2" t="s">
        <v>1070</v>
      </c>
      <c r="T236" s="2"/>
      <c r="U236" s="1427"/>
      <c r="V236" s="1427"/>
      <c r="W236" s="1427"/>
      <c r="X236" s="2" t="s">
        <v>1071</v>
      </c>
      <c r="Z236" s="1443"/>
      <c r="AA236" s="1443"/>
      <c r="AB236" s="1443"/>
      <c r="AC236" s="1443"/>
      <c r="AD236" s="1443"/>
      <c r="AE236" s="1443"/>
      <c r="AU236" s="2"/>
      <c r="AV236" s="2"/>
      <c r="AW236" s="2"/>
      <c r="AX236" s="2"/>
      <c r="AY236" s="2"/>
      <c r="AZ236" s="2"/>
      <c r="BB236" s="113" t="s">
        <v>1072</v>
      </c>
      <c r="BG236" s="143">
        <f>IF(AND(AND($M$249="nonprofit",$M$257="nonprofit",$M$265="(select one)")),1,0)</f>
        <v>0</v>
      </c>
    </row>
    <row r="237" spans="1:59" ht="13.2" customHeight="1">
      <c r="D237" s="2" t="s">
        <v>1073</v>
      </c>
      <c r="E237" s="2"/>
      <c r="F237" s="2"/>
      <c r="M237" s="1490" t="s">
        <v>1074</v>
      </c>
      <c r="N237" s="1490"/>
      <c r="O237" s="1490"/>
      <c r="P237" s="1490"/>
      <c r="Q237" s="1490"/>
      <c r="R237" s="1490"/>
      <c r="S237" s="1490"/>
      <c r="T237" s="1490"/>
      <c r="U237" s="1490"/>
      <c r="V237" s="1490"/>
      <c r="W237" s="1490"/>
      <c r="X237" s="1490"/>
      <c r="Y237" s="1490"/>
      <c r="Z237" s="1490"/>
      <c r="AA237" s="1490"/>
      <c r="AB237" s="1490"/>
      <c r="AC237" s="1490"/>
      <c r="AD237" s="1490"/>
      <c r="AE237" s="1490"/>
      <c r="AF237" s="2"/>
      <c r="AG237" s="2"/>
      <c r="AH237" s="2"/>
      <c r="AI237" s="2"/>
      <c r="AJ237" s="2"/>
      <c r="AK237" s="2"/>
      <c r="AL237" s="2"/>
      <c r="AM237" s="2"/>
      <c r="AN237" s="2"/>
      <c r="AO237" s="2"/>
      <c r="AP237" s="2"/>
      <c r="AQ237" s="2"/>
      <c r="AR237" s="2"/>
      <c r="AS237" s="2"/>
      <c r="AT237" s="2"/>
      <c r="AU237" s="2"/>
      <c r="AV237" s="2"/>
      <c r="AW237" s="2"/>
      <c r="AX237" s="2"/>
      <c r="AY237" s="2"/>
      <c r="BB237" s="113" t="s">
        <v>1072</v>
      </c>
      <c r="BG237" s="143">
        <f>IF(AND(AND($M$249="nonprofit",$M$257="nonprofit",$M$265="nonprofit")),1,0)</f>
        <v>0</v>
      </c>
    </row>
    <row r="238" spans="1:59" ht="13.2" customHeight="1">
      <c r="A238" s="1" t="s">
        <v>990</v>
      </c>
      <c r="C238" s="1" t="s">
        <v>1075</v>
      </c>
      <c r="M238" s="1329" t="s">
        <v>1045</v>
      </c>
      <c r="N238" s="1329"/>
      <c r="O238" s="1329"/>
      <c r="P238" s="1329"/>
      <c r="Q238" s="1329"/>
      <c r="R238" s="1329"/>
      <c r="S238" s="1329"/>
      <c r="T238" s="1329"/>
      <c r="U238" s="113" t="s">
        <v>1076</v>
      </c>
      <c r="V238" s="113"/>
      <c r="W238" s="113"/>
      <c r="X238" s="113"/>
      <c r="Y238" s="113"/>
      <c r="Z238" s="113"/>
      <c r="AA238" s="1509"/>
      <c r="AB238" s="1509"/>
      <c r="AC238" s="1509"/>
      <c r="AD238" s="1509"/>
      <c r="AE238" s="1509"/>
      <c r="AF238" s="1509"/>
      <c r="AG238" s="1509"/>
      <c r="AH238" s="1509"/>
      <c r="AI238" s="1509"/>
      <c r="AJ238" s="1509"/>
      <c r="AK238" s="1509"/>
      <c r="AL238" s="2"/>
      <c r="AM238" s="2"/>
      <c r="AN238" s="2"/>
      <c r="AO238" s="2"/>
      <c r="AP238" s="2"/>
      <c r="AQ238" s="2"/>
      <c r="AR238" s="2"/>
      <c r="AS238" s="2"/>
      <c r="AT238" s="2"/>
      <c r="AU238" s="2"/>
      <c r="AV238" s="2"/>
      <c r="AW238" s="2"/>
      <c r="AX238" s="2"/>
      <c r="AY238" s="2"/>
      <c r="BB238" s="113" t="s">
        <v>1072</v>
      </c>
      <c r="BG238" s="143">
        <f>IF(AND(AND($M$249="nonprofit",$M$257="(select one)",$M$265="(select one)")),1,0)</f>
        <v>0</v>
      </c>
    </row>
    <row r="239" spans="1:59" ht="13.2" customHeight="1">
      <c r="D239" t="s">
        <v>1077</v>
      </c>
      <c r="M239" s="1362"/>
      <c r="N239" s="1362"/>
      <c r="O239" s="1362"/>
      <c r="P239" s="1362"/>
      <c r="Q239" s="1362"/>
      <c r="R239" s="1362"/>
      <c r="S239" s="1362"/>
      <c r="T239" s="1362"/>
      <c r="U239" s="1362"/>
      <c r="V239" s="1362"/>
      <c r="W239" s="1362"/>
      <c r="X239" s="1362"/>
      <c r="Y239" s="1362"/>
      <c r="Z239" s="1362"/>
      <c r="AA239" s="1362"/>
      <c r="AB239" s="1362"/>
      <c r="AC239" s="1362"/>
      <c r="AD239" s="1362"/>
      <c r="AE239" s="1362"/>
      <c r="AF239" s="2"/>
      <c r="AG239" s="2"/>
      <c r="AH239" s="2"/>
      <c r="AI239" s="2"/>
      <c r="AJ239" s="2"/>
      <c r="AK239" s="2"/>
      <c r="AL239" s="2"/>
      <c r="AM239" s="2"/>
      <c r="AN239" s="2"/>
      <c r="AO239" s="2"/>
      <c r="AP239" s="2"/>
      <c r="AQ239" s="2"/>
      <c r="AR239" s="2"/>
      <c r="AS239" s="2"/>
      <c r="AT239" s="2"/>
      <c r="BB239" s="113" t="s">
        <v>1078</v>
      </c>
      <c r="BG239" s="143">
        <f>IF(AND(AND($M$249="for profit",$M$257="for profit",$M$265="(select one)")),3,0)</f>
        <v>0</v>
      </c>
    </row>
    <row r="240" spans="1:59" ht="13.2" customHeight="1">
      <c r="D240" s="2"/>
      <c r="BB240" s="113" t="s">
        <v>1078</v>
      </c>
      <c r="BG240" s="143">
        <f>IF(AND(AND($M$249="for profit",$M$257="for profit",$M$265="for profit")),3,0)</f>
        <v>0</v>
      </c>
    </row>
    <row r="241" spans="1:67" ht="13.2" customHeight="1">
      <c r="A241" s="1" t="s">
        <v>1008</v>
      </c>
      <c r="C241" s="1" t="s">
        <v>1079</v>
      </c>
      <c r="D241" s="2"/>
      <c r="L241" s="6"/>
      <c r="M241" s="6"/>
      <c r="N241" s="6"/>
      <c r="AU241" s="2"/>
      <c r="AV241" s="2"/>
      <c r="AW241" s="2"/>
      <c r="AX241" s="2"/>
      <c r="AY241" s="2"/>
      <c r="BB241" s="113" t="s">
        <v>1078</v>
      </c>
      <c r="BG241" s="143">
        <f>IF(AND(AND($M$249="for profit",$M$257="(select one)",$M$265="(select one)")),3,0)</f>
        <v>0</v>
      </c>
    </row>
    <row r="242" spans="1:67" ht="13.2"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3.2" customHeight="1">
      <c r="A243" s="1043"/>
      <c r="B243" s="2"/>
      <c r="C243" s="37" t="s">
        <v>1080</v>
      </c>
      <c r="D243" s="2" t="s">
        <v>1081</v>
      </c>
      <c r="E243" s="2"/>
      <c r="F243" s="2"/>
      <c r="G243" s="2"/>
      <c r="H243" s="2"/>
      <c r="I243" s="2"/>
      <c r="J243" s="2"/>
      <c r="K243" s="2"/>
      <c r="L243" s="2"/>
      <c r="M243" s="1492" t="s">
        <v>1082</v>
      </c>
      <c r="N243" s="1492"/>
      <c r="O243" s="1492"/>
      <c r="P243" s="1492"/>
      <c r="Q243" s="1492"/>
      <c r="R243" s="1492"/>
      <c r="S243" s="1492"/>
      <c r="T243" s="1492"/>
      <c r="U243" s="1492"/>
      <c r="V243" s="1492"/>
      <c r="W243" s="1492"/>
      <c r="X243" s="1492"/>
      <c r="Y243" s="1492"/>
      <c r="Z243" s="1492"/>
      <c r="AA243" s="1492"/>
      <c r="AB243" s="1492"/>
      <c r="AC243" s="1492"/>
      <c r="AD243" s="1492"/>
      <c r="AE243" s="1492"/>
      <c r="AF243" s="1492" t="s">
        <v>1083</v>
      </c>
      <c r="AG243" s="1492"/>
      <c r="AH243" s="1492"/>
      <c r="AI243" s="1492"/>
      <c r="AJ243" s="1492"/>
      <c r="AK243" s="1492"/>
      <c r="AU243" s="2"/>
      <c r="AV243" s="2"/>
      <c r="AW243" s="2"/>
      <c r="AX243" s="2"/>
      <c r="AY243" s="2"/>
      <c r="BG243">
        <f>SUM(BG226:BG241)</f>
        <v>0</v>
      </c>
    </row>
    <row r="244" spans="1:67" ht="13.2" customHeight="1">
      <c r="A244" s="1043"/>
      <c r="B244" s="2"/>
      <c r="C244" s="2"/>
      <c r="D244" s="2" t="s">
        <v>1063</v>
      </c>
      <c r="E244" s="2"/>
      <c r="F244" s="2"/>
      <c r="G244" s="2"/>
      <c r="H244" s="2"/>
      <c r="I244" s="2"/>
      <c r="J244" s="2"/>
      <c r="K244" s="2"/>
      <c r="L244" s="2"/>
      <c r="M244" s="1472" t="str">
        <f>M233</f>
        <v>4915 Gambier St</v>
      </c>
      <c r="N244" s="1472"/>
      <c r="O244" s="1472"/>
      <c r="P244" s="1472"/>
      <c r="Q244" s="1472"/>
      <c r="R244" s="1472"/>
      <c r="S244" s="1472"/>
      <c r="T244" s="1472"/>
      <c r="U244" s="1472"/>
      <c r="V244" s="1472"/>
      <c r="W244" s="1472"/>
      <c r="X244" s="1472"/>
      <c r="Y244" s="1472"/>
      <c r="Z244" s="1472"/>
      <c r="AA244" s="1472"/>
      <c r="AB244" s="1472"/>
      <c r="AC244" s="1472"/>
      <c r="AD244" s="1472"/>
      <c r="AE244" s="1472"/>
      <c r="AF244" s="2" t="s">
        <v>1084</v>
      </c>
      <c r="AL244" s="2"/>
      <c r="AM244" s="2"/>
      <c r="AN244" s="2"/>
      <c r="AO244" s="2"/>
      <c r="AP244" s="2"/>
      <c r="AQ244" s="2"/>
      <c r="AR244" s="2"/>
      <c r="AS244" s="2"/>
      <c r="AT244" s="2"/>
      <c r="BB244" t="s">
        <v>547</v>
      </c>
      <c r="BG244">
        <v>1</v>
      </c>
      <c r="BH244" t="s">
        <v>1085</v>
      </c>
    </row>
    <row r="245" spans="1:67" ht="13.2" customHeight="1">
      <c r="A245" s="1043"/>
      <c r="B245" s="2"/>
      <c r="C245" s="2"/>
      <c r="D245" s="2" t="s">
        <v>931</v>
      </c>
      <c r="E245" s="2"/>
      <c r="M245" s="1472" t="str">
        <f>M234</f>
        <v>Los Angeles</v>
      </c>
      <c r="N245" s="1472"/>
      <c r="O245" s="1472"/>
      <c r="P245" s="1472"/>
      <c r="Q245" s="1472"/>
      <c r="R245" s="1472"/>
      <c r="S245" s="1472"/>
      <c r="T245" s="1472"/>
      <c r="V245" s="819" t="s">
        <v>1065</v>
      </c>
      <c r="W245" s="1427" t="s">
        <v>1066</v>
      </c>
      <c r="X245" s="1427"/>
      <c r="Y245" s="2" t="s">
        <v>936</v>
      </c>
      <c r="AC245" s="1472">
        <v>90032</v>
      </c>
      <c r="AD245" s="1472"/>
      <c r="AE245" s="1472"/>
      <c r="AF245" s="2" t="s">
        <v>1086</v>
      </c>
      <c r="AU245" s="2"/>
      <c r="AV245" s="2"/>
      <c r="AW245" s="2"/>
      <c r="AX245" s="2"/>
      <c r="AY245" s="2"/>
      <c r="BB245" s="2" t="s">
        <v>1087</v>
      </c>
      <c r="BG245">
        <v>2</v>
      </c>
      <c r="BH245" t="s">
        <v>1044</v>
      </c>
      <c r="BO245" s="1044" t="str">
        <f>VLOOKUP(BG243,BG244:BH247,2,FALSE)</f>
        <v/>
      </c>
    </row>
    <row r="246" spans="1:67" ht="13.2" customHeight="1">
      <c r="A246" s="1043"/>
      <c r="B246" s="2"/>
      <c r="C246" s="2"/>
      <c r="D246" s="2" t="s">
        <v>1067</v>
      </c>
      <c r="E246" s="2"/>
      <c r="F246" s="2"/>
      <c r="G246" s="2"/>
      <c r="H246" s="2"/>
      <c r="I246" s="2"/>
      <c r="J246" s="2"/>
      <c r="K246" s="2"/>
      <c r="L246" s="1043"/>
      <c r="M246" s="1472" t="str">
        <f>M235</f>
        <v>Michael Miller</v>
      </c>
      <c r="N246" s="1472"/>
      <c r="O246" s="1472"/>
      <c r="P246" s="1472"/>
      <c r="Q246" s="1472"/>
      <c r="R246" s="1472"/>
      <c r="S246" s="1472"/>
      <c r="T246" s="1472"/>
      <c r="U246" s="1472"/>
      <c r="V246" s="1472"/>
      <c r="W246" s="1472"/>
      <c r="X246" s="1472"/>
      <c r="Y246" s="1472"/>
      <c r="Z246" s="1472"/>
      <c r="AA246" s="1472"/>
      <c r="AB246" s="1472"/>
      <c r="AC246" s="1472"/>
      <c r="AD246" s="1472"/>
      <c r="AE246" s="1472"/>
      <c r="AH246" s="1489">
        <v>5.1000000000000004E-3</v>
      </c>
      <c r="AI246" s="1489"/>
      <c r="AJ246" s="1489"/>
      <c r="AK246" s="1489"/>
      <c r="AL246" s="2"/>
      <c r="AM246" s="2"/>
      <c r="AN246" s="2"/>
      <c r="AO246" s="2"/>
      <c r="AP246" s="2"/>
      <c r="AQ246" s="2"/>
      <c r="AR246" s="2"/>
      <c r="AS246" s="2"/>
      <c r="AT246" s="2"/>
      <c r="BB246" s="2" t="s">
        <v>1088</v>
      </c>
      <c r="BG246">
        <v>3</v>
      </c>
      <c r="BH246" t="s">
        <v>1089</v>
      </c>
      <c r="BN246" s="2"/>
    </row>
    <row r="247" spans="1:67" ht="13.2" customHeight="1">
      <c r="A247" s="1043"/>
      <c r="B247" s="2"/>
      <c r="C247" s="2"/>
      <c r="D247" s="2" t="s">
        <v>1068</v>
      </c>
      <c r="E247" s="2"/>
      <c r="F247" s="2"/>
      <c r="M247" s="1443" t="str">
        <f>M236</f>
        <v>650-464-1319</v>
      </c>
      <c r="N247" s="1443"/>
      <c r="O247" s="1443"/>
      <c r="P247" s="1443"/>
      <c r="Q247" s="1443"/>
      <c r="R247" s="1443"/>
      <c r="S247" s="2" t="s">
        <v>1070</v>
      </c>
      <c r="T247" s="2"/>
      <c r="U247" s="1427"/>
      <c r="V247" s="1427"/>
      <c r="W247" s="1427"/>
      <c r="X247" s="2" t="s">
        <v>1071</v>
      </c>
      <c r="Z247" s="1443"/>
      <c r="AA247" s="1443"/>
      <c r="AB247" s="1443"/>
      <c r="AC247" s="1443"/>
      <c r="AD247" s="1443"/>
      <c r="AE247" s="1443"/>
      <c r="AU247" s="2"/>
      <c r="AV247" s="2"/>
      <c r="AW247" s="2"/>
      <c r="AX247" s="2"/>
      <c r="AY247" s="2"/>
      <c r="BG247">
        <v>0</v>
      </c>
      <c r="BH247" s="2" t="str">
        <f>""</f>
        <v/>
      </c>
      <c r="BN247" s="2"/>
    </row>
    <row r="248" spans="1:67" ht="13.2" customHeight="1">
      <c r="A248" s="1043"/>
      <c r="B248" s="2"/>
      <c r="C248" s="2"/>
      <c r="D248" s="2" t="s">
        <v>1073</v>
      </c>
      <c r="E248" s="2"/>
      <c r="F248" s="2"/>
      <c r="M248" s="1490" t="str">
        <f>M237</f>
        <v>mike@boldcommunities.org</v>
      </c>
      <c r="N248" s="1490"/>
      <c r="O248" s="1490"/>
      <c r="P248" s="1490"/>
      <c r="Q248" s="1490"/>
      <c r="R248" s="1490"/>
      <c r="S248" s="1490"/>
      <c r="T248" s="1490"/>
      <c r="U248" s="1490"/>
      <c r="V248" s="1490"/>
      <c r="W248" s="1490"/>
      <c r="X248" s="1490"/>
      <c r="Y248" s="1490"/>
      <c r="Z248" s="1490"/>
      <c r="AA248" s="1490"/>
      <c r="AB248" s="1490"/>
      <c r="AC248" s="1490"/>
      <c r="AD248" s="1490"/>
      <c r="AE248" s="1490"/>
      <c r="AG248" s="2"/>
      <c r="AH248" s="2"/>
      <c r="AI248" s="2"/>
      <c r="AJ248" s="2"/>
      <c r="AK248" s="2"/>
      <c r="AL248" s="2"/>
      <c r="AM248" s="2"/>
      <c r="AN248" s="2"/>
      <c r="AO248" s="2"/>
      <c r="AP248" s="2"/>
      <c r="AQ248" s="2"/>
      <c r="AR248" s="2"/>
      <c r="AS248" s="2"/>
      <c r="AT248" s="2"/>
      <c r="BN248" s="2"/>
    </row>
    <row r="249" spans="1:67" ht="13.2" customHeight="1">
      <c r="A249" s="1178"/>
      <c r="B249" s="2"/>
      <c r="C249" s="37"/>
      <c r="D249" s="2" t="s">
        <v>1090</v>
      </c>
      <c r="E249" s="2"/>
      <c r="F249" s="2"/>
      <c r="G249" s="2"/>
      <c r="H249" s="2"/>
      <c r="I249" s="2"/>
      <c r="J249" s="2"/>
      <c r="K249" s="2"/>
      <c r="L249" s="2"/>
      <c r="M249" s="1329" t="s">
        <v>1085</v>
      </c>
      <c r="N249" s="1329"/>
      <c r="O249" s="1329"/>
      <c r="P249" s="1329"/>
      <c r="Q249" s="1329"/>
      <c r="R249" s="1329"/>
      <c r="S249" s="1329"/>
      <c r="T249" s="1329"/>
      <c r="U249" s="113" t="s">
        <v>1076</v>
      </c>
      <c r="V249" s="113"/>
      <c r="W249" s="113"/>
      <c r="X249" s="113"/>
      <c r="Y249" s="113"/>
      <c r="Z249" s="113"/>
      <c r="AA249" s="1509"/>
      <c r="AB249" s="1509"/>
      <c r="AC249" s="1509"/>
      <c r="AD249" s="1509"/>
      <c r="AE249" s="1509"/>
      <c r="AF249" s="1509"/>
      <c r="AG249" s="1509"/>
      <c r="AH249" s="1509"/>
      <c r="AI249" s="1509"/>
      <c r="AJ249" s="1509"/>
      <c r="AK249" s="1509"/>
      <c r="BN249" s="2"/>
    </row>
    <row r="250" spans="1:67" ht="13.2" customHeight="1">
      <c r="A250" s="1043"/>
      <c r="B250" s="2"/>
      <c r="C250" s="2"/>
      <c r="D250" s="2"/>
      <c r="E250" s="2"/>
      <c r="F250" s="2"/>
      <c r="G250" s="2"/>
      <c r="H250" s="2"/>
      <c r="I250" s="2"/>
      <c r="J250" s="2"/>
      <c r="K250" s="2"/>
      <c r="L250" s="2"/>
      <c r="AG250" s="2"/>
      <c r="AH250" s="2"/>
      <c r="AI250" s="2"/>
      <c r="AJ250" s="2"/>
      <c r="BN250" s="2"/>
    </row>
    <row r="251" spans="1:67" ht="13.2" customHeight="1">
      <c r="A251" s="1"/>
      <c r="B251" s="2"/>
      <c r="C251" s="37" t="s">
        <v>1091</v>
      </c>
      <c r="D251" s="2" t="s">
        <v>1092</v>
      </c>
      <c r="E251" s="2"/>
      <c r="F251" s="2"/>
      <c r="G251" s="2"/>
      <c r="H251" s="2"/>
      <c r="I251" s="2"/>
      <c r="J251" s="2"/>
      <c r="K251" s="2"/>
      <c r="L251" s="2"/>
      <c r="M251" s="1492" t="s">
        <v>1093</v>
      </c>
      <c r="N251" s="1492"/>
      <c r="O251" s="1492"/>
      <c r="P251" s="1492"/>
      <c r="Q251" s="1492"/>
      <c r="R251" s="1492"/>
      <c r="S251" s="1492"/>
      <c r="T251" s="1492"/>
      <c r="U251" s="1492"/>
      <c r="V251" s="1492"/>
      <c r="W251" s="1492"/>
      <c r="X251" s="1492"/>
      <c r="Y251" s="1492"/>
      <c r="Z251" s="1492"/>
      <c r="AA251" s="1492"/>
      <c r="AB251" s="1492"/>
      <c r="AC251" s="1492"/>
      <c r="AD251" s="1492"/>
      <c r="AE251" s="1492"/>
      <c r="AF251" s="1492" t="s">
        <v>1094</v>
      </c>
      <c r="AG251" s="1492"/>
      <c r="AH251" s="1492"/>
      <c r="AI251" s="1492"/>
      <c r="AJ251" s="1492"/>
      <c r="AK251" s="1492"/>
      <c r="AU251" s="2"/>
      <c r="AV251" s="2"/>
      <c r="AW251" s="2"/>
      <c r="AX251" s="2"/>
      <c r="AY251" s="2"/>
      <c r="BN251" s="2"/>
    </row>
    <row r="252" spans="1:67" ht="13.2" customHeight="1">
      <c r="A252" s="1043"/>
      <c r="B252" s="2"/>
      <c r="C252" s="2"/>
      <c r="D252" s="2" t="s">
        <v>1063</v>
      </c>
      <c r="E252" s="2"/>
      <c r="F252" s="2"/>
      <c r="G252" s="2"/>
      <c r="H252" s="2"/>
      <c r="I252" s="2"/>
      <c r="J252" s="2"/>
      <c r="K252" s="2"/>
      <c r="L252" s="2"/>
      <c r="M252" s="1472" t="s">
        <v>1095</v>
      </c>
      <c r="N252" s="1472"/>
      <c r="O252" s="1472"/>
      <c r="P252" s="1472"/>
      <c r="Q252" s="1472"/>
      <c r="R252" s="1472"/>
      <c r="S252" s="1472"/>
      <c r="T252" s="1472"/>
      <c r="U252" s="1472"/>
      <c r="V252" s="1472"/>
      <c r="W252" s="1472"/>
      <c r="X252" s="1472"/>
      <c r="Y252" s="1472"/>
      <c r="Z252" s="1472"/>
      <c r="AA252" s="1472"/>
      <c r="AB252" s="1472"/>
      <c r="AC252" s="1472"/>
      <c r="AD252" s="1472"/>
      <c r="AE252" s="1472"/>
      <c r="AF252" s="2" t="s">
        <v>1084</v>
      </c>
      <c r="AL252" s="2"/>
      <c r="AM252" s="2"/>
      <c r="AN252" s="2"/>
      <c r="AO252" s="2"/>
      <c r="AP252" s="2"/>
      <c r="AQ252" s="2"/>
      <c r="AR252" s="2"/>
      <c r="AS252" s="2"/>
      <c r="AT252" s="2"/>
      <c r="BN252" s="2"/>
    </row>
    <row r="253" spans="1:67" ht="13.2" customHeight="1">
      <c r="A253" s="1043"/>
      <c r="B253" s="2"/>
      <c r="C253" s="2"/>
      <c r="D253" s="2" t="s">
        <v>931</v>
      </c>
      <c r="E253" s="2"/>
      <c r="M253" s="1472" t="s">
        <v>1096</v>
      </c>
      <c r="N253" s="1472"/>
      <c r="O253" s="1472"/>
      <c r="P253" s="1472"/>
      <c r="Q253" s="1472"/>
      <c r="R253" s="1472"/>
      <c r="S253" s="1472"/>
      <c r="T253" s="1472"/>
      <c r="V253" s="819" t="s">
        <v>1065</v>
      </c>
      <c r="W253" s="1427" t="str">
        <f>V276</f>
        <v>NY</v>
      </c>
      <c r="X253" s="1427"/>
      <c r="Y253" s="2" t="s">
        <v>936</v>
      </c>
      <c r="AC253" s="1472">
        <f>AB276</f>
        <v>10168</v>
      </c>
      <c r="AD253" s="1472"/>
      <c r="AE253" s="1472"/>
      <c r="AF253" s="2" t="s">
        <v>1086</v>
      </c>
      <c r="AU253" s="2"/>
      <c r="AV253" s="2"/>
      <c r="AW253" s="2"/>
      <c r="AX253" s="2"/>
      <c r="AY253" s="2"/>
      <c r="BN253" s="2"/>
    </row>
    <row r="254" spans="1:67" ht="13.2" customHeight="1">
      <c r="A254" s="1043"/>
      <c r="B254" s="2"/>
      <c r="C254" s="2"/>
      <c r="D254" s="2" t="s">
        <v>1067</v>
      </c>
      <c r="E254" s="2"/>
      <c r="F254" s="2"/>
      <c r="G254" s="2"/>
      <c r="H254" s="2"/>
      <c r="I254" s="2"/>
      <c r="J254" s="2"/>
      <c r="K254" s="2"/>
      <c r="L254" s="1043"/>
      <c r="M254" s="1472" t="s">
        <v>1097</v>
      </c>
      <c r="N254" s="1472"/>
      <c r="O254" s="1472"/>
      <c r="P254" s="1472"/>
      <c r="Q254" s="1472"/>
      <c r="R254" s="1472"/>
      <c r="S254" s="1472"/>
      <c r="T254" s="1472"/>
      <c r="U254" s="1472"/>
      <c r="V254" s="1472"/>
      <c r="W254" s="1472"/>
      <c r="X254" s="1472"/>
      <c r="Y254" s="1472"/>
      <c r="Z254" s="1472"/>
      <c r="AA254" s="1472"/>
      <c r="AB254" s="1472"/>
      <c r="AC254" s="1472"/>
      <c r="AD254" s="1472"/>
      <c r="AE254" s="1472"/>
      <c r="AH254" s="1489">
        <v>4.8999999999999998E-3</v>
      </c>
      <c r="AI254" s="1489"/>
      <c r="AJ254" s="1489"/>
      <c r="AK254" s="1489"/>
      <c r="AL254" s="2"/>
      <c r="AM254" s="2"/>
      <c r="AN254" s="2"/>
      <c r="AO254" s="2"/>
      <c r="AP254" s="2"/>
      <c r="AQ254" s="2"/>
      <c r="AR254" s="2"/>
      <c r="AS254" s="2"/>
      <c r="AT254" s="2"/>
    </row>
    <row r="255" spans="1:67" ht="13.2" customHeight="1">
      <c r="A255" s="1043"/>
      <c r="B255" s="2"/>
      <c r="C255" s="2"/>
      <c r="D255" s="2" t="s">
        <v>1068</v>
      </c>
      <c r="E255" s="2"/>
      <c r="F255" s="2"/>
      <c r="M255" s="1443" t="s">
        <v>1098</v>
      </c>
      <c r="N255" s="1443"/>
      <c r="O255" s="1443"/>
      <c r="P255" s="1443"/>
      <c r="Q255" s="1443"/>
      <c r="R255" s="1443"/>
      <c r="S255" s="2" t="s">
        <v>1070</v>
      </c>
      <c r="T255" s="2"/>
      <c r="U255" s="1427"/>
      <c r="V255" s="1427"/>
      <c r="W255" s="1427"/>
      <c r="X255" s="2" t="s">
        <v>1071</v>
      </c>
      <c r="Z255" s="1443"/>
      <c r="AA255" s="1443"/>
      <c r="AB255" s="1443"/>
      <c r="AC255" s="1443"/>
      <c r="AD255" s="1443"/>
      <c r="AE255" s="1443"/>
      <c r="AU255" s="2"/>
      <c r="AV255" s="2"/>
      <c r="AW255" s="2"/>
      <c r="AX255" s="2"/>
      <c r="AY255" s="2"/>
      <c r="BN255" s="2"/>
    </row>
    <row r="256" spans="1:67" ht="13.2" customHeight="1">
      <c r="A256" s="1043"/>
      <c r="B256" s="2"/>
      <c r="C256" s="2"/>
      <c r="D256" s="2" t="s">
        <v>1073</v>
      </c>
      <c r="E256" s="2"/>
      <c r="F256" s="2"/>
      <c r="M256" s="1490" t="s">
        <v>1099</v>
      </c>
      <c r="N256" s="1490"/>
      <c r="O256" s="1490"/>
      <c r="P256" s="1490"/>
      <c r="Q256" s="1490"/>
      <c r="R256" s="1490"/>
      <c r="S256" s="1490"/>
      <c r="T256" s="1490"/>
      <c r="U256" s="1490"/>
      <c r="V256" s="1490"/>
      <c r="W256" s="1490"/>
      <c r="X256" s="1490"/>
      <c r="Y256" s="1490"/>
      <c r="Z256" s="1490"/>
      <c r="AA256" s="1490"/>
      <c r="AB256" s="1490"/>
      <c r="AC256" s="1490"/>
      <c r="AD256" s="1490"/>
      <c r="AE256" s="1490"/>
      <c r="AG256" s="2"/>
      <c r="AH256" s="2"/>
      <c r="AI256" s="2"/>
      <c r="AJ256" s="2"/>
      <c r="AK256" s="2"/>
      <c r="AL256" s="2"/>
      <c r="AM256" s="2"/>
      <c r="AN256" s="2"/>
      <c r="AO256" s="2"/>
      <c r="AP256" s="2"/>
      <c r="AQ256" s="2"/>
      <c r="AR256" s="2"/>
      <c r="AS256" s="2"/>
      <c r="AT256" s="2"/>
      <c r="AU256" s="2"/>
      <c r="AV256" s="2"/>
      <c r="AW256" s="2"/>
      <c r="AX256" s="2"/>
      <c r="AY256" s="2"/>
      <c r="BN256" s="2"/>
    </row>
    <row r="257" spans="1:51" ht="13.2" customHeight="1">
      <c r="A257" s="1178"/>
      <c r="B257" s="2"/>
      <c r="C257" s="37"/>
      <c r="D257" s="2" t="s">
        <v>1090</v>
      </c>
      <c r="E257" s="2"/>
      <c r="F257" s="2"/>
      <c r="G257" s="2"/>
      <c r="H257" s="2"/>
      <c r="I257" s="2"/>
      <c r="J257" s="2"/>
      <c r="K257" s="2"/>
      <c r="L257" s="2"/>
      <c r="M257" s="1329" t="s">
        <v>1089</v>
      </c>
      <c r="N257" s="1329"/>
      <c r="O257" s="1329"/>
      <c r="P257" s="1329"/>
      <c r="Q257" s="1329"/>
      <c r="R257" s="1329"/>
      <c r="S257" s="1329"/>
      <c r="T257" s="1329"/>
      <c r="U257" s="113" t="s">
        <v>1076</v>
      </c>
      <c r="V257" s="113"/>
      <c r="W257" s="113"/>
      <c r="X257" s="113"/>
      <c r="Y257" s="113"/>
      <c r="Z257" s="113"/>
      <c r="AA257" s="1509"/>
      <c r="AB257" s="1509"/>
      <c r="AC257" s="1509"/>
      <c r="AD257" s="1509"/>
      <c r="AE257" s="1509"/>
      <c r="AF257" s="1509"/>
      <c r="AG257" s="1509"/>
      <c r="AH257" s="1509"/>
      <c r="AI257" s="1509"/>
      <c r="AJ257" s="1509"/>
      <c r="AK257" s="1509"/>
      <c r="AL257" s="2"/>
      <c r="AM257" s="2"/>
      <c r="AN257" s="2"/>
      <c r="AO257" s="2"/>
      <c r="AP257" s="2"/>
      <c r="AQ257" s="2"/>
      <c r="AR257" s="2"/>
      <c r="AS257" s="2"/>
      <c r="AT257" s="2"/>
      <c r="AU257" s="2"/>
      <c r="AV257" s="2"/>
      <c r="AW257" s="2"/>
      <c r="AX257" s="2"/>
      <c r="AY257" s="2"/>
    </row>
    <row r="258" spans="1:51" ht="13.2" customHeight="1">
      <c r="A258" s="1178"/>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3.2" customHeight="1">
      <c r="A259" s="1178"/>
      <c r="B259" s="2"/>
      <c r="C259" s="37" t="s">
        <v>1100</v>
      </c>
      <c r="D259" s="2" t="s">
        <v>1081</v>
      </c>
      <c r="E259" s="2"/>
      <c r="F259" s="2"/>
      <c r="G259" s="2"/>
      <c r="H259" s="2"/>
      <c r="I259" s="2"/>
      <c r="J259" s="2"/>
      <c r="K259" s="2"/>
      <c r="L259" s="2"/>
      <c r="M259" s="1492"/>
      <c r="N259" s="1492"/>
      <c r="O259" s="1492"/>
      <c r="P259" s="1492"/>
      <c r="Q259" s="1492"/>
      <c r="R259" s="1492"/>
      <c r="S259" s="1492"/>
      <c r="T259" s="1492"/>
      <c r="U259" s="1492"/>
      <c r="V259" s="1492"/>
      <c r="W259" s="1492"/>
      <c r="X259" s="1492"/>
      <c r="Y259" s="1492"/>
      <c r="Z259" s="1492"/>
      <c r="AA259" s="1492"/>
      <c r="AB259" s="1492"/>
      <c r="AC259" s="1492"/>
      <c r="AD259" s="1492"/>
      <c r="AE259" s="1492"/>
      <c r="AF259" s="1492" t="s">
        <v>547</v>
      </c>
      <c r="AG259" s="1492"/>
      <c r="AH259" s="1492"/>
      <c r="AI259" s="1492"/>
      <c r="AJ259" s="1492"/>
      <c r="AK259" s="1492"/>
      <c r="AL259" s="2"/>
      <c r="AM259" s="2"/>
      <c r="AN259" s="2"/>
      <c r="AO259" s="2"/>
      <c r="AP259" s="2"/>
      <c r="AQ259" s="2"/>
      <c r="AR259" s="2"/>
      <c r="AS259" s="2"/>
      <c r="AT259" s="2"/>
      <c r="AU259" s="2"/>
      <c r="AV259" s="2"/>
      <c r="AW259" s="2"/>
      <c r="AX259" s="2"/>
      <c r="AY259" s="2"/>
    </row>
    <row r="260" spans="1:51" ht="13.2" customHeight="1">
      <c r="A260" s="1178"/>
      <c r="B260" s="2"/>
      <c r="C260" s="2"/>
      <c r="D260" s="2" t="s">
        <v>1063</v>
      </c>
      <c r="E260" s="2"/>
      <c r="F260" s="2"/>
      <c r="G260" s="2"/>
      <c r="H260" s="2"/>
      <c r="I260" s="2"/>
      <c r="J260" s="2"/>
      <c r="K260" s="2"/>
      <c r="L260" s="2"/>
      <c r="M260" s="1472"/>
      <c r="N260" s="1472"/>
      <c r="O260" s="1472"/>
      <c r="P260" s="1472"/>
      <c r="Q260" s="1472"/>
      <c r="R260" s="1472"/>
      <c r="S260" s="1472"/>
      <c r="T260" s="1472"/>
      <c r="U260" s="1472"/>
      <c r="V260" s="1472"/>
      <c r="W260" s="1472"/>
      <c r="X260" s="1472"/>
      <c r="Y260" s="1472"/>
      <c r="Z260" s="1472"/>
      <c r="AA260" s="1472"/>
      <c r="AB260" s="1472"/>
      <c r="AC260" s="1472"/>
      <c r="AD260" s="1472"/>
      <c r="AE260" s="1472"/>
      <c r="AF260" s="2" t="s">
        <v>1084</v>
      </c>
      <c r="AL260" s="2"/>
      <c r="AM260" s="2"/>
      <c r="AN260" s="2"/>
      <c r="AO260" s="2"/>
      <c r="AP260" s="2"/>
      <c r="AQ260" s="2"/>
      <c r="AR260" s="2"/>
      <c r="AS260" s="2"/>
      <c r="AT260" s="2"/>
      <c r="AU260" s="2"/>
      <c r="AV260" s="2"/>
      <c r="AW260" s="2"/>
      <c r="AX260" s="2"/>
      <c r="AY260" s="2"/>
    </row>
    <row r="261" spans="1:51" ht="13.2" customHeight="1">
      <c r="A261" s="1178"/>
      <c r="B261" s="2"/>
      <c r="C261" s="2"/>
      <c r="D261" s="2" t="s">
        <v>931</v>
      </c>
      <c r="E261" s="2"/>
      <c r="M261" s="1472"/>
      <c r="N261" s="1472"/>
      <c r="O261" s="1472"/>
      <c r="P261" s="1472"/>
      <c r="Q261" s="1472"/>
      <c r="R261" s="1472"/>
      <c r="S261" s="1472"/>
      <c r="T261" s="1472"/>
      <c r="V261" s="819" t="s">
        <v>1065</v>
      </c>
      <c r="W261" s="1427"/>
      <c r="X261" s="1427"/>
      <c r="Y261" s="2" t="s">
        <v>936</v>
      </c>
      <c r="AC261" s="1472"/>
      <c r="AD261" s="1472"/>
      <c r="AE261" s="1472"/>
      <c r="AF261" s="2" t="s">
        <v>1086</v>
      </c>
      <c r="AL261" s="2"/>
      <c r="AM261" s="2"/>
      <c r="AN261" s="2"/>
      <c r="AO261" s="2"/>
      <c r="AP261" s="2"/>
      <c r="AQ261" s="2"/>
      <c r="AR261" s="2"/>
      <c r="AS261" s="2"/>
      <c r="AT261" s="2"/>
      <c r="AU261" s="2"/>
      <c r="AV261" s="2"/>
      <c r="AW261" s="2"/>
      <c r="AX261" s="2"/>
      <c r="AY261" s="2"/>
    </row>
    <row r="262" spans="1:51" ht="13.2" customHeight="1">
      <c r="A262" s="1178"/>
      <c r="B262" s="2"/>
      <c r="C262" s="2"/>
      <c r="D262" s="2" t="s">
        <v>1067</v>
      </c>
      <c r="E262" s="2"/>
      <c r="F262" s="2"/>
      <c r="G262" s="2"/>
      <c r="H262" s="2"/>
      <c r="I262" s="2"/>
      <c r="J262" s="2"/>
      <c r="K262" s="2"/>
      <c r="L262" s="1043"/>
      <c r="M262" s="1472"/>
      <c r="N262" s="1472"/>
      <c r="O262" s="1472"/>
      <c r="P262" s="1472"/>
      <c r="Q262" s="1472"/>
      <c r="R262" s="1472"/>
      <c r="S262" s="1472"/>
      <c r="T262" s="1472"/>
      <c r="U262" s="1472"/>
      <c r="V262" s="1472"/>
      <c r="W262" s="1472"/>
      <c r="X262" s="1472"/>
      <c r="Y262" s="1472"/>
      <c r="Z262" s="1472"/>
      <c r="AA262" s="1472"/>
      <c r="AB262" s="1472"/>
      <c r="AC262" s="1472"/>
      <c r="AD262" s="1472"/>
      <c r="AE262" s="1472"/>
      <c r="AH262" s="1489"/>
      <c r="AI262" s="1489"/>
      <c r="AJ262" s="1489"/>
      <c r="AK262" s="1489"/>
      <c r="AL262" s="2"/>
      <c r="AM262" s="2"/>
      <c r="AN262" s="2"/>
      <c r="AO262" s="2"/>
      <c r="AP262" s="2"/>
      <c r="AQ262" s="2"/>
      <c r="AR262" s="2"/>
      <c r="AS262" s="2"/>
      <c r="AT262" s="2"/>
      <c r="AU262" s="2"/>
      <c r="AV262" s="2"/>
      <c r="AW262" s="2"/>
      <c r="AX262" s="2"/>
      <c r="AY262" s="2"/>
    </row>
    <row r="263" spans="1:51" ht="13.2" customHeight="1">
      <c r="A263" s="1178"/>
      <c r="B263" s="2"/>
      <c r="C263" s="2"/>
      <c r="D263" s="2" t="s">
        <v>1068</v>
      </c>
      <c r="E263" s="2"/>
      <c r="F263" s="2"/>
      <c r="M263" s="1443"/>
      <c r="N263" s="1443"/>
      <c r="O263" s="1443"/>
      <c r="P263" s="1443"/>
      <c r="Q263" s="1443"/>
      <c r="R263" s="1443"/>
      <c r="S263" s="2" t="s">
        <v>1070</v>
      </c>
      <c r="T263" s="2"/>
      <c r="U263" s="1427"/>
      <c r="V263" s="1427"/>
      <c r="W263" s="1427"/>
      <c r="X263" s="2" t="s">
        <v>1071</v>
      </c>
      <c r="Z263" s="1443"/>
      <c r="AA263" s="1443"/>
      <c r="AB263" s="1443"/>
      <c r="AC263" s="1443"/>
      <c r="AD263" s="1443"/>
      <c r="AE263" s="1443"/>
      <c r="AL263" s="2"/>
      <c r="AM263" s="2"/>
      <c r="AN263" s="2"/>
      <c r="AO263" s="2"/>
      <c r="AP263" s="2"/>
      <c r="AQ263" s="2"/>
      <c r="AR263" s="2"/>
      <c r="AS263" s="2"/>
      <c r="AT263" s="2"/>
      <c r="AU263" s="2"/>
      <c r="AV263" s="2"/>
      <c r="AW263" s="2"/>
      <c r="AX263" s="2"/>
      <c r="AY263" s="2"/>
    </row>
    <row r="264" spans="1:51" ht="13.2" customHeight="1">
      <c r="A264" s="1178"/>
      <c r="B264" s="2"/>
      <c r="C264" s="2"/>
      <c r="D264" s="2" t="s">
        <v>1073</v>
      </c>
      <c r="E264" s="2"/>
      <c r="F264" s="2"/>
      <c r="M264" s="1490"/>
      <c r="N264" s="1490"/>
      <c r="O264" s="1490"/>
      <c r="P264" s="1490"/>
      <c r="Q264" s="1490"/>
      <c r="R264" s="1490"/>
      <c r="S264" s="1490"/>
      <c r="T264" s="1490"/>
      <c r="U264" s="1490"/>
      <c r="V264" s="1490"/>
      <c r="W264" s="1490"/>
      <c r="X264" s="1490"/>
      <c r="Y264" s="1490"/>
      <c r="Z264" s="1490"/>
      <c r="AA264" s="1491"/>
      <c r="AB264" s="1491"/>
      <c r="AC264" s="1491"/>
      <c r="AD264" s="1491"/>
      <c r="AE264" s="1491"/>
      <c r="AG264" s="2"/>
      <c r="AH264" s="2"/>
      <c r="AI264" s="2"/>
      <c r="AJ264" s="2"/>
      <c r="AK264" s="2"/>
      <c r="AL264" s="2"/>
      <c r="AM264" s="2"/>
      <c r="AN264" s="2"/>
      <c r="AO264" s="2"/>
      <c r="AP264" s="2"/>
      <c r="AQ264" s="2"/>
      <c r="AR264" s="2"/>
      <c r="AS264" s="2"/>
      <c r="AT264" s="2"/>
      <c r="AU264" s="2"/>
      <c r="AV264" s="2"/>
      <c r="AW264" s="2"/>
      <c r="AX264" s="2"/>
      <c r="AY264" s="2"/>
    </row>
    <row r="265" spans="1:51" ht="13.2" customHeight="1">
      <c r="A265" s="1178"/>
      <c r="B265" s="2"/>
      <c r="C265" s="37"/>
      <c r="D265" s="2" t="s">
        <v>1090</v>
      </c>
      <c r="E265" s="2"/>
      <c r="F265" s="2"/>
      <c r="G265" s="2"/>
      <c r="H265" s="2"/>
      <c r="I265" s="2"/>
      <c r="J265" s="2"/>
      <c r="K265" s="2"/>
      <c r="L265" s="2"/>
      <c r="M265" s="1329"/>
      <c r="N265" s="1329"/>
      <c r="O265" s="1329"/>
      <c r="P265" s="1329"/>
      <c r="Q265" s="1329"/>
      <c r="R265" s="1329"/>
      <c r="S265" s="1329"/>
      <c r="T265" s="1329"/>
      <c r="U265" s="113" t="s">
        <v>1076</v>
      </c>
      <c r="V265" s="113"/>
      <c r="W265" s="113"/>
      <c r="X265" s="113"/>
      <c r="Y265" s="113"/>
      <c r="Z265" s="113"/>
      <c r="AA265" s="1520"/>
      <c r="AB265" s="1520"/>
      <c r="AC265" s="1520"/>
      <c r="AD265" s="1520"/>
      <c r="AE265" s="1520"/>
      <c r="AF265" s="1520"/>
      <c r="AG265" s="1520"/>
      <c r="AH265" s="1520"/>
      <c r="AI265" s="1520"/>
      <c r="AJ265" s="1520"/>
      <c r="AK265" s="1520"/>
      <c r="AL265" s="2"/>
      <c r="AM265" s="2"/>
      <c r="AN265" s="2"/>
      <c r="AO265" s="2"/>
      <c r="AP265" s="2"/>
      <c r="AQ265" s="2"/>
      <c r="AR265" s="2"/>
      <c r="AS265" s="2"/>
      <c r="AT265" s="2"/>
    </row>
    <row r="266" spans="1:51" ht="13.2" customHeight="1">
      <c r="A266" s="1043"/>
      <c r="B266" s="2"/>
      <c r="C266" s="2"/>
      <c r="D266" s="2"/>
      <c r="E266" s="2"/>
      <c r="F266" s="2"/>
      <c r="J266" s="94"/>
      <c r="K266" s="68"/>
      <c r="L266" s="68"/>
      <c r="M266" s="68"/>
      <c r="N266" s="68"/>
      <c r="O266" s="68"/>
      <c r="P266" s="68"/>
      <c r="Q266" s="68"/>
      <c r="R266" s="68"/>
      <c r="S266" s="68"/>
      <c r="T266" s="68"/>
      <c r="U266" s="68"/>
      <c r="V266" s="68"/>
      <c r="W266" s="68"/>
      <c r="X266" s="68"/>
      <c r="Y266" s="68"/>
      <c r="AD266" s="32"/>
      <c r="AE266" s="32"/>
    </row>
    <row r="267" spans="1:51" ht="13.2" customHeight="1">
      <c r="A267" s="38" t="s">
        <v>1020</v>
      </c>
      <c r="B267" s="2"/>
      <c r="C267" s="1" t="s">
        <v>1101</v>
      </c>
      <c r="D267" s="2"/>
      <c r="E267" s="2"/>
      <c r="F267" s="2"/>
      <c r="G267" s="2"/>
      <c r="H267" s="2"/>
      <c r="I267" s="2"/>
      <c r="J267" s="2"/>
      <c r="K267" s="2"/>
      <c r="L267" s="2"/>
      <c r="M267" s="68"/>
      <c r="N267" s="68"/>
      <c r="O267" s="68"/>
      <c r="P267" s="68"/>
      <c r="Q267" s="68"/>
      <c r="T267" s="1488" t="str">
        <f>IFERROR(BO245,"")</f>
        <v/>
      </c>
      <c r="U267" s="1488"/>
      <c r="V267" s="1488"/>
      <c r="W267" s="1488"/>
      <c r="X267" s="1488"/>
      <c r="Z267" s="189" t="s">
        <v>1102</v>
      </c>
      <c r="AA267" s="190"/>
      <c r="AB267" s="190"/>
      <c r="AC267" s="190"/>
      <c r="AD267" s="191"/>
      <c r="AE267" s="191"/>
      <c r="AF267" s="191"/>
      <c r="AG267" s="191"/>
      <c r="AH267" s="191"/>
      <c r="AI267" s="191"/>
      <c r="AJ267" s="191"/>
      <c r="AK267" s="191"/>
      <c r="AL267" s="39"/>
    </row>
    <row r="268" spans="1:51" ht="13.2" customHeight="1">
      <c r="A268" s="1"/>
      <c r="B268" s="2"/>
      <c r="C268" s="1"/>
      <c r="I268" s="2"/>
      <c r="J268" s="2"/>
      <c r="K268" s="2"/>
      <c r="L268" s="2"/>
      <c r="M268" s="68"/>
      <c r="N268" s="68"/>
      <c r="O268" s="68"/>
      <c r="P268" s="68"/>
      <c r="Q268" s="68"/>
      <c r="T268" s="2"/>
      <c r="U268" s="2"/>
      <c r="V268" s="2"/>
      <c r="W268" s="68"/>
      <c r="Z268" s="192" t="s">
        <v>1103</v>
      </c>
      <c r="AF268" s="2"/>
      <c r="AG268" s="2"/>
      <c r="AH268" s="2"/>
      <c r="AI268" s="2"/>
      <c r="AJ268" s="2"/>
      <c r="AL268" s="42"/>
    </row>
    <row r="269" spans="1:51" ht="13.2" customHeight="1">
      <c r="A269" s="1" t="s">
        <v>1047</v>
      </c>
      <c r="B269" s="2"/>
      <c r="C269" s="1" t="s">
        <v>124</v>
      </c>
      <c r="D269" s="2"/>
      <c r="E269" s="2"/>
      <c r="F269" s="2"/>
      <c r="G269" s="2"/>
      <c r="H269" s="2"/>
      <c r="I269" s="2"/>
      <c r="J269" s="2"/>
      <c r="K269" s="2"/>
      <c r="L269" s="2"/>
      <c r="M269" s="2"/>
      <c r="N269" s="2"/>
      <c r="O269" s="2"/>
      <c r="P269" s="2"/>
      <c r="Q269" s="2"/>
      <c r="R269" s="2"/>
      <c r="S269" s="2"/>
      <c r="T269" s="2"/>
      <c r="U269" s="2"/>
      <c r="V269" s="2"/>
      <c r="W269" s="2"/>
      <c r="Z269" s="193" t="s">
        <v>1104</v>
      </c>
      <c r="AA269" s="32"/>
      <c r="AB269" s="32"/>
      <c r="AC269" s="32"/>
      <c r="AD269" s="32"/>
      <c r="AE269" s="32"/>
      <c r="AF269" s="708"/>
      <c r="AG269" s="708"/>
      <c r="AH269" s="708"/>
      <c r="AI269" s="708"/>
      <c r="AJ269" s="708"/>
      <c r="AK269" s="32"/>
      <c r="AL269" s="33"/>
    </row>
    <row r="270" spans="1:51" ht="13.2" customHeight="1">
      <c r="A270" s="2"/>
      <c r="B270" s="26">
        <v>0</v>
      </c>
      <c r="D270" s="1472" t="s">
        <v>1087</v>
      </c>
      <c r="E270" s="1472"/>
      <c r="F270" s="1472"/>
      <c r="G270" s="1472"/>
      <c r="H270" s="1472"/>
      <c r="J270" t="s">
        <v>1105</v>
      </c>
      <c r="X270" s="1461"/>
      <c r="Y270" s="1461"/>
      <c r="Z270" s="1461"/>
      <c r="AA270" s="1461"/>
      <c r="AB270" s="1461"/>
      <c r="AC270" s="1461"/>
      <c r="AU270" s="2"/>
      <c r="AV270" s="2"/>
      <c r="AW270" s="2"/>
      <c r="AX270" s="2"/>
      <c r="AY270" s="2"/>
    </row>
    <row r="271" spans="1:51" ht="13.2" customHeight="1">
      <c r="A271" s="2"/>
      <c r="B271" s="1043"/>
      <c r="D271" s="27" t="s">
        <v>1106</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3.2"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179"/>
      <c r="AA272" s="1179"/>
      <c r="AB272" s="1179"/>
      <c r="AC272" s="1179"/>
      <c r="AD272" s="1179"/>
      <c r="AE272" s="2"/>
      <c r="AK272" s="2"/>
      <c r="AL272" s="2"/>
      <c r="AM272" s="2"/>
      <c r="AN272" s="2"/>
      <c r="AO272" s="2"/>
      <c r="AP272" s="2"/>
      <c r="AQ272" s="2"/>
      <c r="AR272" s="2"/>
      <c r="AS272" s="2"/>
      <c r="AT272" s="2"/>
    </row>
    <row r="273" spans="1:51" ht="13.2" customHeight="1">
      <c r="A273" s="1" t="s">
        <v>1107</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3.2" customHeight="1">
      <c r="D274" s="2" t="s">
        <v>1108</v>
      </c>
      <c r="E274" s="2"/>
      <c r="F274" s="2"/>
      <c r="G274" s="2"/>
      <c r="H274" s="2"/>
      <c r="I274" s="2"/>
      <c r="J274" s="2"/>
      <c r="K274" s="2"/>
      <c r="L274" s="1492" t="s">
        <v>1109</v>
      </c>
      <c r="M274" s="1492"/>
      <c r="N274" s="1492"/>
      <c r="O274" s="1492"/>
      <c r="P274" s="1492"/>
      <c r="Q274" s="1492"/>
      <c r="R274" s="1492"/>
      <c r="S274" s="1492"/>
      <c r="T274" s="1492"/>
      <c r="U274" s="1492"/>
      <c r="V274" s="1492"/>
      <c r="W274" s="1492"/>
      <c r="X274" s="1492"/>
      <c r="Y274" s="1492"/>
      <c r="Z274" s="1492"/>
      <c r="AA274" s="1492"/>
      <c r="AB274" s="1492"/>
      <c r="AC274" s="1492"/>
      <c r="AD274" s="1492"/>
      <c r="AE274" s="1492"/>
      <c r="AF274" s="1492"/>
      <c r="AG274" s="1492"/>
      <c r="AH274" s="1492"/>
      <c r="AI274" s="1492"/>
      <c r="AJ274" s="1492"/>
      <c r="AK274" s="2"/>
      <c r="AL274" s="2"/>
      <c r="AM274" s="2"/>
      <c r="AN274" s="2"/>
      <c r="AO274" s="2"/>
      <c r="AP274" s="2"/>
      <c r="AQ274" s="2"/>
      <c r="AR274" s="2"/>
      <c r="AS274" s="2"/>
      <c r="AT274" s="2"/>
      <c r="AU274" s="2"/>
      <c r="AV274" s="2"/>
      <c r="AW274" s="2"/>
      <c r="AX274" s="2"/>
      <c r="AY274" s="2"/>
    </row>
    <row r="275" spans="1:51" ht="13.2" customHeight="1">
      <c r="D275" s="2" t="s">
        <v>1063</v>
      </c>
      <c r="E275" s="2"/>
      <c r="F275" s="2"/>
      <c r="G275" s="2"/>
      <c r="H275" s="2"/>
      <c r="I275" s="2"/>
      <c r="J275" s="2"/>
      <c r="K275" s="2"/>
      <c r="L275" s="1472" t="str">
        <f>H288</f>
        <v>122 E 42nd Street, suite 1903</v>
      </c>
      <c r="M275" s="1472"/>
      <c r="N275" s="1472"/>
      <c r="O275" s="1472"/>
      <c r="P275" s="1472"/>
      <c r="Q275" s="1472"/>
      <c r="R275" s="1472"/>
      <c r="S275" s="1472"/>
      <c r="T275" s="1472"/>
      <c r="U275" s="1472"/>
      <c r="V275" s="1472"/>
      <c r="W275" s="1472"/>
      <c r="X275" s="1472"/>
      <c r="Y275" s="1472"/>
      <c r="Z275" s="1472"/>
      <c r="AA275" s="1472"/>
      <c r="AB275" s="1472"/>
      <c r="AC275" s="1472"/>
      <c r="AD275" s="1472"/>
      <c r="AK275" s="2"/>
      <c r="AL275" s="2"/>
      <c r="AM275" s="2"/>
      <c r="AN275" s="2"/>
      <c r="AO275" s="2"/>
      <c r="AP275" s="2"/>
      <c r="AQ275" s="2"/>
      <c r="AR275" s="2"/>
      <c r="AS275" s="2"/>
      <c r="AT275" s="2"/>
      <c r="AU275" s="2"/>
      <c r="AV275" s="2"/>
      <c r="AW275" s="2"/>
      <c r="AX275" s="2"/>
      <c r="AY275" s="2"/>
    </row>
    <row r="276" spans="1:51" ht="13.2" customHeight="1">
      <c r="D276" s="2" t="s">
        <v>931</v>
      </c>
      <c r="E276" s="2"/>
      <c r="L276" s="1472" t="s">
        <v>1096</v>
      </c>
      <c r="M276" s="1472"/>
      <c r="N276" s="1472"/>
      <c r="O276" s="1472"/>
      <c r="P276" s="1472"/>
      <c r="Q276" s="1472"/>
      <c r="R276" s="1472"/>
      <c r="S276" s="1472"/>
      <c r="U276" s="819" t="s">
        <v>1065</v>
      </c>
      <c r="V276" s="1427" t="s">
        <v>1110</v>
      </c>
      <c r="W276" s="1427"/>
      <c r="X276" s="2" t="s">
        <v>936</v>
      </c>
      <c r="AB276" s="1472">
        <v>10168</v>
      </c>
      <c r="AC276" s="1472"/>
      <c r="AD276" s="1472"/>
      <c r="AK276" s="2"/>
      <c r="AL276" s="2"/>
      <c r="AM276" s="2"/>
      <c r="AN276" s="2"/>
      <c r="AO276" s="2"/>
      <c r="AP276" s="2"/>
      <c r="AQ276" s="2"/>
      <c r="AR276" s="2"/>
      <c r="AS276" s="2"/>
      <c r="AT276" s="2"/>
      <c r="AU276" s="2"/>
      <c r="AV276" s="2"/>
      <c r="AW276" s="2"/>
      <c r="AX276" s="2"/>
      <c r="AY276" s="2"/>
    </row>
    <row r="277" spans="1:51" ht="13.2" customHeight="1">
      <c r="D277" s="2" t="s">
        <v>1067</v>
      </c>
      <c r="E277" s="2"/>
      <c r="F277" s="2"/>
      <c r="G277" s="2"/>
      <c r="H277" s="2"/>
      <c r="I277" s="2"/>
      <c r="J277" s="2"/>
      <c r="K277" s="1043"/>
      <c r="L277" s="1472" t="s">
        <v>1111</v>
      </c>
      <c r="M277" s="1472"/>
      <c r="N277" s="1472"/>
      <c r="O277" s="1472"/>
      <c r="P277" s="1472"/>
      <c r="Q277" s="1472"/>
      <c r="R277" s="1472"/>
      <c r="S277" s="1472"/>
      <c r="T277" s="1472"/>
      <c r="U277" s="1472"/>
      <c r="V277" s="1472"/>
      <c r="W277" s="1472"/>
      <c r="X277" s="1472"/>
      <c r="Y277" s="1472"/>
      <c r="Z277" s="1472"/>
      <c r="AA277" s="1472"/>
      <c r="AB277" s="1472"/>
      <c r="AC277" s="1472"/>
      <c r="AD277" s="1472"/>
      <c r="AI277" s="2"/>
      <c r="AJ277" s="2"/>
      <c r="AK277" s="2"/>
      <c r="AL277" s="2"/>
      <c r="AM277" s="2"/>
      <c r="AN277" s="2"/>
      <c r="AO277" s="2"/>
      <c r="AP277" s="2"/>
      <c r="AQ277" s="2"/>
      <c r="AR277" s="2"/>
      <c r="AS277" s="2"/>
      <c r="AT277" s="2"/>
    </row>
    <row r="278" spans="1:51" ht="13.2" customHeight="1">
      <c r="D278" s="2" t="s">
        <v>1068</v>
      </c>
      <c r="E278" s="2"/>
      <c r="F278" s="2"/>
      <c r="L278" s="1443" t="s">
        <v>1112</v>
      </c>
      <c r="M278" s="1443"/>
      <c r="N278" s="1443"/>
      <c r="O278" s="1443"/>
      <c r="P278" s="1443"/>
      <c r="Q278" s="1443"/>
      <c r="R278" s="2" t="s">
        <v>1070</v>
      </c>
      <c r="S278" s="2"/>
      <c r="T278" s="1427"/>
      <c r="U278" s="1427"/>
      <c r="V278" s="1427"/>
      <c r="W278" s="2" t="s">
        <v>1071</v>
      </c>
      <c r="Y278" s="1443"/>
      <c r="Z278" s="1443"/>
      <c r="AA278" s="1443"/>
      <c r="AB278" s="1443"/>
      <c r="AC278" s="1443"/>
      <c r="AD278" s="1443"/>
    </row>
    <row r="279" spans="1:51" ht="13.2" customHeight="1">
      <c r="D279" s="2" t="s">
        <v>1073</v>
      </c>
      <c r="E279" s="2"/>
      <c r="F279" s="2"/>
      <c r="L279" s="1490" t="s">
        <v>1113</v>
      </c>
      <c r="M279" s="1490"/>
      <c r="N279" s="1490"/>
      <c r="O279" s="1490"/>
      <c r="P279" s="1490"/>
      <c r="Q279" s="1490"/>
      <c r="R279" s="1490"/>
      <c r="S279" s="1490"/>
      <c r="T279" s="1490"/>
      <c r="U279" s="1490"/>
      <c r="V279" s="1490"/>
      <c r="W279" s="1490"/>
      <c r="X279" s="1490"/>
      <c r="Y279" s="1490"/>
      <c r="Z279" s="1490"/>
      <c r="AA279" s="1490"/>
      <c r="AB279" s="1490"/>
      <c r="AC279" s="1490"/>
      <c r="AD279" s="1490"/>
      <c r="AF279" s="2"/>
      <c r="AG279" s="2"/>
      <c r="AH279" s="2"/>
      <c r="AI279" s="2"/>
      <c r="AJ279" s="2"/>
      <c r="AU279" s="2"/>
      <c r="AV279" s="2"/>
      <c r="AW279" s="2"/>
      <c r="AX279" s="2"/>
      <c r="AY279" s="2"/>
    </row>
    <row r="280" spans="1:51" ht="13.2" customHeight="1">
      <c r="D280" s="2" t="s">
        <v>1114</v>
      </c>
      <c r="E280" s="2"/>
      <c r="F280" s="2"/>
      <c r="G280" s="2"/>
      <c r="H280" s="2"/>
      <c r="I280" s="2"/>
      <c r="L280" s="1427"/>
      <c r="M280" s="1427"/>
      <c r="N280" s="1427"/>
      <c r="O280" s="1427"/>
      <c r="P280" s="1427"/>
      <c r="Q280" s="1427"/>
      <c r="R280" s="1427"/>
      <c r="S280" s="1427"/>
      <c r="T280" s="1427"/>
      <c r="U280" s="1427"/>
      <c r="V280" s="1427"/>
      <c r="W280" s="1427"/>
      <c r="X280" s="1427"/>
      <c r="Y280" s="1427"/>
      <c r="Z280" s="1427"/>
      <c r="AA280" s="1427"/>
      <c r="AB280" s="1427"/>
      <c r="AC280" s="1427"/>
      <c r="AD280" s="1427"/>
      <c r="AK280" s="2"/>
      <c r="AL280" s="2"/>
      <c r="AM280" s="2"/>
      <c r="AN280" s="2"/>
      <c r="AO280" s="2"/>
      <c r="AP280" s="2"/>
      <c r="AQ280" s="2"/>
      <c r="AR280" s="2"/>
      <c r="AS280" s="2"/>
      <c r="AT280" s="2"/>
    </row>
    <row r="281" spans="1:51" ht="13.2" customHeight="1">
      <c r="L281" s="17" t="s">
        <v>1115</v>
      </c>
      <c r="AU281" s="54"/>
      <c r="AV281" s="54"/>
      <c r="AW281" s="54"/>
      <c r="AX281" s="54"/>
      <c r="AY281" s="54"/>
    </row>
    <row r="282" spans="1:51" ht="13.2" customHeight="1">
      <c r="A282" s="1486" t="s">
        <v>1116</v>
      </c>
      <c r="B282" s="1486"/>
      <c r="C282" s="1486"/>
      <c r="D282" s="1486"/>
      <c r="E282" s="1486"/>
      <c r="F282" s="1486"/>
      <c r="G282" s="1486"/>
      <c r="H282" s="1486"/>
      <c r="I282" s="1486"/>
      <c r="J282" s="1486"/>
      <c r="K282" s="1486"/>
      <c r="L282" s="1486"/>
      <c r="M282" s="1486"/>
      <c r="N282" s="1486"/>
      <c r="O282" s="1486"/>
      <c r="P282" s="1486"/>
      <c r="Q282" s="1486"/>
      <c r="R282" s="1486"/>
      <c r="S282" s="1486"/>
      <c r="T282" s="1486"/>
      <c r="U282" s="1486"/>
      <c r="V282" s="1486"/>
      <c r="W282" s="1486"/>
      <c r="X282" s="1486"/>
      <c r="Y282" s="1486"/>
      <c r="Z282" s="1486"/>
      <c r="AA282" s="1486"/>
      <c r="AB282" s="1486"/>
      <c r="AC282" s="1486"/>
      <c r="AD282" s="1486"/>
      <c r="AE282" s="1486"/>
      <c r="AF282" s="1486"/>
      <c r="AG282" s="1486"/>
      <c r="AH282" s="1486"/>
      <c r="AI282" s="1486"/>
      <c r="AJ282" s="1486"/>
      <c r="AK282" s="1486"/>
      <c r="AL282" s="1486"/>
      <c r="AM282" s="1486"/>
      <c r="AN282" s="1486"/>
      <c r="AO282" s="1486"/>
      <c r="AP282" s="1486"/>
      <c r="AQ282" s="1486"/>
      <c r="AR282" s="1486"/>
      <c r="AS282" s="1486"/>
      <c r="AT282" s="1486"/>
      <c r="AU282" s="54"/>
      <c r="AV282" s="54"/>
      <c r="AW282" s="54"/>
      <c r="AX282" s="54"/>
      <c r="AY282" s="54"/>
    </row>
    <row r="283" spans="1:51" ht="13.2" customHeight="1">
      <c r="A283" s="1486"/>
      <c r="B283" s="1486"/>
      <c r="C283" s="1486"/>
      <c r="D283" s="1486"/>
      <c r="E283" s="1486"/>
      <c r="F283" s="1486"/>
      <c r="G283" s="1486"/>
      <c r="H283" s="1486"/>
      <c r="I283" s="1486"/>
      <c r="J283" s="1486"/>
      <c r="K283" s="1486"/>
      <c r="L283" s="1486"/>
      <c r="M283" s="1486"/>
      <c r="N283" s="1486"/>
      <c r="O283" s="1486"/>
      <c r="P283" s="1486"/>
      <c r="Q283" s="1486"/>
      <c r="R283" s="1486"/>
      <c r="S283" s="1486"/>
      <c r="T283" s="1486"/>
      <c r="U283" s="1486"/>
      <c r="V283" s="1486"/>
      <c r="W283" s="1486"/>
      <c r="X283" s="1486"/>
      <c r="Y283" s="1486"/>
      <c r="Z283" s="1486"/>
      <c r="AA283" s="1486"/>
      <c r="AB283" s="1486"/>
      <c r="AC283" s="1486"/>
      <c r="AD283" s="1486"/>
      <c r="AE283" s="1486"/>
      <c r="AF283" s="1486"/>
      <c r="AG283" s="1486"/>
      <c r="AH283" s="1486"/>
      <c r="AI283" s="1486"/>
      <c r="AJ283" s="1486"/>
      <c r="AK283" s="1486"/>
      <c r="AL283" s="1486"/>
      <c r="AM283" s="1486"/>
      <c r="AN283" s="1486"/>
      <c r="AO283" s="1486"/>
      <c r="AP283" s="1486"/>
      <c r="AQ283" s="1486"/>
      <c r="AR283" s="1486"/>
      <c r="AS283" s="1486"/>
      <c r="AT283" s="1486"/>
      <c r="AU283" s="19"/>
      <c r="AV283" s="19"/>
      <c r="AW283" s="19"/>
      <c r="AX283" s="19"/>
      <c r="AY283" s="19"/>
    </row>
    <row r="284" spans="1:51" ht="13.2"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3.2" customHeight="1">
      <c r="A285" s="1" t="s">
        <v>871</v>
      </c>
      <c r="C285" s="1" t="s">
        <v>1117</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3.2"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3.2" customHeight="1">
      <c r="B287" s="2" t="s">
        <v>1118</v>
      </c>
      <c r="C287" s="2"/>
      <c r="D287" s="2"/>
      <c r="E287" s="2"/>
      <c r="F287" s="2"/>
      <c r="H287" s="1472" t="s">
        <v>1109</v>
      </c>
      <c r="I287" s="1362"/>
      <c r="J287" s="1362"/>
      <c r="K287" s="1362"/>
      <c r="L287" s="1362"/>
      <c r="M287" s="1362"/>
      <c r="N287" s="1362"/>
      <c r="O287" s="1362"/>
      <c r="P287" s="1362"/>
      <c r="Q287" s="1362"/>
      <c r="R287" s="1362"/>
      <c r="T287" s="2" t="s">
        <v>1119</v>
      </c>
      <c r="V287" s="2"/>
      <c r="W287" s="2"/>
      <c r="X287" s="2"/>
      <c r="Y287" s="2"/>
      <c r="AA287" s="1472" t="s">
        <v>1120</v>
      </c>
      <c r="AB287" s="1362"/>
      <c r="AC287" s="1362"/>
      <c r="AD287" s="1362"/>
      <c r="AE287" s="1362"/>
      <c r="AF287" s="1362"/>
      <c r="AG287" s="1362"/>
      <c r="AH287" s="1362"/>
      <c r="AI287" s="1362"/>
      <c r="AJ287" s="1362"/>
      <c r="AK287" s="1362"/>
    </row>
    <row r="288" spans="1:51" ht="13.2" customHeight="1">
      <c r="B288" s="2" t="s">
        <v>1121</v>
      </c>
      <c r="C288" s="2"/>
      <c r="D288" s="2"/>
      <c r="E288" s="2"/>
      <c r="F288" s="2"/>
      <c r="H288" s="1329" t="s">
        <v>1095</v>
      </c>
      <c r="I288" s="1329"/>
      <c r="J288" s="1329"/>
      <c r="K288" s="1329"/>
      <c r="L288" s="1329"/>
      <c r="M288" s="1329"/>
      <c r="N288" s="1329"/>
      <c r="O288" s="1329"/>
      <c r="P288" s="1329"/>
      <c r="Q288" s="1329"/>
      <c r="R288" s="1329"/>
      <c r="T288" s="2" t="s">
        <v>1121</v>
      </c>
      <c r="V288" s="2"/>
      <c r="W288" s="2"/>
      <c r="X288" s="2"/>
      <c r="Y288" s="2"/>
      <c r="AA288" s="1427" t="s">
        <v>1122</v>
      </c>
      <c r="AB288" s="1329"/>
      <c r="AC288" s="1329"/>
      <c r="AD288" s="1329"/>
      <c r="AE288" s="1329"/>
      <c r="AF288" s="1329"/>
      <c r="AG288" s="1329"/>
      <c r="AH288" s="1329"/>
      <c r="AI288" s="1329"/>
      <c r="AJ288" s="1329"/>
      <c r="AK288" s="1329"/>
    </row>
    <row r="289" spans="2:37" ht="13.2" customHeight="1">
      <c r="B289" s="2" t="s">
        <v>1123</v>
      </c>
      <c r="C289" s="2"/>
      <c r="D289" s="2"/>
      <c r="E289" s="2"/>
      <c r="F289" s="2"/>
      <c r="H289" s="1329" t="s">
        <v>1124</v>
      </c>
      <c r="I289" s="1329"/>
      <c r="J289" s="1329"/>
      <c r="K289" s="1329"/>
      <c r="L289" s="1329"/>
      <c r="M289" s="1329"/>
      <c r="N289" s="1329"/>
      <c r="O289" s="1329"/>
      <c r="P289" s="1329"/>
      <c r="Q289" s="1329"/>
      <c r="R289" s="1329"/>
      <c r="T289" s="2" t="s">
        <v>1125</v>
      </c>
      <c r="V289" s="2"/>
      <c r="W289" s="2"/>
      <c r="X289" s="2"/>
      <c r="Y289" s="2"/>
      <c r="AA289" s="1427" t="s">
        <v>1126</v>
      </c>
      <c r="AB289" s="1329"/>
      <c r="AC289" s="1329"/>
      <c r="AD289" s="1329"/>
      <c r="AE289" s="1329"/>
      <c r="AF289" s="1329"/>
      <c r="AG289" s="1329"/>
      <c r="AH289" s="1329"/>
      <c r="AI289" s="1329"/>
      <c r="AJ289" s="1329"/>
      <c r="AK289" s="1329"/>
    </row>
    <row r="290" spans="2:37" ht="13.2" customHeight="1">
      <c r="B290" s="2" t="s">
        <v>1067</v>
      </c>
      <c r="C290" s="2"/>
      <c r="D290" s="2"/>
      <c r="E290" s="2"/>
      <c r="F290" s="2"/>
      <c r="H290" s="1427" t="s">
        <v>1097</v>
      </c>
      <c r="I290" s="1329"/>
      <c r="J290" s="1329"/>
      <c r="K290" s="1329"/>
      <c r="L290" s="1329"/>
      <c r="M290" s="1329"/>
      <c r="N290" s="1329"/>
      <c r="O290" s="1329"/>
      <c r="P290" s="1329"/>
      <c r="Q290" s="1329"/>
      <c r="R290" s="1329"/>
      <c r="T290" s="2" t="s">
        <v>1067</v>
      </c>
      <c r="V290" s="2"/>
      <c r="W290" s="2"/>
      <c r="X290" s="2"/>
      <c r="Y290" s="2"/>
      <c r="AA290" s="1427" t="s">
        <v>1122</v>
      </c>
      <c r="AB290" s="1329"/>
      <c r="AC290" s="1329"/>
      <c r="AD290" s="1329"/>
      <c r="AE290" s="1329"/>
      <c r="AF290" s="1329"/>
      <c r="AG290" s="1329"/>
      <c r="AH290" s="1329"/>
      <c r="AI290" s="1329"/>
      <c r="AJ290" s="1329"/>
      <c r="AK290" s="1329"/>
    </row>
    <row r="291" spans="2:37" ht="13.2" customHeight="1">
      <c r="B291" s="2" t="s">
        <v>1068</v>
      </c>
      <c r="C291" s="2"/>
      <c r="D291" s="2"/>
      <c r="E291" s="2"/>
      <c r="F291" s="2"/>
      <c r="G291" s="2"/>
      <c r="H291" s="1493" t="s">
        <v>1098</v>
      </c>
      <c r="I291" s="1493"/>
      <c r="J291" s="1493"/>
      <c r="K291" s="1493"/>
      <c r="L291" s="1493"/>
      <c r="M291" s="1493"/>
      <c r="N291" s="2" t="s">
        <v>1070</v>
      </c>
      <c r="O291" s="2"/>
      <c r="P291" s="1472"/>
      <c r="Q291" s="1472"/>
      <c r="R291" s="1472"/>
      <c r="S291" s="2"/>
      <c r="T291" s="2" t="s">
        <v>1068</v>
      </c>
      <c r="V291" s="2"/>
      <c r="W291" s="2"/>
      <c r="X291" s="2"/>
      <c r="Y291" s="2"/>
      <c r="AA291" s="1493"/>
      <c r="AB291" s="1493"/>
      <c r="AC291" s="1493"/>
      <c r="AD291" s="1493"/>
      <c r="AE291" s="1493"/>
      <c r="AF291" s="1493"/>
      <c r="AG291" s="2" t="s">
        <v>1070</v>
      </c>
      <c r="AH291" s="2"/>
      <c r="AI291" s="1472"/>
      <c r="AJ291" s="1472"/>
      <c r="AK291" s="1472"/>
    </row>
    <row r="292" spans="2:37" ht="13.2" customHeight="1">
      <c r="B292" s="2" t="s">
        <v>1071</v>
      </c>
      <c r="C292" s="2"/>
      <c r="D292" s="2"/>
      <c r="E292" s="2"/>
      <c r="F292" s="2"/>
      <c r="G292" s="2"/>
      <c r="H292" s="1443"/>
      <c r="I292" s="1443"/>
      <c r="J292" s="1443"/>
      <c r="K292" s="1443"/>
      <c r="L292" s="1443"/>
      <c r="M292" s="1443"/>
      <c r="N292" s="2"/>
      <c r="O292" s="2"/>
      <c r="P292" s="68"/>
      <c r="Q292" s="68"/>
      <c r="R292" s="68"/>
      <c r="S292" s="2"/>
      <c r="T292" s="2" t="s">
        <v>1071</v>
      </c>
      <c r="V292" s="2"/>
      <c r="W292" s="2"/>
      <c r="X292" s="2"/>
      <c r="Y292" s="2"/>
      <c r="AA292" s="1443"/>
      <c r="AB292" s="1443"/>
      <c r="AC292" s="1443"/>
      <c r="AD292" s="1443"/>
      <c r="AE292" s="1443"/>
      <c r="AF292" s="1443"/>
      <c r="AG292" s="2"/>
      <c r="AH292" s="2"/>
      <c r="AI292" s="68"/>
      <c r="AJ292" s="68"/>
      <c r="AK292" s="68"/>
    </row>
    <row r="293" spans="2:37" ht="13.2" customHeight="1">
      <c r="B293" s="2" t="s">
        <v>1127</v>
      </c>
      <c r="C293" s="2"/>
      <c r="D293" s="2"/>
      <c r="E293" s="2"/>
      <c r="F293" s="2"/>
      <c r="G293" s="2"/>
      <c r="H293" s="1427" t="s">
        <v>1099</v>
      </c>
      <c r="I293" s="1329"/>
      <c r="J293" s="1329"/>
      <c r="K293" s="1329"/>
      <c r="L293" s="1329"/>
      <c r="M293" s="1329"/>
      <c r="N293" s="1362"/>
      <c r="O293" s="1362"/>
      <c r="P293" s="1362"/>
      <c r="Q293" s="1362"/>
      <c r="R293" s="1362"/>
      <c r="S293" s="2"/>
      <c r="T293" s="2" t="s">
        <v>1127</v>
      </c>
      <c r="V293" s="2"/>
      <c r="W293" s="2"/>
      <c r="X293" s="2"/>
      <c r="Y293" s="2"/>
      <c r="AA293" s="1329"/>
      <c r="AB293" s="1329"/>
      <c r="AC293" s="1329"/>
      <c r="AD293" s="1329"/>
      <c r="AE293" s="1329"/>
      <c r="AF293" s="1329"/>
      <c r="AG293" s="1362"/>
      <c r="AH293" s="1362"/>
      <c r="AI293" s="1362"/>
      <c r="AJ293" s="1362"/>
      <c r="AK293" s="1362"/>
    </row>
    <row r="294" spans="2:37" ht="13.2"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3.2" customHeight="1">
      <c r="B295" s="2" t="s">
        <v>1128</v>
      </c>
      <c r="C295" s="2"/>
      <c r="D295" s="2"/>
      <c r="E295" s="2"/>
      <c r="F295" s="2"/>
      <c r="H295" s="1362" t="s">
        <v>1129</v>
      </c>
      <c r="I295" s="1362"/>
      <c r="J295" s="1362"/>
      <c r="K295" s="1362"/>
      <c r="L295" s="1362"/>
      <c r="M295" s="1362"/>
      <c r="N295" s="1362"/>
      <c r="O295" s="1362"/>
      <c r="P295" s="1362"/>
      <c r="Q295" s="1362"/>
      <c r="R295" s="1362"/>
      <c r="T295" s="2" t="s">
        <v>1130</v>
      </c>
      <c r="V295" s="2"/>
      <c r="W295" s="2"/>
      <c r="X295" s="2"/>
      <c r="Y295" s="2"/>
      <c r="AA295" s="1362" t="s">
        <v>1131</v>
      </c>
      <c r="AB295" s="1362"/>
      <c r="AC295" s="1362"/>
      <c r="AD295" s="1362"/>
      <c r="AE295" s="1362"/>
      <c r="AF295" s="1362"/>
      <c r="AG295" s="1362"/>
      <c r="AH295" s="1362"/>
      <c r="AI295" s="1362"/>
      <c r="AJ295" s="1362"/>
      <c r="AK295" s="1362"/>
    </row>
    <row r="296" spans="2:37" ht="13.2" customHeight="1">
      <c r="B296" s="2" t="s">
        <v>1121</v>
      </c>
      <c r="C296" s="2"/>
      <c r="D296" s="2"/>
      <c r="E296" s="2"/>
      <c r="F296" s="2"/>
      <c r="H296" s="1329" t="s">
        <v>1132</v>
      </c>
      <c r="I296" s="1329"/>
      <c r="J296" s="1329"/>
      <c r="K296" s="1329"/>
      <c r="L296" s="1329"/>
      <c r="M296" s="1329"/>
      <c r="N296" s="1329"/>
      <c r="O296" s="1329"/>
      <c r="P296" s="1329"/>
      <c r="Q296" s="1329"/>
      <c r="R296" s="1329"/>
      <c r="T296" s="2" t="s">
        <v>1121</v>
      </c>
      <c r="V296" s="2"/>
      <c r="W296" s="2"/>
      <c r="X296" s="2"/>
      <c r="Y296" s="2"/>
      <c r="AA296" s="1329" t="s">
        <v>1133</v>
      </c>
      <c r="AB296" s="1329"/>
      <c r="AC296" s="1329"/>
      <c r="AD296" s="1329"/>
      <c r="AE296" s="1329"/>
      <c r="AF296" s="1329"/>
      <c r="AG296" s="1329"/>
      <c r="AH296" s="1329"/>
      <c r="AI296" s="1329"/>
      <c r="AJ296" s="1329"/>
      <c r="AK296" s="1329"/>
    </row>
    <row r="297" spans="2:37" ht="13.2" customHeight="1">
      <c r="B297" s="2" t="s">
        <v>1123</v>
      </c>
      <c r="C297" s="2"/>
      <c r="D297" s="2"/>
      <c r="E297" s="2"/>
      <c r="F297" s="2"/>
      <c r="H297" s="1329" t="s">
        <v>1134</v>
      </c>
      <c r="I297" s="1329"/>
      <c r="J297" s="1329"/>
      <c r="K297" s="1329"/>
      <c r="L297" s="1329"/>
      <c r="M297" s="1329"/>
      <c r="N297" s="1329"/>
      <c r="O297" s="1329"/>
      <c r="P297" s="1329"/>
      <c r="Q297" s="1329"/>
      <c r="R297" s="1329"/>
      <c r="T297" s="2" t="s">
        <v>1125</v>
      </c>
      <c r="V297" s="2"/>
      <c r="W297" s="2"/>
      <c r="X297" s="2"/>
      <c r="Y297" s="2"/>
      <c r="AA297" s="1329" t="s">
        <v>1135</v>
      </c>
      <c r="AB297" s="1329"/>
      <c r="AC297" s="1329"/>
      <c r="AD297" s="1329"/>
      <c r="AE297" s="1329"/>
      <c r="AF297" s="1329"/>
      <c r="AG297" s="1329"/>
      <c r="AH297" s="1329"/>
      <c r="AI297" s="1329"/>
      <c r="AJ297" s="1329"/>
      <c r="AK297" s="1329"/>
    </row>
    <row r="298" spans="2:37" ht="13.2" customHeight="1">
      <c r="B298" s="2" t="s">
        <v>1067</v>
      </c>
      <c r="C298" s="2"/>
      <c r="D298" s="2"/>
      <c r="E298" s="2"/>
      <c r="F298" s="2"/>
      <c r="H298" s="1329" t="s">
        <v>1136</v>
      </c>
      <c r="I298" s="1329"/>
      <c r="J298" s="1329"/>
      <c r="K298" s="1329"/>
      <c r="L298" s="1329"/>
      <c r="M298" s="1329"/>
      <c r="N298" s="1329"/>
      <c r="O298" s="1329"/>
      <c r="P298" s="1329"/>
      <c r="Q298" s="1329"/>
      <c r="R298" s="1329"/>
      <c r="T298" s="2" t="s">
        <v>1067</v>
      </c>
      <c r="V298" s="2"/>
      <c r="W298" s="2"/>
      <c r="X298" s="2"/>
      <c r="Y298" s="2"/>
      <c r="AA298" s="1329" t="s">
        <v>1137</v>
      </c>
      <c r="AB298" s="1329"/>
      <c r="AC298" s="1329"/>
      <c r="AD298" s="1329"/>
      <c r="AE298" s="1329"/>
      <c r="AF298" s="1329"/>
      <c r="AG298" s="1329"/>
      <c r="AH298" s="1329"/>
      <c r="AI298" s="1329"/>
      <c r="AJ298" s="1329"/>
      <c r="AK298" s="1329"/>
    </row>
    <row r="299" spans="2:37" ht="13.2" customHeight="1">
      <c r="B299" s="2" t="s">
        <v>1068</v>
      </c>
      <c r="C299" s="2"/>
      <c r="D299" s="2"/>
      <c r="E299" s="2"/>
      <c r="F299" s="2"/>
      <c r="G299" s="2"/>
      <c r="H299" s="1493" t="s">
        <v>1138</v>
      </c>
      <c r="I299" s="1493"/>
      <c r="J299" s="1493"/>
      <c r="K299" s="1493"/>
      <c r="L299" s="1493"/>
      <c r="M299" s="1493"/>
      <c r="N299" s="2" t="s">
        <v>1070</v>
      </c>
      <c r="O299" s="2"/>
      <c r="P299" s="1472"/>
      <c r="Q299" s="1472"/>
      <c r="R299" s="1472"/>
      <c r="S299" s="2"/>
      <c r="T299" s="2" t="s">
        <v>1068</v>
      </c>
      <c r="V299" s="2"/>
      <c r="W299" s="2"/>
      <c r="X299" s="2"/>
      <c r="Y299" s="2"/>
      <c r="AA299" s="1493" t="s">
        <v>1139</v>
      </c>
      <c r="AB299" s="1493"/>
      <c r="AC299" s="1493"/>
      <c r="AD299" s="1493"/>
      <c r="AE299" s="1493"/>
      <c r="AF299" s="1493"/>
      <c r="AG299" s="2" t="s">
        <v>1070</v>
      </c>
      <c r="AH299" s="2"/>
      <c r="AI299" s="1472"/>
      <c r="AJ299" s="1472"/>
      <c r="AK299" s="1472"/>
    </row>
    <row r="300" spans="2:37" ht="13.2" customHeight="1">
      <c r="B300" s="2" t="s">
        <v>1071</v>
      </c>
      <c r="C300" s="2"/>
      <c r="D300" s="2"/>
      <c r="E300" s="2"/>
      <c r="F300" s="2"/>
      <c r="G300" s="2"/>
      <c r="H300" s="1443"/>
      <c r="I300" s="1443"/>
      <c r="J300" s="1443"/>
      <c r="K300" s="1443"/>
      <c r="L300" s="1443"/>
      <c r="M300" s="1443"/>
      <c r="N300" s="2"/>
      <c r="O300" s="2"/>
      <c r="P300" s="68"/>
      <c r="Q300" s="68"/>
      <c r="R300" s="68"/>
      <c r="S300" s="2"/>
      <c r="T300" s="2" t="s">
        <v>1071</v>
      </c>
      <c r="V300" s="2"/>
      <c r="W300" s="2"/>
      <c r="X300" s="2"/>
      <c r="Y300" s="2"/>
      <c r="AA300" s="1443"/>
      <c r="AB300" s="1443"/>
      <c r="AC300" s="1443"/>
      <c r="AD300" s="1443"/>
      <c r="AE300" s="1443"/>
      <c r="AF300" s="1443"/>
      <c r="AG300" s="2"/>
      <c r="AH300" s="2"/>
      <c r="AI300" s="68"/>
      <c r="AJ300" s="68"/>
      <c r="AK300" s="68"/>
    </row>
    <row r="301" spans="2:37" ht="13.2" customHeight="1">
      <c r="B301" s="2" t="s">
        <v>1127</v>
      </c>
      <c r="C301" s="2"/>
      <c r="D301" s="2"/>
      <c r="E301" s="2"/>
      <c r="F301" s="2"/>
      <c r="G301" s="2"/>
      <c r="H301" s="1329" t="s">
        <v>1140</v>
      </c>
      <c r="I301" s="1329"/>
      <c r="J301" s="1329"/>
      <c r="K301" s="1329"/>
      <c r="L301" s="1329"/>
      <c r="M301" s="1329"/>
      <c r="N301" s="1362"/>
      <c r="O301" s="1362"/>
      <c r="P301" s="1362"/>
      <c r="Q301" s="1362"/>
      <c r="R301" s="1362"/>
      <c r="S301" s="2"/>
      <c r="T301" s="2" t="s">
        <v>1127</v>
      </c>
      <c r="V301" s="2"/>
      <c r="W301" s="2"/>
      <c r="X301" s="2"/>
      <c r="Y301" s="2"/>
      <c r="AA301" s="1329" t="s">
        <v>1141</v>
      </c>
      <c r="AB301" s="1329"/>
      <c r="AC301" s="1329"/>
      <c r="AD301" s="1329"/>
      <c r="AE301" s="1329"/>
      <c r="AF301" s="1329"/>
      <c r="AG301" s="1362"/>
      <c r="AH301" s="1362"/>
      <c r="AI301" s="1362"/>
      <c r="AJ301" s="1362"/>
      <c r="AK301" s="1362"/>
    </row>
    <row r="302" spans="2:37" ht="13.2" customHeight="1"/>
    <row r="303" spans="2:37" ht="13.2" customHeight="1">
      <c r="B303" s="2" t="s">
        <v>1142</v>
      </c>
      <c r="C303" s="2"/>
      <c r="D303" s="2"/>
      <c r="E303" s="2"/>
      <c r="F303" s="2"/>
      <c r="H303" s="1362" t="str">
        <f>H295</f>
        <v>Hobson Bernardino + Davis LLP</v>
      </c>
      <c r="I303" s="1362"/>
      <c r="J303" s="1362"/>
      <c r="K303" s="1362"/>
      <c r="L303" s="1362"/>
      <c r="M303" s="1362"/>
      <c r="N303" s="1362"/>
      <c r="O303" s="1362"/>
      <c r="P303" s="1362"/>
      <c r="Q303" s="1362"/>
      <c r="R303" s="1362"/>
      <c r="T303" s="2" t="s">
        <v>1143</v>
      </c>
      <c r="V303" s="2"/>
      <c r="W303" s="2"/>
      <c r="X303" s="2"/>
      <c r="Y303" s="2"/>
      <c r="AA303" s="1362" t="s">
        <v>1144</v>
      </c>
      <c r="AB303" s="1362"/>
      <c r="AC303" s="1362"/>
      <c r="AD303" s="1362"/>
      <c r="AE303" s="1362"/>
      <c r="AF303" s="1362"/>
      <c r="AG303" s="1362"/>
      <c r="AH303" s="1362"/>
      <c r="AI303" s="1362"/>
      <c r="AJ303" s="1362"/>
      <c r="AK303" s="1362"/>
    </row>
    <row r="304" spans="2:37" ht="13.2" customHeight="1">
      <c r="B304" s="2" t="s">
        <v>1121</v>
      </c>
      <c r="C304" s="2"/>
      <c r="D304" s="2"/>
      <c r="E304" s="2"/>
      <c r="F304" s="2"/>
      <c r="H304" s="1329" t="str">
        <f>H296</f>
        <v>6060 Center Drive, Floor 10</v>
      </c>
      <c r="I304" s="1329"/>
      <c r="J304" s="1329"/>
      <c r="K304" s="1329"/>
      <c r="L304" s="1329"/>
      <c r="M304" s="1329"/>
      <c r="N304" s="1329"/>
      <c r="O304" s="1329"/>
      <c r="P304" s="1329"/>
      <c r="Q304" s="1329"/>
      <c r="R304" s="1329"/>
      <c r="T304" s="2" t="s">
        <v>1121</v>
      </c>
      <c r="V304" s="2"/>
      <c r="W304" s="2"/>
      <c r="X304" s="2"/>
      <c r="Y304" s="2"/>
      <c r="AA304" s="1329" t="s">
        <v>1145</v>
      </c>
      <c r="AB304" s="1329"/>
      <c r="AC304" s="1329"/>
      <c r="AD304" s="1329"/>
      <c r="AE304" s="1329"/>
      <c r="AF304" s="1329"/>
      <c r="AG304" s="1329"/>
      <c r="AH304" s="1329"/>
      <c r="AI304" s="1329"/>
      <c r="AJ304" s="1329"/>
      <c r="AK304" s="1329"/>
    </row>
    <row r="305" spans="2:37" ht="13.2" customHeight="1">
      <c r="B305" s="2" t="s">
        <v>1123</v>
      </c>
      <c r="C305" s="2"/>
      <c r="D305" s="2"/>
      <c r="E305" s="2"/>
      <c r="F305" s="2"/>
      <c r="H305" s="1329" t="str">
        <f>H297</f>
        <v>Los Angeles, CA 90045</v>
      </c>
      <c r="I305" s="1329"/>
      <c r="J305" s="1329"/>
      <c r="K305" s="1329"/>
      <c r="L305" s="1329"/>
      <c r="M305" s="1329"/>
      <c r="N305" s="1329"/>
      <c r="O305" s="1329"/>
      <c r="P305" s="1329"/>
      <c r="Q305" s="1329"/>
      <c r="R305" s="1329"/>
      <c r="T305" s="2" t="s">
        <v>1125</v>
      </c>
      <c r="V305" s="2"/>
      <c r="W305" s="2"/>
      <c r="X305" s="2"/>
      <c r="Y305" s="2"/>
      <c r="AA305" s="1329" t="s">
        <v>1146</v>
      </c>
      <c r="AB305" s="1329"/>
      <c r="AC305" s="1329"/>
      <c r="AD305" s="1329"/>
      <c r="AE305" s="1329"/>
      <c r="AF305" s="1329"/>
      <c r="AG305" s="1329"/>
      <c r="AH305" s="1329"/>
      <c r="AI305" s="1329"/>
      <c r="AJ305" s="1329"/>
      <c r="AK305" s="1329"/>
    </row>
    <row r="306" spans="2:37" ht="13.2" customHeight="1">
      <c r="B306" s="2" t="s">
        <v>1067</v>
      </c>
      <c r="C306" s="2"/>
      <c r="D306" s="2"/>
      <c r="E306" s="2"/>
      <c r="F306" s="2"/>
      <c r="H306" s="1329" t="str">
        <f>H298</f>
        <v>Jason Hobson</v>
      </c>
      <c r="I306" s="1329"/>
      <c r="J306" s="1329"/>
      <c r="K306" s="1329"/>
      <c r="L306" s="1329"/>
      <c r="M306" s="1329"/>
      <c r="N306" s="1329"/>
      <c r="O306" s="1329"/>
      <c r="P306" s="1329"/>
      <c r="Q306" s="1329"/>
      <c r="R306" s="1329"/>
      <c r="T306" s="2" t="s">
        <v>1067</v>
      </c>
      <c r="V306" s="2"/>
      <c r="W306" s="2"/>
      <c r="X306" s="2"/>
      <c r="Y306" s="2"/>
      <c r="AA306" s="1329" t="s">
        <v>1147</v>
      </c>
      <c r="AB306" s="1329"/>
      <c r="AC306" s="1329"/>
      <c r="AD306" s="1329"/>
      <c r="AE306" s="1329"/>
      <c r="AF306" s="1329"/>
      <c r="AG306" s="1329"/>
      <c r="AH306" s="1329"/>
      <c r="AI306" s="1329"/>
      <c r="AJ306" s="1329"/>
      <c r="AK306" s="1329"/>
    </row>
    <row r="307" spans="2:37" ht="13.2" customHeight="1">
      <c r="B307" s="2" t="s">
        <v>1068</v>
      </c>
      <c r="C307" s="2"/>
      <c r="D307" s="2"/>
      <c r="E307" s="2"/>
      <c r="F307" s="2"/>
      <c r="G307" s="2"/>
      <c r="H307" s="1493" t="str">
        <f>H299</f>
        <v>213-235-9191</v>
      </c>
      <c r="I307" s="1493"/>
      <c r="J307" s="1493"/>
      <c r="K307" s="1493"/>
      <c r="L307" s="1493"/>
      <c r="M307" s="1493"/>
      <c r="N307" s="2" t="s">
        <v>1070</v>
      </c>
      <c r="O307" s="2"/>
      <c r="P307" s="1472"/>
      <c r="Q307" s="1472"/>
      <c r="R307" s="1472"/>
      <c r="S307" s="2"/>
      <c r="T307" s="2" t="s">
        <v>1068</v>
      </c>
      <c r="V307" s="2"/>
      <c r="W307" s="2"/>
      <c r="X307" s="2"/>
      <c r="Y307" s="2"/>
      <c r="AA307" s="1493" t="s">
        <v>1148</v>
      </c>
      <c r="AB307" s="1493"/>
      <c r="AC307" s="1493"/>
      <c r="AD307" s="1493"/>
      <c r="AE307" s="1493"/>
      <c r="AF307" s="1493"/>
      <c r="AG307" s="2" t="s">
        <v>1070</v>
      </c>
      <c r="AH307" s="2"/>
      <c r="AI307" s="1472"/>
      <c r="AJ307" s="1472"/>
      <c r="AK307" s="1472"/>
    </row>
    <row r="308" spans="2:37" ht="13.2" customHeight="1">
      <c r="B308" s="2" t="s">
        <v>1071</v>
      </c>
      <c r="C308" s="2"/>
      <c r="D308" s="2"/>
      <c r="E308" s="2"/>
      <c r="F308" s="2"/>
      <c r="G308" s="2"/>
      <c r="H308" s="1443"/>
      <c r="I308" s="1443"/>
      <c r="J308" s="1443"/>
      <c r="K308" s="1443"/>
      <c r="L308" s="1443"/>
      <c r="M308" s="1443"/>
      <c r="N308" s="2"/>
      <c r="O308" s="2"/>
      <c r="P308" s="68"/>
      <c r="Q308" s="68"/>
      <c r="R308" s="68"/>
      <c r="S308" s="2"/>
      <c r="T308" s="2" t="s">
        <v>1071</v>
      </c>
      <c r="V308" s="2"/>
      <c r="W308" s="2"/>
      <c r="X308" s="2"/>
      <c r="Y308" s="2"/>
      <c r="AA308" s="1443"/>
      <c r="AB308" s="1443"/>
      <c r="AC308" s="1443"/>
      <c r="AD308" s="1443"/>
      <c r="AE308" s="1443"/>
      <c r="AF308" s="1443"/>
      <c r="AG308" s="2"/>
      <c r="AH308" s="2"/>
      <c r="AI308" s="68"/>
      <c r="AJ308" s="68"/>
      <c r="AK308" s="68"/>
    </row>
    <row r="309" spans="2:37" ht="13.2" customHeight="1">
      <c r="B309" s="2" t="s">
        <v>1127</v>
      </c>
      <c r="C309" s="2"/>
      <c r="D309" s="2"/>
      <c r="E309" s="2"/>
      <c r="F309" s="2"/>
      <c r="G309" s="2"/>
      <c r="H309" s="1329" t="s">
        <v>1140</v>
      </c>
      <c r="I309" s="1329"/>
      <c r="J309" s="1329"/>
      <c r="K309" s="1329"/>
      <c r="L309" s="1329"/>
      <c r="M309" s="1329"/>
      <c r="N309" s="1362"/>
      <c r="O309" s="1362"/>
      <c r="P309" s="1362"/>
      <c r="Q309" s="1362"/>
      <c r="R309" s="1362"/>
      <c r="S309" s="2"/>
      <c r="T309" s="2" t="s">
        <v>1127</v>
      </c>
      <c r="V309" s="2"/>
      <c r="W309" s="2"/>
      <c r="X309" s="2"/>
      <c r="Y309" s="2"/>
      <c r="AA309" s="1329" t="s">
        <v>1149</v>
      </c>
      <c r="AB309" s="1329"/>
      <c r="AC309" s="1329"/>
      <c r="AD309" s="1329"/>
      <c r="AE309" s="1329"/>
      <c r="AF309" s="1329"/>
      <c r="AG309" s="1362"/>
      <c r="AH309" s="1362"/>
      <c r="AI309" s="1362"/>
      <c r="AJ309" s="1362"/>
      <c r="AK309" s="1362"/>
    </row>
    <row r="310" spans="2:37" ht="13.2"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3.2" customHeight="1">
      <c r="B311" s="2" t="s">
        <v>1150</v>
      </c>
      <c r="C311" s="2"/>
      <c r="D311" s="2"/>
      <c r="E311" s="2"/>
      <c r="F311" s="2"/>
      <c r="H311" s="1362" t="s">
        <v>1151</v>
      </c>
      <c r="I311" s="1362"/>
      <c r="J311" s="1362"/>
      <c r="K311" s="1362"/>
      <c r="L311" s="1362"/>
      <c r="M311" s="1362"/>
      <c r="N311" s="1362"/>
      <c r="O311" s="1362"/>
      <c r="P311" s="1362"/>
      <c r="Q311" s="1362"/>
      <c r="R311" s="1362"/>
      <c r="S311" s="2"/>
      <c r="T311" s="2" t="s">
        <v>1152</v>
      </c>
      <c r="V311" s="2"/>
      <c r="W311" s="2"/>
      <c r="X311" s="2"/>
      <c r="Y311" s="2"/>
      <c r="AA311" s="1362" t="s">
        <v>1153</v>
      </c>
      <c r="AB311" s="1362"/>
      <c r="AC311" s="1362"/>
      <c r="AD311" s="1362"/>
      <c r="AE311" s="1362"/>
      <c r="AF311" s="1362"/>
      <c r="AG311" s="1362"/>
      <c r="AH311" s="1362"/>
      <c r="AI311" s="1362"/>
      <c r="AJ311" s="1362"/>
      <c r="AK311" s="1362"/>
    </row>
    <row r="312" spans="2:37" ht="13.2" customHeight="1">
      <c r="B312" s="2" t="s">
        <v>1121</v>
      </c>
      <c r="C312" s="2"/>
      <c r="D312" s="2"/>
      <c r="E312" s="2"/>
      <c r="F312" s="2"/>
      <c r="H312" s="1329" t="s">
        <v>1154</v>
      </c>
      <c r="I312" s="1329"/>
      <c r="J312" s="1329"/>
      <c r="K312" s="1329"/>
      <c r="L312" s="1329"/>
      <c r="M312" s="1329"/>
      <c r="N312" s="1329"/>
      <c r="O312" s="1329"/>
      <c r="P312" s="1329"/>
      <c r="Q312" s="1329"/>
      <c r="R312" s="1329"/>
      <c r="S312" s="2"/>
      <c r="T312" s="2" t="s">
        <v>1121</v>
      </c>
      <c r="V312" s="2"/>
      <c r="W312" s="2"/>
      <c r="X312" s="2"/>
      <c r="Y312" s="2"/>
      <c r="AA312" s="1329" t="s">
        <v>1155</v>
      </c>
      <c r="AB312" s="1329"/>
      <c r="AC312" s="1329"/>
      <c r="AD312" s="1329"/>
      <c r="AE312" s="1329"/>
      <c r="AF312" s="1329"/>
      <c r="AG312" s="1329"/>
      <c r="AH312" s="1329"/>
      <c r="AI312" s="1329"/>
      <c r="AJ312" s="1329"/>
      <c r="AK312" s="1329"/>
    </row>
    <row r="313" spans="2:37" ht="13.2" customHeight="1">
      <c r="B313" s="2" t="s">
        <v>1123</v>
      </c>
      <c r="C313" s="2"/>
      <c r="D313" s="2"/>
      <c r="E313" s="2"/>
      <c r="F313" s="2"/>
      <c r="H313" s="1329" t="s">
        <v>1156</v>
      </c>
      <c r="I313" s="1329"/>
      <c r="J313" s="1329"/>
      <c r="K313" s="1329"/>
      <c r="L313" s="1329"/>
      <c r="M313" s="1329"/>
      <c r="N313" s="1329"/>
      <c r="O313" s="1329"/>
      <c r="P313" s="1329"/>
      <c r="Q313" s="1329"/>
      <c r="R313" s="1329"/>
      <c r="S313" s="2"/>
      <c r="T313" s="2" t="s">
        <v>1125</v>
      </c>
      <c r="V313" s="2"/>
      <c r="W313" s="2"/>
      <c r="X313" s="2"/>
      <c r="Y313" s="2"/>
      <c r="AA313" s="1329" t="s">
        <v>1157</v>
      </c>
      <c r="AB313" s="1329"/>
      <c r="AC313" s="1329"/>
      <c r="AD313" s="1329"/>
      <c r="AE313" s="1329"/>
      <c r="AF313" s="1329"/>
      <c r="AG313" s="1329"/>
      <c r="AH313" s="1329"/>
      <c r="AI313" s="1329"/>
      <c r="AJ313" s="1329"/>
      <c r="AK313" s="1329"/>
    </row>
    <row r="314" spans="2:37" ht="13.2" customHeight="1">
      <c r="B314" s="2" t="s">
        <v>1067</v>
      </c>
      <c r="C314" s="2"/>
      <c r="D314" s="2"/>
      <c r="E314" s="2"/>
      <c r="F314" s="2"/>
      <c r="H314" s="1329" t="s">
        <v>1158</v>
      </c>
      <c r="I314" s="1329"/>
      <c r="J314" s="1329"/>
      <c r="K314" s="1329"/>
      <c r="L314" s="1329"/>
      <c r="M314" s="1329"/>
      <c r="N314" s="1329"/>
      <c r="O314" s="1329"/>
      <c r="P314" s="1329"/>
      <c r="Q314" s="1329"/>
      <c r="R314" s="1329"/>
      <c r="S314" s="2"/>
      <c r="T314" s="2" t="s">
        <v>1067</v>
      </c>
      <c r="V314" s="2"/>
      <c r="W314" s="2"/>
      <c r="X314" s="2"/>
      <c r="Y314" s="2"/>
      <c r="AA314" s="1329" t="s">
        <v>1159</v>
      </c>
      <c r="AB314" s="1329"/>
      <c r="AC314" s="1329"/>
      <c r="AD314" s="1329"/>
      <c r="AE314" s="1329"/>
      <c r="AF314" s="1329"/>
      <c r="AG314" s="1329"/>
      <c r="AH314" s="1329"/>
      <c r="AI314" s="1329"/>
      <c r="AJ314" s="1329"/>
      <c r="AK314" s="1329"/>
    </row>
    <row r="315" spans="2:37" ht="13.2" customHeight="1">
      <c r="B315" s="2" t="s">
        <v>1068</v>
      </c>
      <c r="C315" s="2"/>
      <c r="D315" s="2"/>
      <c r="E315" s="2"/>
      <c r="F315" s="2"/>
      <c r="G315" s="2"/>
      <c r="H315" s="1493" t="s">
        <v>1160</v>
      </c>
      <c r="I315" s="1493"/>
      <c r="J315" s="1493"/>
      <c r="K315" s="1493"/>
      <c r="L315" s="1493"/>
      <c r="M315" s="1493"/>
      <c r="N315" s="2" t="s">
        <v>1070</v>
      </c>
      <c r="O315" s="2"/>
      <c r="P315" s="1472"/>
      <c r="Q315" s="1472"/>
      <c r="R315" s="1472"/>
      <c r="S315" s="2"/>
      <c r="T315" s="2" t="s">
        <v>1068</v>
      </c>
      <c r="V315" s="2"/>
      <c r="W315" s="2"/>
      <c r="X315" s="2"/>
      <c r="Y315" s="2"/>
      <c r="AA315" s="1493" t="s">
        <v>1161</v>
      </c>
      <c r="AB315" s="1493"/>
      <c r="AC315" s="1493"/>
      <c r="AD315" s="1493"/>
      <c r="AE315" s="1493"/>
      <c r="AF315" s="1493"/>
      <c r="AG315" s="2" t="s">
        <v>1070</v>
      </c>
      <c r="AH315" s="2"/>
      <c r="AI315" s="1472"/>
      <c r="AJ315" s="1472"/>
      <c r="AK315" s="1472"/>
    </row>
    <row r="316" spans="2:37" ht="13.2" customHeight="1">
      <c r="B316" s="2" t="s">
        <v>1071</v>
      </c>
      <c r="C316" s="2"/>
      <c r="D316" s="2"/>
      <c r="E316" s="2"/>
      <c r="F316" s="2"/>
      <c r="G316" s="2"/>
      <c r="H316" s="1443"/>
      <c r="I316" s="1443"/>
      <c r="J316" s="1443"/>
      <c r="K316" s="1443"/>
      <c r="L316" s="1443"/>
      <c r="M316" s="1443"/>
      <c r="N316" s="2"/>
      <c r="O316" s="2"/>
      <c r="P316" s="68"/>
      <c r="Q316" s="68"/>
      <c r="R316" s="68"/>
      <c r="S316" s="2"/>
      <c r="T316" s="2" t="s">
        <v>1071</v>
      </c>
      <c r="V316" s="2"/>
      <c r="W316" s="2"/>
      <c r="X316" s="2"/>
      <c r="Y316" s="2"/>
      <c r="AA316" s="1443"/>
      <c r="AB316" s="1443"/>
      <c r="AC316" s="1443"/>
      <c r="AD316" s="1443"/>
      <c r="AE316" s="1443"/>
      <c r="AF316" s="1443"/>
      <c r="AG316" s="2"/>
      <c r="AH316" s="2"/>
      <c r="AI316" s="68"/>
      <c r="AJ316" s="68"/>
      <c r="AK316" s="68"/>
    </row>
    <row r="317" spans="2:37" ht="13.2" customHeight="1">
      <c r="B317" s="2" t="s">
        <v>1127</v>
      </c>
      <c r="C317" s="2"/>
      <c r="D317" s="2"/>
      <c r="E317" s="2"/>
      <c r="F317" s="2"/>
      <c r="G317" s="2"/>
      <c r="H317" s="1329" t="s">
        <v>1162</v>
      </c>
      <c r="I317" s="1329"/>
      <c r="J317" s="1329"/>
      <c r="K317" s="1329"/>
      <c r="L317" s="1329"/>
      <c r="M317" s="1329"/>
      <c r="N317" s="1362"/>
      <c r="O317" s="1362"/>
      <c r="P317" s="1362"/>
      <c r="Q317" s="1362"/>
      <c r="R317" s="1362"/>
      <c r="S317" s="2"/>
      <c r="T317" s="2" t="s">
        <v>1127</v>
      </c>
      <c r="V317" s="2"/>
      <c r="W317" s="2"/>
      <c r="X317" s="2"/>
      <c r="Y317" s="2"/>
      <c r="AA317" s="1329" t="s">
        <v>1163</v>
      </c>
      <c r="AB317" s="1329"/>
      <c r="AC317" s="1329"/>
      <c r="AD317" s="1329"/>
      <c r="AE317" s="1329"/>
      <c r="AF317" s="1329"/>
      <c r="AG317" s="1362"/>
      <c r="AH317" s="1362"/>
      <c r="AI317" s="1362"/>
      <c r="AJ317" s="1362"/>
      <c r="AK317" s="1362"/>
    </row>
    <row r="318" spans="2:37" ht="13.2" customHeight="1"/>
    <row r="319" spans="2:37" ht="13.2" customHeight="1">
      <c r="B319" s="2" t="s">
        <v>1164</v>
      </c>
      <c r="C319" s="2"/>
      <c r="D319" s="2"/>
      <c r="E319" s="2"/>
      <c r="F319" s="2"/>
      <c r="H319" s="1362"/>
      <c r="I319" s="1362"/>
      <c r="J319" s="1362"/>
      <c r="K319" s="1362"/>
      <c r="L319" s="1362"/>
      <c r="M319" s="1362"/>
      <c r="N319" s="1362"/>
      <c r="O319" s="1362"/>
      <c r="P319" s="1362"/>
      <c r="Q319" s="1362"/>
      <c r="R319" s="1362"/>
      <c r="T319" s="2" t="s">
        <v>1165</v>
      </c>
      <c r="V319" s="2"/>
      <c r="W319" s="2"/>
      <c r="X319" s="2"/>
      <c r="Y319" s="2"/>
      <c r="AA319" s="1362" t="str">
        <f>H311</f>
        <v>Novogradac Consulting LLP</v>
      </c>
      <c r="AB319" s="1362"/>
      <c r="AC319" s="1362"/>
      <c r="AD319" s="1362"/>
      <c r="AE319" s="1362"/>
      <c r="AF319" s="1362"/>
      <c r="AG319" s="1362"/>
      <c r="AH319" s="1362"/>
      <c r="AI319" s="1362"/>
      <c r="AJ319" s="1362"/>
      <c r="AK319" s="1362"/>
    </row>
    <row r="320" spans="2:37" ht="13.2" customHeight="1">
      <c r="B320" s="2" t="s">
        <v>1121</v>
      </c>
      <c r="C320" s="2"/>
      <c r="D320" s="2"/>
      <c r="E320" s="2"/>
      <c r="F320" s="2"/>
      <c r="H320" s="1329"/>
      <c r="I320" s="1329"/>
      <c r="J320" s="1329"/>
      <c r="K320" s="1329"/>
      <c r="L320" s="1329"/>
      <c r="M320" s="1329"/>
      <c r="N320" s="1329"/>
      <c r="O320" s="1329"/>
      <c r="P320" s="1329"/>
      <c r="Q320" s="1329"/>
      <c r="R320" s="1329"/>
      <c r="T320" s="2" t="s">
        <v>1121</v>
      </c>
      <c r="V320" s="2"/>
      <c r="W320" s="2"/>
      <c r="X320" s="2"/>
      <c r="Y320" s="2"/>
      <c r="AA320" s="1329" t="str">
        <f>H312</f>
        <v>6700 Antioch Rd #450</v>
      </c>
      <c r="AB320" s="1329"/>
      <c r="AC320" s="1329"/>
      <c r="AD320" s="1329"/>
      <c r="AE320" s="1329"/>
      <c r="AF320" s="1329"/>
      <c r="AG320" s="1329"/>
      <c r="AH320" s="1329"/>
      <c r="AI320" s="1329"/>
      <c r="AJ320" s="1329"/>
      <c r="AK320" s="1329"/>
    </row>
    <row r="321" spans="2:37" ht="13.2" customHeight="1">
      <c r="B321" s="2" t="s">
        <v>1123</v>
      </c>
      <c r="C321" s="2"/>
      <c r="D321" s="2"/>
      <c r="E321" s="2"/>
      <c r="F321" s="2"/>
      <c r="H321" s="1329"/>
      <c r="I321" s="1329"/>
      <c r="J321" s="1329"/>
      <c r="K321" s="1329"/>
      <c r="L321" s="1329"/>
      <c r="M321" s="1329"/>
      <c r="N321" s="1329"/>
      <c r="O321" s="1329"/>
      <c r="P321" s="1329"/>
      <c r="Q321" s="1329"/>
      <c r="R321" s="1329"/>
      <c r="T321" s="2" t="s">
        <v>1125</v>
      </c>
      <c r="V321" s="2"/>
      <c r="W321" s="2"/>
      <c r="X321" s="2"/>
      <c r="Y321" s="2"/>
      <c r="AA321" s="1329" t="str">
        <f>H313</f>
        <v>Merriam, Kansas 66204</v>
      </c>
      <c r="AB321" s="1329"/>
      <c r="AC321" s="1329"/>
      <c r="AD321" s="1329"/>
      <c r="AE321" s="1329"/>
      <c r="AF321" s="1329"/>
      <c r="AG321" s="1329"/>
      <c r="AH321" s="1329"/>
      <c r="AI321" s="1329"/>
      <c r="AJ321" s="1329"/>
      <c r="AK321" s="1329"/>
    </row>
    <row r="322" spans="2:37" ht="13.2" customHeight="1">
      <c r="B322" s="2" t="s">
        <v>1067</v>
      </c>
      <c r="C322" s="2"/>
      <c r="D322" s="2"/>
      <c r="E322" s="2"/>
      <c r="F322" s="2"/>
      <c r="H322" s="1329"/>
      <c r="I322" s="1329"/>
      <c r="J322" s="1329"/>
      <c r="K322" s="1329"/>
      <c r="L322" s="1329"/>
      <c r="M322" s="1329"/>
      <c r="N322" s="1329"/>
      <c r="O322" s="1329"/>
      <c r="P322" s="1329"/>
      <c r="Q322" s="1329"/>
      <c r="R322" s="1329"/>
      <c r="T322" s="2" t="s">
        <v>1067</v>
      </c>
      <c r="V322" s="2"/>
      <c r="W322" s="2"/>
      <c r="X322" s="2"/>
      <c r="Y322" s="2"/>
      <c r="AA322" s="1329" t="s">
        <v>1166</v>
      </c>
      <c r="AB322" s="1329"/>
      <c r="AC322" s="1329"/>
      <c r="AD322" s="1329"/>
      <c r="AE322" s="1329"/>
      <c r="AF322" s="1329"/>
      <c r="AG322" s="1329"/>
      <c r="AH322" s="1329"/>
      <c r="AI322" s="1329"/>
      <c r="AJ322" s="1329"/>
      <c r="AK322" s="1329"/>
    </row>
    <row r="323" spans="2:37" ht="13.2" customHeight="1">
      <c r="B323" s="2" t="s">
        <v>1068</v>
      </c>
      <c r="C323" s="2"/>
      <c r="D323" s="2"/>
      <c r="E323" s="2"/>
      <c r="F323" s="2"/>
      <c r="G323" s="2"/>
      <c r="H323" s="1493"/>
      <c r="I323" s="1493"/>
      <c r="J323" s="1493"/>
      <c r="K323" s="1493"/>
      <c r="L323" s="1493"/>
      <c r="M323" s="1493"/>
      <c r="N323" s="2" t="s">
        <v>1070</v>
      </c>
      <c r="O323" s="2"/>
      <c r="P323" s="1472"/>
      <c r="Q323" s="1472"/>
      <c r="R323" s="1472"/>
      <c r="S323" s="2"/>
      <c r="T323" s="2" t="s">
        <v>1068</v>
      </c>
      <c r="V323" s="2"/>
      <c r="W323" s="2"/>
      <c r="X323" s="2"/>
      <c r="Y323" s="2"/>
      <c r="AA323" s="1493" t="s">
        <v>1167</v>
      </c>
      <c r="AB323" s="1493"/>
      <c r="AC323" s="1493"/>
      <c r="AD323" s="1493"/>
      <c r="AE323" s="1493"/>
      <c r="AF323" s="1493"/>
      <c r="AG323" s="2" t="s">
        <v>1070</v>
      </c>
      <c r="AH323" s="2"/>
      <c r="AI323" s="1472"/>
      <c r="AJ323" s="1472"/>
      <c r="AK323" s="1472"/>
    </row>
    <row r="324" spans="2:37" ht="13.2" customHeight="1">
      <c r="B324" s="2" t="s">
        <v>1071</v>
      </c>
      <c r="C324" s="2"/>
      <c r="D324" s="2"/>
      <c r="E324" s="2"/>
      <c r="F324" s="2"/>
      <c r="G324" s="2"/>
      <c r="H324" s="1443"/>
      <c r="I324" s="1443"/>
      <c r="J324" s="1443"/>
      <c r="K324" s="1443"/>
      <c r="L324" s="1443"/>
      <c r="M324" s="1443"/>
      <c r="N324" s="2"/>
      <c r="O324" s="2"/>
      <c r="P324" s="68"/>
      <c r="Q324" s="68"/>
      <c r="R324" s="68"/>
      <c r="S324" s="2"/>
      <c r="T324" s="2" t="s">
        <v>1071</v>
      </c>
      <c r="V324" s="2"/>
      <c r="W324" s="2"/>
      <c r="X324" s="2"/>
      <c r="Y324" s="2"/>
      <c r="AA324" s="1443"/>
      <c r="AB324" s="1443"/>
      <c r="AC324" s="1443"/>
      <c r="AD324" s="1443"/>
      <c r="AE324" s="1443"/>
      <c r="AF324" s="1443"/>
      <c r="AG324" s="2"/>
      <c r="AH324" s="2"/>
      <c r="AI324" s="68"/>
      <c r="AJ324" s="68"/>
      <c r="AK324" s="68"/>
    </row>
    <row r="325" spans="2:37" ht="13.2" customHeight="1">
      <c r="B325" s="2" t="s">
        <v>1127</v>
      </c>
      <c r="C325" s="2"/>
      <c r="D325" s="2"/>
      <c r="E325" s="2"/>
      <c r="F325" s="2"/>
      <c r="G325" s="2"/>
      <c r="H325" s="1329"/>
      <c r="I325" s="1329"/>
      <c r="J325" s="1329"/>
      <c r="K325" s="1329"/>
      <c r="L325" s="1329"/>
      <c r="M325" s="1329"/>
      <c r="N325" s="1362"/>
      <c r="O325" s="1362"/>
      <c r="P325" s="1362"/>
      <c r="Q325" s="1362"/>
      <c r="R325" s="1362"/>
      <c r="S325" s="2"/>
      <c r="T325" s="2" t="s">
        <v>1127</v>
      </c>
      <c r="V325" s="2"/>
      <c r="W325" s="2"/>
      <c r="X325" s="2"/>
      <c r="Y325" s="2"/>
      <c r="AA325" s="1329" t="s">
        <v>1168</v>
      </c>
      <c r="AB325" s="1329"/>
      <c r="AC325" s="1329"/>
      <c r="AD325" s="1329"/>
      <c r="AE325" s="1329"/>
      <c r="AF325" s="1329"/>
      <c r="AG325" s="1362"/>
      <c r="AH325" s="1362"/>
      <c r="AI325" s="1362"/>
      <c r="AJ325" s="1362"/>
      <c r="AK325" s="1362"/>
    </row>
    <row r="326" spans="2:37" ht="13.2" customHeight="1">
      <c r="B326" s="2"/>
      <c r="C326" s="2"/>
      <c r="D326" s="2"/>
      <c r="E326" s="2"/>
      <c r="F326" s="2"/>
      <c r="G326" s="2"/>
      <c r="P326" s="1045"/>
      <c r="Q326" s="1045"/>
      <c r="R326" s="1045"/>
      <c r="S326" s="1045"/>
      <c r="T326" s="1045"/>
      <c r="U326" s="1045"/>
      <c r="V326" s="2"/>
      <c r="W326" s="2"/>
      <c r="X326" s="68"/>
      <c r="Y326" s="68"/>
      <c r="Z326" s="68"/>
    </row>
    <row r="327" spans="2:37" ht="13.2" customHeight="1">
      <c r="B327" s="2" t="s">
        <v>1169</v>
      </c>
      <c r="C327" s="2"/>
      <c r="D327" s="2"/>
      <c r="E327" s="2"/>
      <c r="F327" s="2"/>
      <c r="H327" s="1362" t="s">
        <v>1151</v>
      </c>
      <c r="I327" s="1362"/>
      <c r="J327" s="1362"/>
      <c r="K327" s="1362"/>
      <c r="L327" s="1362"/>
      <c r="M327" s="1362"/>
      <c r="N327" s="1362"/>
      <c r="O327" s="1362"/>
      <c r="P327" s="1362"/>
      <c r="Q327" s="1362"/>
      <c r="R327" s="1362"/>
      <c r="T327" s="2" t="s">
        <v>1170</v>
      </c>
      <c r="V327" s="2"/>
      <c r="W327" s="2"/>
      <c r="X327" s="2"/>
      <c r="Y327" s="2"/>
      <c r="AA327" s="1362"/>
      <c r="AB327" s="1362"/>
      <c r="AC327" s="1362"/>
      <c r="AD327" s="1362"/>
      <c r="AE327" s="1362"/>
      <c r="AF327" s="1362"/>
      <c r="AG327" s="1362"/>
      <c r="AH327" s="1362"/>
      <c r="AI327" s="1362"/>
      <c r="AJ327" s="1362"/>
      <c r="AK327" s="1362"/>
    </row>
    <row r="328" spans="2:37" ht="13.2" customHeight="1">
      <c r="B328" s="2" t="s">
        <v>1121</v>
      </c>
      <c r="C328" s="2"/>
      <c r="D328" s="2"/>
      <c r="E328" s="2"/>
      <c r="F328" s="2"/>
      <c r="H328" s="1329" t="s">
        <v>1154</v>
      </c>
      <c r="I328" s="1329"/>
      <c r="J328" s="1329"/>
      <c r="K328" s="1329"/>
      <c r="L328" s="1329"/>
      <c r="M328" s="1329"/>
      <c r="N328" s="1329"/>
      <c r="O328" s="1329"/>
      <c r="P328" s="1329"/>
      <c r="Q328" s="1329"/>
      <c r="R328" s="1329"/>
      <c r="T328" s="2" t="s">
        <v>1121</v>
      </c>
      <c r="V328" s="2"/>
      <c r="W328" s="2"/>
      <c r="X328" s="2"/>
      <c r="Y328" s="2"/>
      <c r="AA328" s="1329"/>
      <c r="AB328" s="1329"/>
      <c r="AC328" s="1329"/>
      <c r="AD328" s="1329"/>
      <c r="AE328" s="1329"/>
      <c r="AF328" s="1329"/>
      <c r="AG328" s="1329"/>
      <c r="AH328" s="1329"/>
      <c r="AI328" s="1329"/>
      <c r="AJ328" s="1329"/>
      <c r="AK328" s="1329"/>
    </row>
    <row r="329" spans="2:37" ht="13.2" customHeight="1">
      <c r="B329" s="2" t="s">
        <v>1123</v>
      </c>
      <c r="C329" s="2"/>
      <c r="D329" s="2"/>
      <c r="E329" s="2"/>
      <c r="F329" s="2"/>
      <c r="H329" s="1329" t="s">
        <v>1156</v>
      </c>
      <c r="I329" s="1329"/>
      <c r="J329" s="1329"/>
      <c r="K329" s="1329"/>
      <c r="L329" s="1329"/>
      <c r="M329" s="1329"/>
      <c r="N329" s="1329"/>
      <c r="O329" s="1329"/>
      <c r="P329" s="1329"/>
      <c r="Q329" s="1329"/>
      <c r="R329" s="1329"/>
      <c r="T329" s="2" t="s">
        <v>1125</v>
      </c>
      <c r="V329" s="2"/>
      <c r="W329" s="2"/>
      <c r="X329" s="2"/>
      <c r="Y329" s="2"/>
      <c r="AA329" s="1329"/>
      <c r="AB329" s="1329"/>
      <c r="AC329" s="1329"/>
      <c r="AD329" s="1329"/>
      <c r="AE329" s="1329"/>
      <c r="AF329" s="1329"/>
      <c r="AG329" s="1329"/>
      <c r="AH329" s="1329"/>
      <c r="AI329" s="1329"/>
      <c r="AJ329" s="1329"/>
      <c r="AK329" s="1329"/>
    </row>
    <row r="330" spans="2:37" ht="13.2" customHeight="1">
      <c r="B330" s="2" t="s">
        <v>1067</v>
      </c>
      <c r="C330" s="2"/>
      <c r="D330" s="2"/>
      <c r="E330" s="2"/>
      <c r="F330" s="2"/>
      <c r="H330" s="1329" t="s">
        <v>1166</v>
      </c>
      <c r="I330" s="1329"/>
      <c r="J330" s="1329"/>
      <c r="K330" s="1329"/>
      <c r="L330" s="1329"/>
      <c r="M330" s="1329"/>
      <c r="N330" s="1329"/>
      <c r="O330" s="1329"/>
      <c r="P330" s="1329"/>
      <c r="Q330" s="1329"/>
      <c r="R330" s="1329"/>
      <c r="T330" s="2" t="s">
        <v>1067</v>
      </c>
      <c r="V330" s="2"/>
      <c r="W330" s="2"/>
      <c r="X330" s="2"/>
      <c r="Y330" s="2"/>
      <c r="AA330" s="1329"/>
      <c r="AB330" s="1329"/>
      <c r="AC330" s="1329"/>
      <c r="AD330" s="1329"/>
      <c r="AE330" s="1329"/>
      <c r="AF330" s="1329"/>
      <c r="AG330" s="1329"/>
      <c r="AH330" s="1329"/>
      <c r="AI330" s="1329"/>
      <c r="AJ330" s="1329"/>
      <c r="AK330" s="1329"/>
    </row>
    <row r="331" spans="2:37" ht="13.2" customHeight="1">
      <c r="B331" s="2" t="s">
        <v>1068</v>
      </c>
      <c r="C331" s="2"/>
      <c r="D331" s="2"/>
      <c r="E331" s="2"/>
      <c r="F331" s="2"/>
      <c r="G331" s="2"/>
      <c r="H331" s="1493" t="s">
        <v>1167</v>
      </c>
      <c r="I331" s="1493"/>
      <c r="J331" s="1493"/>
      <c r="K331" s="1493"/>
      <c r="L331" s="1493"/>
      <c r="M331" s="1493"/>
      <c r="N331" s="2" t="s">
        <v>1070</v>
      </c>
      <c r="O331" s="2"/>
      <c r="P331" s="1472"/>
      <c r="Q331" s="1472"/>
      <c r="R331" s="1472"/>
      <c r="S331" s="2"/>
      <c r="T331" s="2" t="s">
        <v>1068</v>
      </c>
      <c r="V331" s="2"/>
      <c r="W331" s="2"/>
      <c r="X331" s="2"/>
      <c r="Y331" s="2"/>
      <c r="AA331" s="1493"/>
      <c r="AB331" s="1493"/>
      <c r="AC331" s="1493"/>
      <c r="AD331" s="1493"/>
      <c r="AE331" s="1493"/>
      <c r="AF331" s="1493"/>
      <c r="AG331" s="2" t="s">
        <v>1070</v>
      </c>
      <c r="AH331" s="2"/>
      <c r="AI331" s="1472"/>
      <c r="AJ331" s="1472"/>
      <c r="AK331" s="1472"/>
    </row>
    <row r="332" spans="2:37" ht="13.2" customHeight="1">
      <c r="B332" s="2" t="s">
        <v>1071</v>
      </c>
      <c r="C332" s="2"/>
      <c r="D332" s="2"/>
      <c r="E332" s="2"/>
      <c r="F332" s="2"/>
      <c r="G332" s="2"/>
      <c r="H332" s="1443"/>
      <c r="I332" s="1443"/>
      <c r="J332" s="1443"/>
      <c r="K332" s="1443"/>
      <c r="L332" s="1443"/>
      <c r="M332" s="1443"/>
      <c r="N332" s="2"/>
      <c r="O332" s="2"/>
      <c r="P332" s="68"/>
      <c r="Q332" s="68"/>
      <c r="R332" s="68"/>
      <c r="S332" s="2"/>
      <c r="T332" s="2" t="s">
        <v>1071</v>
      </c>
      <c r="V332" s="2"/>
      <c r="W332" s="2"/>
      <c r="X332" s="2"/>
      <c r="Y332" s="2"/>
      <c r="AA332" s="1443"/>
      <c r="AB332" s="1443"/>
      <c r="AC332" s="1443"/>
      <c r="AD332" s="1443"/>
      <c r="AE332" s="1443"/>
      <c r="AF332" s="1443"/>
      <c r="AG332" s="2"/>
      <c r="AH332" s="2"/>
      <c r="AI332" s="68"/>
      <c r="AJ332" s="68"/>
      <c r="AK332" s="68"/>
    </row>
    <row r="333" spans="2:37" ht="13.2" customHeight="1">
      <c r="B333" s="2" t="s">
        <v>1127</v>
      </c>
      <c r="C333" s="2"/>
      <c r="D333" s="2"/>
      <c r="E333" s="2"/>
      <c r="F333" s="2"/>
      <c r="G333" s="2"/>
      <c r="H333" s="1329" t="s">
        <v>1168</v>
      </c>
      <c r="I333" s="1329"/>
      <c r="J333" s="1329"/>
      <c r="K333" s="1329"/>
      <c r="L333" s="1329"/>
      <c r="M333" s="1329"/>
      <c r="N333" s="1362"/>
      <c r="O333" s="1362"/>
      <c r="P333" s="1362"/>
      <c r="Q333" s="1362"/>
      <c r="R333" s="1362"/>
      <c r="S333" s="2"/>
      <c r="T333" s="2" t="s">
        <v>1127</v>
      </c>
      <c r="V333" s="2"/>
      <c r="W333" s="2"/>
      <c r="X333" s="2"/>
      <c r="Y333" s="2"/>
      <c r="AA333" s="1329"/>
      <c r="AB333" s="1329"/>
      <c r="AC333" s="1329"/>
      <c r="AD333" s="1329"/>
      <c r="AE333" s="1329"/>
      <c r="AF333" s="1329"/>
      <c r="AG333" s="1362"/>
      <c r="AH333" s="1362"/>
      <c r="AI333" s="1362"/>
      <c r="AJ333" s="1362"/>
      <c r="AK333" s="1362"/>
    </row>
    <row r="334" spans="2:37" ht="13.2" customHeight="1">
      <c r="B334" s="2"/>
      <c r="C334" s="2"/>
      <c r="D334" s="2"/>
      <c r="E334" s="2"/>
      <c r="F334" s="2"/>
      <c r="G334" s="2"/>
      <c r="P334" s="1045"/>
      <c r="Q334" s="1045"/>
      <c r="R334" s="1045"/>
      <c r="S334" s="1045"/>
      <c r="T334" s="1045"/>
      <c r="U334" s="1045"/>
      <c r="V334" s="2"/>
      <c r="W334" s="2"/>
      <c r="X334" s="68"/>
      <c r="Y334" s="68"/>
      <c r="Z334" s="68"/>
    </row>
    <row r="335" spans="2:37" ht="13.2" customHeight="1">
      <c r="B335" s="2" t="s">
        <v>1171</v>
      </c>
      <c r="C335" s="2"/>
      <c r="D335" s="2"/>
      <c r="E335" s="2"/>
      <c r="F335" s="2"/>
      <c r="H335" s="1362" t="s">
        <v>1172</v>
      </c>
      <c r="I335" s="1362"/>
      <c r="J335" s="1362"/>
      <c r="K335" s="1362"/>
      <c r="L335" s="1362"/>
      <c r="M335" s="1362"/>
      <c r="N335" s="1362"/>
      <c r="O335" s="1362"/>
      <c r="P335" s="1362"/>
      <c r="Q335" s="1362"/>
      <c r="R335" s="1362"/>
      <c r="T335" s="113" t="s">
        <v>1173</v>
      </c>
      <c r="V335" s="2"/>
      <c r="W335" s="2"/>
      <c r="X335" s="2"/>
      <c r="Y335" s="2"/>
      <c r="AA335" s="1472" t="s">
        <v>1174</v>
      </c>
      <c r="AB335" s="1362"/>
      <c r="AC335" s="1362"/>
      <c r="AD335" s="1362"/>
      <c r="AE335" s="1362"/>
      <c r="AF335" s="1362"/>
      <c r="AG335" s="1362"/>
      <c r="AH335" s="1362"/>
      <c r="AI335" s="1362"/>
      <c r="AJ335" s="1362"/>
      <c r="AK335" s="1362"/>
    </row>
    <row r="336" spans="2:37" ht="13.2" customHeight="1">
      <c r="B336" s="2" t="s">
        <v>1121</v>
      </c>
      <c r="C336" s="2"/>
      <c r="D336" s="2"/>
      <c r="E336" s="2"/>
      <c r="F336" s="2"/>
      <c r="H336" s="1329" t="s">
        <v>1175</v>
      </c>
      <c r="I336" s="1329"/>
      <c r="J336" s="1329"/>
      <c r="K336" s="1329"/>
      <c r="L336" s="1329"/>
      <c r="M336" s="1329"/>
      <c r="N336" s="1329"/>
      <c r="O336" s="1329"/>
      <c r="P336" s="1329"/>
      <c r="Q336" s="1329"/>
      <c r="R336" s="1329"/>
      <c r="T336" s="2" t="s">
        <v>1121</v>
      </c>
      <c r="V336" s="2"/>
      <c r="W336" s="2"/>
      <c r="X336" s="2"/>
      <c r="Y336" s="2"/>
      <c r="AA336" s="1427" t="s">
        <v>1176</v>
      </c>
      <c r="AB336" s="1329"/>
      <c r="AC336" s="1329"/>
      <c r="AD336" s="1329"/>
      <c r="AE336" s="1329"/>
      <c r="AF336" s="1329"/>
      <c r="AG336" s="1329"/>
      <c r="AH336" s="1329"/>
      <c r="AI336" s="1329"/>
      <c r="AJ336" s="1329"/>
      <c r="AK336" s="1329"/>
    </row>
    <row r="337" spans="1:66" ht="13.2" customHeight="1">
      <c r="B337" s="2" t="s">
        <v>1125</v>
      </c>
      <c r="C337" s="2"/>
      <c r="D337" s="2"/>
      <c r="E337" s="2"/>
      <c r="F337" s="2"/>
      <c r="H337" s="1329" t="s">
        <v>1177</v>
      </c>
      <c r="I337" s="1329"/>
      <c r="J337" s="1329"/>
      <c r="K337" s="1329"/>
      <c r="L337" s="1329"/>
      <c r="M337" s="1329"/>
      <c r="N337" s="1329"/>
      <c r="O337" s="1329"/>
      <c r="P337" s="1329"/>
      <c r="Q337" s="1329"/>
      <c r="R337" s="1329"/>
      <c r="T337" s="2" t="s">
        <v>1125</v>
      </c>
      <c r="V337" s="2"/>
      <c r="W337" s="2"/>
      <c r="X337" s="2"/>
      <c r="Y337" s="2"/>
      <c r="AA337" s="1427" t="s">
        <v>1178</v>
      </c>
      <c r="AB337" s="1329"/>
      <c r="AC337" s="1329"/>
      <c r="AD337" s="1329"/>
      <c r="AE337" s="1329"/>
      <c r="AF337" s="1329"/>
      <c r="AG337" s="1329"/>
      <c r="AH337" s="1329"/>
      <c r="AI337" s="1329"/>
      <c r="AJ337" s="1329"/>
      <c r="AK337" s="1329"/>
    </row>
    <row r="338" spans="1:66" ht="13.2" customHeight="1">
      <c r="B338" s="2" t="s">
        <v>1067</v>
      </c>
      <c r="C338" s="2"/>
      <c r="D338" s="2"/>
      <c r="E338" s="2"/>
      <c r="F338" s="2"/>
      <c r="G338" s="2"/>
      <c r="H338" s="1329" t="s">
        <v>1179</v>
      </c>
      <c r="I338" s="1329"/>
      <c r="J338" s="1329"/>
      <c r="K338" s="1329"/>
      <c r="L338" s="1329"/>
      <c r="M338" s="1329"/>
      <c r="N338" s="1329"/>
      <c r="O338" s="1329"/>
      <c r="P338" s="1329"/>
      <c r="Q338" s="1329"/>
      <c r="R338" s="1329"/>
      <c r="T338" s="2" t="s">
        <v>1067</v>
      </c>
      <c r="V338" s="2"/>
      <c r="W338" s="2"/>
      <c r="X338" s="2"/>
      <c r="Y338" s="2"/>
      <c r="AA338" s="1427" t="s">
        <v>1180</v>
      </c>
      <c r="AB338" s="1329"/>
      <c r="AC338" s="1329"/>
      <c r="AD338" s="1329"/>
      <c r="AE338" s="1329"/>
      <c r="AF338" s="1329"/>
      <c r="AG338" s="1329"/>
      <c r="AH338" s="1329"/>
      <c r="AI338" s="1329"/>
      <c r="AJ338" s="1329"/>
      <c r="AK338" s="1329"/>
    </row>
    <row r="339" spans="1:66" ht="13.2" customHeight="1">
      <c r="B339" s="2" t="s">
        <v>1068</v>
      </c>
      <c r="C339" s="2"/>
      <c r="D339" s="2"/>
      <c r="E339" s="2"/>
      <c r="F339" s="2"/>
      <c r="G339" s="2"/>
      <c r="H339" s="1493" t="s">
        <v>1181</v>
      </c>
      <c r="I339" s="1493"/>
      <c r="J339" s="1493"/>
      <c r="K339" s="1493"/>
      <c r="L339" s="1493"/>
      <c r="M339" s="1493"/>
      <c r="N339" s="2" t="s">
        <v>1070</v>
      </c>
      <c r="O339" s="2"/>
      <c r="P339" s="1472"/>
      <c r="Q339" s="1472"/>
      <c r="R339" s="1472"/>
      <c r="S339" s="2"/>
      <c r="T339" s="2" t="s">
        <v>1068</v>
      </c>
      <c r="V339" s="2"/>
      <c r="W339" s="2"/>
      <c r="X339" s="2"/>
      <c r="Y339" s="2"/>
      <c r="AA339" s="1493" t="s">
        <v>1182</v>
      </c>
      <c r="AB339" s="1493"/>
      <c r="AC339" s="1493"/>
      <c r="AD339" s="1493"/>
      <c r="AE339" s="1493"/>
      <c r="AF339" s="1493"/>
      <c r="AG339" s="2" t="s">
        <v>1070</v>
      </c>
      <c r="AH339" s="2"/>
      <c r="AI339" s="1472"/>
      <c r="AJ339" s="1472"/>
      <c r="AK339" s="1472"/>
    </row>
    <row r="340" spans="1:66" ht="13.2" customHeight="1">
      <c r="B340" s="2" t="s">
        <v>1071</v>
      </c>
      <c r="C340" s="2"/>
      <c r="D340" s="2"/>
      <c r="E340" s="2"/>
      <c r="F340" s="2"/>
      <c r="G340" s="2"/>
      <c r="H340" s="1443" t="s">
        <v>1183</v>
      </c>
      <c r="I340" s="1443"/>
      <c r="J340" s="1443"/>
      <c r="K340" s="1443"/>
      <c r="L340" s="1443"/>
      <c r="M340" s="1443"/>
      <c r="N340" s="2"/>
      <c r="O340" s="2"/>
      <c r="P340" s="68"/>
      <c r="Q340" s="68"/>
      <c r="R340" s="68"/>
      <c r="S340" s="2"/>
      <c r="T340" s="2" t="s">
        <v>1071</v>
      </c>
      <c r="V340" s="2"/>
      <c r="W340" s="2"/>
      <c r="X340" s="2"/>
      <c r="Y340" s="2"/>
      <c r="AA340" s="1443"/>
      <c r="AB340" s="1443"/>
      <c r="AC340" s="1443"/>
      <c r="AD340" s="1443"/>
      <c r="AE340" s="1443"/>
      <c r="AF340" s="1443"/>
      <c r="AG340" s="2"/>
      <c r="AH340" s="2"/>
      <c r="AI340" s="68"/>
      <c r="AJ340" s="68"/>
      <c r="AK340" s="68"/>
    </row>
    <row r="341" spans="1:66" ht="13.2" customHeight="1">
      <c r="B341" s="2" t="s">
        <v>1127</v>
      </c>
      <c r="C341" s="2"/>
      <c r="D341" s="2"/>
      <c r="E341" s="2"/>
      <c r="F341" s="2"/>
      <c r="G341" s="2"/>
      <c r="H341" s="1329" t="s">
        <v>1184</v>
      </c>
      <c r="I341" s="1329"/>
      <c r="J341" s="1329"/>
      <c r="K341" s="1329"/>
      <c r="L341" s="1329"/>
      <c r="M341" s="1329"/>
      <c r="N341" s="1362"/>
      <c r="O341" s="1362"/>
      <c r="P341" s="1362"/>
      <c r="Q341" s="1362"/>
      <c r="R341" s="1362"/>
      <c r="S341" s="2"/>
      <c r="T341" s="2" t="s">
        <v>1127</v>
      </c>
      <c r="V341" s="2"/>
      <c r="W341" s="2"/>
      <c r="X341" s="2"/>
      <c r="Y341" s="2"/>
      <c r="AA341" s="1427" t="s">
        <v>1185</v>
      </c>
      <c r="AB341" s="1329"/>
      <c r="AC341" s="1329"/>
      <c r="AD341" s="1329"/>
      <c r="AE341" s="1329"/>
      <c r="AF341" s="1329"/>
      <c r="AG341" s="1362"/>
      <c r="AH341" s="1362"/>
      <c r="AI341" s="1362"/>
      <c r="AJ341" s="1362"/>
      <c r="AK341" s="1362"/>
    </row>
    <row r="342" spans="1:66" ht="13.2"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810</v>
      </c>
    </row>
    <row r="343" spans="1:66" ht="13.2" customHeight="1">
      <c r="B343" s="2"/>
      <c r="C343" s="2"/>
      <c r="D343" s="2"/>
      <c r="E343" s="2"/>
      <c r="F343" s="2"/>
      <c r="I343" s="113" t="s">
        <v>1186</v>
      </c>
      <c r="P343" s="1362"/>
      <c r="Q343" s="1362"/>
      <c r="R343" s="1362"/>
      <c r="S343" s="1362"/>
      <c r="T343" s="1362"/>
      <c r="U343" s="1362"/>
      <c r="V343" s="1362"/>
      <c r="W343" s="1362"/>
      <c r="X343" s="1362"/>
      <c r="Y343" s="1362"/>
      <c r="Z343" s="1362"/>
      <c r="AA343" s="1362"/>
      <c r="AB343" s="1362"/>
      <c r="AC343" s="1362"/>
      <c r="AD343" s="1362"/>
      <c r="AE343" s="1362"/>
      <c r="BN343" t="s">
        <v>844</v>
      </c>
    </row>
    <row r="344" spans="1:66" ht="13.2" customHeight="1">
      <c r="B344" s="2"/>
      <c r="C344" s="2"/>
      <c r="D344" s="2"/>
      <c r="E344" s="2"/>
      <c r="F344" s="2"/>
      <c r="I344" s="2" t="s">
        <v>1121</v>
      </c>
      <c r="P344" s="1329"/>
      <c r="Q344" s="1329"/>
      <c r="R344" s="1329"/>
      <c r="S344" s="1329"/>
      <c r="T344" s="1329"/>
      <c r="U344" s="1329"/>
      <c r="V344" s="1329"/>
      <c r="W344" s="1329"/>
      <c r="X344" s="1329"/>
      <c r="Y344" s="1329"/>
      <c r="Z344" s="1329"/>
      <c r="AA344" s="1329"/>
      <c r="AB344" s="1329"/>
      <c r="AC344" s="1329"/>
      <c r="AD344" s="1329"/>
      <c r="AE344" s="1329"/>
      <c r="BN344" t="s">
        <v>694</v>
      </c>
    </row>
    <row r="345" spans="1:66" ht="13.2" customHeight="1">
      <c r="B345" s="2"/>
      <c r="C345" s="2"/>
      <c r="D345" s="2"/>
      <c r="E345" s="2"/>
      <c r="F345" s="2"/>
      <c r="I345" s="2" t="s">
        <v>1125</v>
      </c>
      <c r="P345" s="1329"/>
      <c r="Q345" s="1329"/>
      <c r="R345" s="1329"/>
      <c r="S345" s="1329"/>
      <c r="T345" s="1329"/>
      <c r="U345" s="1329"/>
      <c r="V345" s="1329"/>
      <c r="W345" s="1329"/>
      <c r="X345" s="1329"/>
      <c r="Y345" s="1329"/>
      <c r="Z345" s="1329"/>
      <c r="AA345" s="1329"/>
      <c r="AB345" s="1329"/>
      <c r="AC345" s="1329"/>
      <c r="AD345" s="1329"/>
      <c r="AE345" s="1329"/>
    </row>
    <row r="346" spans="1:66" ht="13.2" customHeight="1">
      <c r="B346" s="2"/>
      <c r="C346" s="2"/>
      <c r="D346" s="2"/>
      <c r="E346" s="2"/>
      <c r="F346" s="2"/>
      <c r="G346" s="2"/>
      <c r="I346" s="2" t="s">
        <v>1067</v>
      </c>
      <c r="P346" s="1329"/>
      <c r="Q346" s="1329"/>
      <c r="R346" s="1329"/>
      <c r="S346" s="1329"/>
      <c r="T346" s="1329"/>
      <c r="U346" s="1329"/>
      <c r="V346" s="1329"/>
      <c r="W346" s="1329"/>
      <c r="X346" s="1329"/>
      <c r="Y346" s="1329"/>
      <c r="Z346" s="1329"/>
      <c r="AA346" s="1329"/>
      <c r="AB346" s="1329"/>
      <c r="AC346" s="1329"/>
      <c r="AD346" s="1329"/>
      <c r="AE346" s="1329"/>
    </row>
    <row r="347" spans="1:66" ht="13.2" customHeight="1">
      <c r="B347" s="2"/>
      <c r="C347" s="2"/>
      <c r="D347" s="2"/>
      <c r="E347" s="2"/>
      <c r="F347" s="2"/>
      <c r="G347" s="2"/>
      <c r="H347" s="1046"/>
      <c r="I347" s="2" t="s">
        <v>1068</v>
      </c>
      <c r="P347" s="1443"/>
      <c r="Q347" s="1443"/>
      <c r="R347" s="1443"/>
      <c r="S347" s="1443"/>
      <c r="T347" s="1443"/>
      <c r="U347" s="1443"/>
      <c r="V347" s="1443"/>
      <c r="W347" s="1443"/>
      <c r="X347" s="1443"/>
      <c r="Y347" s="1443"/>
      <c r="Z347" s="1443"/>
      <c r="AA347" s="2" t="s">
        <v>1070</v>
      </c>
      <c r="AB347" s="2"/>
      <c r="AC347" s="1427"/>
      <c r="AD347" s="1427"/>
      <c r="AE347" s="1427"/>
      <c r="AF347" s="1046"/>
      <c r="AG347" s="2"/>
      <c r="AH347" s="2"/>
      <c r="AI347" s="2"/>
      <c r="AJ347" s="2"/>
      <c r="AK347" s="2"/>
    </row>
    <row r="348" spans="1:66" ht="13.2" customHeight="1">
      <c r="B348" s="2"/>
      <c r="C348" s="2"/>
      <c r="D348" s="2"/>
      <c r="E348" s="2"/>
      <c r="F348" s="2"/>
      <c r="G348" s="2"/>
      <c r="H348" s="1046"/>
      <c r="I348" s="2" t="s">
        <v>1071</v>
      </c>
      <c r="P348" s="1443"/>
      <c r="Q348" s="1443"/>
      <c r="R348" s="1443"/>
      <c r="S348" s="1443"/>
      <c r="T348" s="1443"/>
      <c r="U348" s="1443"/>
      <c r="V348" s="1443"/>
      <c r="W348" s="1443"/>
      <c r="X348" s="1443"/>
      <c r="Y348" s="1443"/>
      <c r="Z348" s="1443"/>
      <c r="AF348" s="1046"/>
      <c r="AG348" s="2"/>
      <c r="AH348" s="2"/>
      <c r="AI348" s="68"/>
      <c r="AJ348" s="68"/>
      <c r="AK348" s="68"/>
    </row>
    <row r="349" spans="1:66" ht="13.2" customHeight="1">
      <c r="B349" s="2"/>
      <c r="C349" s="2"/>
      <c r="D349" s="2"/>
      <c r="E349" s="2"/>
      <c r="F349" s="2"/>
      <c r="G349" s="2"/>
      <c r="I349" s="2" t="s">
        <v>1127</v>
      </c>
      <c r="P349" s="1362"/>
      <c r="Q349" s="1362"/>
      <c r="R349" s="1362"/>
      <c r="S349" s="1362"/>
      <c r="T349" s="1362"/>
      <c r="U349" s="1362"/>
      <c r="V349" s="1362"/>
      <c r="W349" s="1362"/>
      <c r="X349" s="1362"/>
      <c r="Y349" s="1362"/>
      <c r="Z349" s="1362"/>
      <c r="AA349" s="1362"/>
      <c r="AB349" s="1362"/>
      <c r="AC349" s="1362"/>
      <c r="AD349" s="1362"/>
      <c r="AE349" s="1362"/>
    </row>
    <row r="350" spans="1:66" ht="13.2" customHeight="1">
      <c r="T350" s="6"/>
      <c r="U350" s="6"/>
      <c r="V350" s="6"/>
      <c r="W350" s="6"/>
      <c r="X350" s="6"/>
      <c r="Y350" s="6"/>
      <c r="Z350" s="6"/>
      <c r="AU350" s="54"/>
      <c r="AV350" s="54"/>
      <c r="AW350" s="54"/>
      <c r="AX350" s="54"/>
      <c r="AY350" s="54"/>
    </row>
    <row r="351" spans="1:66" ht="13.2" customHeight="1">
      <c r="A351" s="1486" t="s">
        <v>1187</v>
      </c>
      <c r="B351" s="1486"/>
      <c r="C351" s="1486"/>
      <c r="D351" s="1486"/>
      <c r="E351" s="1486"/>
      <c r="F351" s="1486"/>
      <c r="G351" s="1486"/>
      <c r="H351" s="1486"/>
      <c r="I351" s="1486"/>
      <c r="J351" s="1486"/>
      <c r="K351" s="1486"/>
      <c r="L351" s="1486"/>
      <c r="M351" s="1486"/>
      <c r="N351" s="1486"/>
      <c r="O351" s="1486"/>
      <c r="P351" s="1486"/>
      <c r="Q351" s="1486"/>
      <c r="R351" s="1486"/>
      <c r="S351" s="1486"/>
      <c r="T351" s="1486"/>
      <c r="U351" s="1486"/>
      <c r="V351" s="1486"/>
      <c r="W351" s="1486"/>
      <c r="X351" s="1486"/>
      <c r="Y351" s="1486"/>
      <c r="Z351" s="1486"/>
      <c r="AA351" s="1486"/>
      <c r="AB351" s="1486"/>
      <c r="AC351" s="1486"/>
      <c r="AD351" s="1486"/>
      <c r="AE351" s="1486"/>
      <c r="AF351" s="1486"/>
      <c r="AG351" s="1486"/>
      <c r="AH351" s="1486"/>
      <c r="AI351" s="1486"/>
      <c r="AJ351" s="1486"/>
      <c r="AK351" s="1486"/>
      <c r="AL351" s="1486"/>
      <c r="AM351" s="1486"/>
      <c r="AN351" s="1486"/>
      <c r="AO351" s="1486"/>
      <c r="AP351" s="1486"/>
      <c r="AQ351" s="1486"/>
      <c r="AR351" s="1486"/>
      <c r="AS351" s="1486"/>
      <c r="AT351" s="1486"/>
      <c r="AU351" s="54"/>
      <c r="AV351" s="54"/>
      <c r="AW351" s="54"/>
      <c r="AX351" s="54"/>
      <c r="AY351" s="54"/>
    </row>
    <row r="352" spans="1:66" ht="13.2" customHeight="1">
      <c r="A352" s="1486"/>
      <c r="B352" s="1486"/>
      <c r="C352" s="1486"/>
      <c r="D352" s="1486"/>
      <c r="E352" s="1486"/>
      <c r="F352" s="1486"/>
      <c r="G352" s="1486"/>
      <c r="H352" s="1486"/>
      <c r="I352" s="1486"/>
      <c r="J352" s="1486"/>
      <c r="K352" s="1486"/>
      <c r="L352" s="1486"/>
      <c r="M352" s="1486"/>
      <c r="N352" s="1486"/>
      <c r="O352" s="1486"/>
      <c r="P352" s="1486"/>
      <c r="Q352" s="1486"/>
      <c r="R352" s="1486"/>
      <c r="S352" s="1486"/>
      <c r="T352" s="1486"/>
      <c r="U352" s="1486"/>
      <c r="V352" s="1486"/>
      <c r="W352" s="1486"/>
      <c r="X352" s="1486"/>
      <c r="Y352" s="1486"/>
      <c r="Z352" s="1486"/>
      <c r="AA352" s="1486"/>
      <c r="AB352" s="1486"/>
      <c r="AC352" s="1486"/>
      <c r="AD352" s="1486"/>
      <c r="AE352" s="1486"/>
      <c r="AF352" s="1486"/>
      <c r="AG352" s="1486"/>
      <c r="AH352" s="1486"/>
      <c r="AI352" s="1486"/>
      <c r="AJ352" s="1486"/>
      <c r="AK352" s="1486"/>
      <c r="AL352" s="1486"/>
      <c r="AM352" s="1486"/>
      <c r="AN352" s="1486"/>
      <c r="AO352" s="1486"/>
      <c r="AP352" s="1486"/>
      <c r="AQ352" s="1486"/>
      <c r="AR352" s="1486"/>
      <c r="AS352" s="1486"/>
      <c r="AT352" s="1486"/>
      <c r="AU352" s="19"/>
      <c r="AV352" s="19"/>
      <c r="AW352" s="19"/>
      <c r="AX352" s="19"/>
      <c r="AY352" s="19"/>
    </row>
    <row r="353" spans="1:46" ht="13.2"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3.2" customHeight="1">
      <c r="A354" s="1" t="s">
        <v>871</v>
      </c>
      <c r="B354" s="1"/>
      <c r="C354" s="1" t="s">
        <v>1188</v>
      </c>
    </row>
    <row r="355" spans="1:46" ht="13.2" customHeight="1">
      <c r="D355" s="2" t="s">
        <v>686</v>
      </c>
      <c r="M355" s="1370" t="s">
        <v>694</v>
      </c>
      <c r="N355" s="1370"/>
      <c r="P355" t="s">
        <v>1189</v>
      </c>
      <c r="AJ355" s="1370" t="s">
        <v>694</v>
      </c>
      <c r="AK355" s="1370"/>
    </row>
    <row r="356" spans="1:46" ht="13.2" customHeight="1">
      <c r="D356" s="2" t="s">
        <v>684</v>
      </c>
      <c r="M356" s="1370" t="s">
        <v>810</v>
      </c>
      <c r="N356" s="1370"/>
      <c r="P356" s="2" t="s">
        <v>1190</v>
      </c>
      <c r="AJ356" s="1340">
        <v>0</v>
      </c>
      <c r="AK356" s="1340"/>
    </row>
    <row r="357" spans="1:46" ht="13.2" customHeight="1">
      <c r="D357" s="2" t="s">
        <v>1191</v>
      </c>
      <c r="M357" s="1370" t="s">
        <v>810</v>
      </c>
      <c r="N357" s="1370"/>
      <c r="P357" t="s">
        <v>1192</v>
      </c>
      <c r="AJ357" s="1370" t="s">
        <v>810</v>
      </c>
      <c r="AK357" s="1370"/>
    </row>
    <row r="358" spans="1:46" ht="13.2" customHeight="1">
      <c r="D358" s="2" t="s">
        <v>1193</v>
      </c>
      <c r="M358" s="1370" t="s">
        <v>810</v>
      </c>
      <c r="N358" s="1370"/>
      <c r="Q358" s="2"/>
    </row>
    <row r="359" spans="1:46" ht="13.2" customHeight="1">
      <c r="Q359" s="2"/>
    </row>
    <row r="360" spans="1:46" ht="13.2" customHeight="1">
      <c r="Q360" s="2"/>
    </row>
    <row r="361" spans="1:46" ht="13.2" customHeight="1">
      <c r="A361" s="1" t="s">
        <v>912</v>
      </c>
      <c r="B361" s="1"/>
      <c r="C361" s="1" t="s">
        <v>1194</v>
      </c>
      <c r="D361" s="1"/>
    </row>
    <row r="362" spans="1:46" ht="13.2" customHeight="1">
      <c r="D362" s="28" t="s">
        <v>1195</v>
      </c>
      <c r="E362" s="1169"/>
      <c r="F362" s="1169"/>
      <c r="G362" s="1169"/>
      <c r="H362" s="1169"/>
      <c r="I362" s="1169"/>
      <c r="J362" s="1169"/>
      <c r="K362" s="1169"/>
      <c r="L362" s="1169"/>
      <c r="M362" s="1169"/>
      <c r="N362" s="1169"/>
      <c r="O362" s="1169"/>
      <c r="P362" s="1169"/>
      <c r="Q362" s="1169"/>
      <c r="R362" s="1169"/>
      <c r="S362" s="1169"/>
      <c r="T362" s="1169"/>
      <c r="U362" s="1169"/>
      <c r="V362" s="1169"/>
      <c r="W362" s="1169"/>
      <c r="X362" s="1169"/>
      <c r="Y362" s="1169"/>
      <c r="Z362" s="1169"/>
      <c r="AA362" s="1169"/>
      <c r="AB362" s="1169"/>
      <c r="AC362" s="1169"/>
      <c r="AD362" s="1169"/>
      <c r="AE362" s="1169"/>
    </row>
    <row r="363" spans="1:46" ht="13.2" customHeight="1">
      <c r="D363" s="28" t="s">
        <v>1196</v>
      </c>
      <c r="E363" s="1169"/>
      <c r="F363" s="1169"/>
      <c r="G363" s="1169"/>
      <c r="H363" s="1169"/>
      <c r="I363" s="1169"/>
      <c r="J363" s="1169"/>
      <c r="K363" s="1169"/>
      <c r="L363" s="1169"/>
      <c r="M363" s="1169"/>
      <c r="N363" s="1370" t="s">
        <v>810</v>
      </c>
      <c r="O363" s="1370"/>
      <c r="P363" s="1169"/>
      <c r="Q363" s="1169"/>
      <c r="R363" s="1169"/>
      <c r="S363" s="1169"/>
      <c r="T363" s="1169"/>
      <c r="U363" s="1169"/>
      <c r="V363" s="1169"/>
      <c r="W363" s="1169"/>
      <c r="X363" s="1169"/>
      <c r="Y363" s="1169"/>
      <c r="Z363" s="1169"/>
      <c r="AC363" s="1169"/>
      <c r="AD363" s="1169"/>
      <c r="AE363" s="1169"/>
    </row>
    <row r="364" spans="1:46" ht="13.2" customHeight="1">
      <c r="E364" t="s">
        <v>1197</v>
      </c>
      <c r="Y364" s="1370" t="s">
        <v>810</v>
      </c>
      <c r="Z364" s="1370"/>
    </row>
    <row r="365" spans="1:46" ht="13.2" customHeight="1">
      <c r="D365" s="2" t="s">
        <v>1198</v>
      </c>
      <c r="Q365" s="1362"/>
      <c r="R365" s="1362"/>
      <c r="S365" s="1362"/>
      <c r="T365" s="1362"/>
      <c r="U365" s="1362"/>
      <c r="V365" s="1362"/>
      <c r="W365" s="1362"/>
      <c r="X365" s="1362"/>
      <c r="Y365" s="1362"/>
      <c r="Z365" s="1362"/>
      <c r="AA365" s="1362"/>
      <c r="AB365" s="1362"/>
      <c r="AC365" s="1362"/>
      <c r="AD365" s="1362"/>
      <c r="AE365" s="1362"/>
      <c r="AF365" s="1362"/>
      <c r="AG365" s="1362"/>
    </row>
    <row r="366" spans="1:46" ht="13.2" customHeight="1">
      <c r="D366" t="s">
        <v>1199</v>
      </c>
      <c r="E366" s="1169"/>
      <c r="F366" s="1169"/>
      <c r="G366" s="1169"/>
      <c r="H366" s="1169"/>
      <c r="I366" s="1169"/>
      <c r="J366" s="1169"/>
      <c r="K366" s="1169"/>
      <c r="L366" s="1169"/>
      <c r="M366" s="1169"/>
      <c r="N366" s="1169"/>
      <c r="O366" s="1169"/>
      <c r="P366" s="1169"/>
      <c r="Q366" s="1169"/>
      <c r="R366" s="1169"/>
      <c r="S366" s="1169"/>
      <c r="T366" s="1169"/>
      <c r="U366" s="1169"/>
      <c r="V366" s="1169"/>
      <c r="W366" s="1169"/>
      <c r="X366" s="1169"/>
      <c r="Y366" s="1169"/>
      <c r="Z366" s="1169"/>
      <c r="AA366" s="1169"/>
      <c r="AB366" s="1169"/>
      <c r="AC366" s="1169"/>
      <c r="AD366" s="1169"/>
      <c r="AE366" s="1169"/>
    </row>
    <row r="367" spans="1:46" ht="13.2" customHeight="1">
      <c r="D367" t="s">
        <v>1200</v>
      </c>
      <c r="E367" s="1169"/>
      <c r="F367" s="1169"/>
      <c r="G367" s="1169"/>
      <c r="H367" s="1169"/>
      <c r="I367" s="1169"/>
      <c r="J367" s="1370" t="s">
        <v>810</v>
      </c>
      <c r="K367" s="1370"/>
      <c r="L367" s="1169"/>
      <c r="M367" s="1169"/>
      <c r="N367" s="1169"/>
      <c r="O367" s="1169"/>
      <c r="P367" s="1169"/>
      <c r="Q367" s="1169"/>
      <c r="R367" s="1169"/>
      <c r="S367" s="1169"/>
      <c r="T367" s="1169"/>
      <c r="U367" s="1169"/>
      <c r="V367" s="1169"/>
      <c r="W367" s="1169"/>
      <c r="X367" s="1169"/>
      <c r="Y367" s="1169"/>
      <c r="Z367" s="1169"/>
      <c r="AC367" s="1169"/>
      <c r="AD367" s="1169"/>
      <c r="AE367" s="1169"/>
    </row>
    <row r="368" spans="1:46" ht="13.2" customHeight="1">
      <c r="E368" s="1224" t="s">
        <v>1201</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3.2"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3.2" customHeight="1">
      <c r="E370" s="2" t="s">
        <v>1202</v>
      </c>
      <c r="F370" s="2"/>
      <c r="G370" s="2"/>
      <c r="H370" s="2"/>
      <c r="I370" s="2"/>
      <c r="J370" s="2"/>
      <c r="K370" s="2"/>
      <c r="L370" s="2"/>
      <c r="N370" s="1347"/>
      <c r="O370" s="1347"/>
      <c r="P370" s="1347"/>
      <c r="Q370" s="1347"/>
      <c r="R370" s="2"/>
      <c r="U370" s="2" t="s">
        <v>1203</v>
      </c>
      <c r="V370" s="2"/>
      <c r="W370" s="2"/>
      <c r="X370" s="2"/>
      <c r="Y370" s="2"/>
      <c r="Z370" s="2"/>
      <c r="AA370" s="2"/>
      <c r="AB370" s="2"/>
      <c r="AC370" s="1347"/>
      <c r="AD370" s="1347"/>
      <c r="AE370" s="1347"/>
      <c r="AF370" s="1347"/>
    </row>
    <row r="371" spans="1:34" ht="13.2" customHeight="1">
      <c r="E371" s="2" t="s">
        <v>1204</v>
      </c>
      <c r="F371" s="2"/>
      <c r="G371" s="2"/>
      <c r="H371" s="2"/>
      <c r="I371" s="2"/>
      <c r="J371" s="2"/>
      <c r="K371" s="2"/>
      <c r="L371" s="2"/>
      <c r="N371" s="1347"/>
      <c r="O371" s="1347"/>
      <c r="P371" s="1347"/>
      <c r="Q371" s="1347"/>
      <c r="R371" s="2"/>
      <c r="U371" s="2" t="s">
        <v>1205</v>
      </c>
      <c r="V371" s="2"/>
      <c r="W371" s="2"/>
      <c r="X371" s="2"/>
      <c r="Y371" s="2"/>
      <c r="Z371" s="2"/>
      <c r="AA371" s="2"/>
      <c r="AB371" s="2"/>
      <c r="AC371" s="1347"/>
      <c r="AD371" s="1347"/>
      <c r="AE371" s="1347"/>
      <c r="AF371" s="1347"/>
    </row>
    <row r="372" spans="1:34" ht="13.2" customHeight="1">
      <c r="E372" s="2" t="s">
        <v>1206</v>
      </c>
      <c r="F372" s="2"/>
      <c r="G372" s="2"/>
      <c r="H372" s="2"/>
      <c r="I372" s="2"/>
      <c r="J372" s="2"/>
      <c r="K372" s="2"/>
      <c r="L372" s="2"/>
      <c r="N372" s="1347"/>
      <c r="O372" s="1347"/>
      <c r="P372" s="1347"/>
      <c r="Q372" s="1347"/>
      <c r="R372" s="2"/>
      <c r="V372" s="2"/>
      <c r="W372" s="2"/>
      <c r="X372" s="2"/>
      <c r="Y372" s="2"/>
      <c r="Z372" s="2"/>
      <c r="AA372" s="2"/>
      <c r="AB372" s="2"/>
    </row>
    <row r="373" spans="1:34" ht="13.2" customHeight="1">
      <c r="E373" s="2" t="s">
        <v>1207</v>
      </c>
      <c r="F373" s="2"/>
      <c r="G373" s="2"/>
      <c r="H373" s="2"/>
      <c r="I373" s="2"/>
      <c r="J373" s="2"/>
      <c r="K373" s="2"/>
      <c r="L373" s="2"/>
      <c r="N373" s="1479"/>
      <c r="O373" s="1479"/>
      <c r="P373" s="1479"/>
      <c r="Q373" s="1479"/>
      <c r="R373" s="1479"/>
      <c r="S373" s="1479"/>
      <c r="T373" s="1479"/>
      <c r="U373" s="1479"/>
      <c r="V373" s="1479"/>
      <c r="W373" s="1479"/>
      <c r="X373" s="1479"/>
      <c r="Y373" s="1479"/>
      <c r="Z373" s="1479"/>
      <c r="AA373" s="1479"/>
      <c r="AB373" s="1479"/>
      <c r="AC373" s="1479"/>
      <c r="AD373" s="1479"/>
      <c r="AE373" s="1479"/>
      <c r="AF373" s="1479"/>
    </row>
    <row r="374" spans="1:34" ht="13.2" customHeight="1">
      <c r="E374" s="2"/>
      <c r="F374" s="2"/>
      <c r="G374" s="2"/>
      <c r="H374" s="2"/>
      <c r="I374" s="2"/>
      <c r="J374" s="2"/>
      <c r="K374" s="2"/>
      <c r="L374" s="2"/>
      <c r="N374" s="1480"/>
      <c r="O374" s="1480"/>
      <c r="P374" s="1480"/>
      <c r="Q374" s="1480"/>
      <c r="R374" s="1480"/>
      <c r="S374" s="1480"/>
      <c r="T374" s="1480"/>
      <c r="U374" s="1480"/>
      <c r="V374" s="1480"/>
      <c r="W374" s="1480"/>
      <c r="X374" s="1480"/>
      <c r="Y374" s="1480"/>
      <c r="Z374" s="1480"/>
      <c r="AA374" s="1480"/>
      <c r="AB374" s="1480"/>
      <c r="AC374" s="1480"/>
      <c r="AD374" s="1480"/>
      <c r="AE374" s="1480"/>
      <c r="AF374" s="1480"/>
    </row>
    <row r="375" spans="1:34" ht="13.2" customHeight="1">
      <c r="C375" s="363"/>
      <c r="E375" s="2"/>
      <c r="F375" s="2"/>
      <c r="G375" s="2"/>
      <c r="H375" s="2"/>
      <c r="I375" s="2"/>
      <c r="J375" s="2"/>
      <c r="K375" s="2"/>
      <c r="L375" s="2"/>
    </row>
    <row r="376" spans="1:34" ht="13.2" customHeight="1">
      <c r="D376" s="1" t="s">
        <v>1208</v>
      </c>
      <c r="E376" s="1"/>
      <c r="F376" s="2"/>
      <c r="G376" s="2"/>
      <c r="H376" s="2"/>
      <c r="I376" s="2"/>
      <c r="J376" s="2"/>
      <c r="K376" s="2"/>
      <c r="L376" s="2"/>
    </row>
    <row r="377" spans="1:34" ht="13.2" customHeight="1">
      <c r="E377" s="2" t="s">
        <v>1209</v>
      </c>
      <c r="F377" s="2"/>
      <c r="G377" s="2"/>
      <c r="H377" s="2"/>
      <c r="I377" s="2"/>
      <c r="J377" s="2"/>
      <c r="K377" s="2"/>
      <c r="L377" s="2"/>
      <c r="N377" t="s">
        <v>888</v>
      </c>
      <c r="R377" s="21" t="s">
        <v>889</v>
      </c>
      <c r="S377" s="1398"/>
      <c r="T377" s="1398"/>
      <c r="U377" s="1154" t="s">
        <v>890</v>
      </c>
      <c r="V377" s="1398"/>
      <c r="W377" s="1398"/>
      <c r="Y377" t="s">
        <v>888</v>
      </c>
      <c r="AC377" s="21" t="s">
        <v>889</v>
      </c>
      <c r="AD377" s="1398"/>
      <c r="AE377" s="1398"/>
      <c r="AF377" s="1154" t="s">
        <v>890</v>
      </c>
      <c r="AG377" s="1398"/>
      <c r="AH377" s="1398"/>
    </row>
    <row r="378" spans="1:34" ht="13.2" customHeight="1">
      <c r="E378" s="2" t="s">
        <v>1210</v>
      </c>
      <c r="F378" s="2"/>
      <c r="G378" s="2"/>
      <c r="H378" s="2"/>
      <c r="I378" s="2"/>
      <c r="J378" s="2"/>
      <c r="K378" s="2"/>
      <c r="L378" s="2"/>
      <c r="N378" s="1398"/>
      <c r="O378" s="1398"/>
      <c r="P378" s="1398"/>
    </row>
    <row r="379" spans="1:34" ht="13.2" customHeight="1">
      <c r="E379" s="113" t="s">
        <v>1211</v>
      </c>
      <c r="F379" s="2"/>
      <c r="G379" s="2"/>
      <c r="H379" s="2"/>
      <c r="I379" s="2"/>
      <c r="J379" s="2"/>
      <c r="K379" s="2"/>
      <c r="L379" s="2"/>
      <c r="AG379" s="1401" t="s">
        <v>810</v>
      </c>
      <c r="AH379" s="1401"/>
    </row>
    <row r="380" spans="1:34" ht="13.2" customHeight="1">
      <c r="E380" s="2"/>
      <c r="F380" s="2"/>
      <c r="G380" s="2" t="s">
        <v>1212</v>
      </c>
      <c r="H380" s="2"/>
      <c r="I380" s="2"/>
      <c r="J380" s="2"/>
      <c r="K380" s="2"/>
      <c r="L380" s="2"/>
      <c r="AG380" s="1401" t="s">
        <v>810</v>
      </c>
      <c r="AH380" s="1401"/>
    </row>
    <row r="381" spans="1:34" ht="13.2" customHeight="1">
      <c r="E381" s="2"/>
      <c r="F381" s="2"/>
      <c r="G381" s="199" t="s">
        <v>1213</v>
      </c>
      <c r="H381" s="2"/>
      <c r="I381" s="2"/>
      <c r="J381" s="2"/>
      <c r="K381" s="2"/>
      <c r="L381" s="2"/>
      <c r="V381" s="1370" t="s">
        <v>810</v>
      </c>
      <c r="W381" s="1370"/>
      <c r="Y381" s="17" t="s">
        <v>1214</v>
      </c>
    </row>
    <row r="382" spans="1:34" ht="13.2" customHeight="1">
      <c r="E382" s="2" t="s">
        <v>1215</v>
      </c>
      <c r="F382" s="2"/>
      <c r="G382" s="2"/>
      <c r="H382" s="2"/>
      <c r="I382" s="2"/>
      <c r="J382" s="2"/>
      <c r="K382" s="2"/>
      <c r="L382" s="2"/>
      <c r="V382" s="1370" t="s">
        <v>810</v>
      </c>
      <c r="W382" s="1370"/>
      <c r="Y382" s="2" t="s">
        <v>1216</v>
      </c>
    </row>
    <row r="383" spans="1:34" ht="13.2" customHeight="1"/>
    <row r="384" spans="1:34" ht="13.2" customHeight="1">
      <c r="A384" s="1" t="s">
        <v>1217</v>
      </c>
      <c r="B384" s="1"/>
    </row>
    <row r="385" spans="4:36" ht="13.2" customHeight="1">
      <c r="D385" t="s">
        <v>1218</v>
      </c>
      <c r="J385" s="1472" t="s">
        <v>1219</v>
      </c>
      <c r="K385" s="1362"/>
      <c r="L385" s="1362"/>
      <c r="M385" s="1362"/>
      <c r="N385" s="1362"/>
      <c r="O385" s="1362"/>
      <c r="P385" s="1362"/>
      <c r="Q385" s="1362"/>
      <c r="R385" s="1362"/>
      <c r="S385" s="1362"/>
      <c r="T385" s="1362"/>
      <c r="U385" s="1362"/>
      <c r="V385" s="6" t="s">
        <v>1220</v>
      </c>
      <c r="W385" s="6"/>
      <c r="X385" s="6"/>
      <c r="Y385" s="6"/>
      <c r="Z385" s="6"/>
      <c r="AA385" s="6"/>
      <c r="AB385" s="6"/>
      <c r="AC385" s="1472" t="s">
        <v>1097</v>
      </c>
      <c r="AD385" s="1362"/>
      <c r="AE385" s="1362"/>
      <c r="AF385" s="1362"/>
      <c r="AG385" s="1362"/>
      <c r="AH385" s="1362"/>
      <c r="AI385" s="1362"/>
      <c r="AJ385" s="1362"/>
    </row>
    <row r="386" spans="4:36" ht="13.2" customHeight="1">
      <c r="D386" s="2" t="s">
        <v>1221</v>
      </c>
      <c r="J386" s="1427" t="s">
        <v>1097</v>
      </c>
      <c r="K386" s="1329"/>
      <c r="L386" s="1329"/>
      <c r="M386" s="1329"/>
      <c r="N386" s="1329"/>
      <c r="O386" s="1329"/>
      <c r="P386" s="1329"/>
      <c r="Q386" s="1329"/>
      <c r="R386" s="1329"/>
      <c r="S386" s="1329"/>
      <c r="T386" s="1329"/>
      <c r="U386" s="1329"/>
      <c r="V386" s="2" t="s">
        <v>1221</v>
      </c>
      <c r="W386" s="6"/>
      <c r="X386" s="6"/>
      <c r="Y386" s="6"/>
      <c r="Z386" s="6"/>
      <c r="AA386" s="6"/>
      <c r="AB386" s="6"/>
      <c r="AC386" s="1472" t="s">
        <v>1097</v>
      </c>
      <c r="AD386" s="1362"/>
      <c r="AE386" s="1362"/>
      <c r="AF386" s="1362"/>
      <c r="AG386" s="1362"/>
      <c r="AH386" s="1362"/>
      <c r="AI386" s="1362"/>
      <c r="AJ386" s="1362"/>
    </row>
    <row r="387" spans="4:36" ht="13.2" customHeight="1">
      <c r="D387" s="2" t="s">
        <v>808</v>
      </c>
      <c r="J387" s="1427" t="s">
        <v>1222</v>
      </c>
      <c r="K387" s="1329"/>
      <c r="L387" s="1329"/>
      <c r="M387" s="1329"/>
      <c r="N387" s="1329"/>
      <c r="O387" s="1329"/>
      <c r="P387" s="1329"/>
      <c r="Q387" s="1329"/>
      <c r="R387" s="1329"/>
      <c r="S387" s="1329"/>
      <c r="T387" s="1329"/>
      <c r="U387" s="1329"/>
      <c r="V387" s="2" t="s">
        <v>808</v>
      </c>
      <c r="W387" s="6"/>
      <c r="X387" s="6"/>
      <c r="Y387" s="6"/>
      <c r="Z387" s="6"/>
      <c r="AA387" s="6"/>
      <c r="AB387" s="6"/>
      <c r="AC387" s="1472" t="s">
        <v>1222</v>
      </c>
      <c r="AD387" s="1362"/>
      <c r="AE387" s="1362"/>
      <c r="AF387" s="1362"/>
      <c r="AG387" s="1362"/>
      <c r="AH387" s="1362"/>
      <c r="AI387" s="1362"/>
      <c r="AJ387" s="1362"/>
    </row>
    <row r="388" spans="4:36" ht="13.2" customHeight="1">
      <c r="D388" t="s">
        <v>1223</v>
      </c>
      <c r="J388" s="1314" t="s">
        <v>1224</v>
      </c>
      <c r="K388" s="1382"/>
      <c r="L388" s="1382"/>
      <c r="M388" s="1382"/>
      <c r="N388" s="1382"/>
      <c r="O388" s="1382"/>
      <c r="P388" s="1382"/>
      <c r="Q388" s="1382"/>
      <c r="R388" s="1382"/>
      <c r="S388" s="1382"/>
      <c r="T388" s="1382"/>
      <c r="U388" s="1382"/>
      <c r="V388" s="1472" t="s">
        <v>1224</v>
      </c>
      <c r="W388" s="1362"/>
      <c r="X388" s="1362"/>
      <c r="Y388" s="1362"/>
      <c r="Z388" s="1362"/>
      <c r="AA388" s="1362"/>
      <c r="AB388" s="1362"/>
      <c r="AC388" s="1362"/>
      <c r="AD388" s="1362"/>
      <c r="AE388" s="1362"/>
      <c r="AF388" s="1362"/>
      <c r="AG388" s="1362"/>
      <c r="AH388" s="1362"/>
      <c r="AI388" s="1362"/>
      <c r="AJ388" s="1362"/>
    </row>
    <row r="389" spans="4:36" ht="13.2" customHeight="1">
      <c r="D389" t="s">
        <v>1225</v>
      </c>
      <c r="Q389" s="1475">
        <v>45793</v>
      </c>
      <c r="R389" s="1475"/>
      <c r="S389" s="1475"/>
      <c r="T389" s="1475"/>
      <c r="U389" s="1475"/>
      <c r="V389" t="s">
        <v>1226</v>
      </c>
      <c r="AI389" s="1370" t="s">
        <v>694</v>
      </c>
      <c r="AJ389" s="1370"/>
    </row>
    <row r="390" spans="4:36" ht="13.2" customHeight="1">
      <c r="D390" t="s">
        <v>1227</v>
      </c>
      <c r="Q390" s="1475">
        <v>46157</v>
      </c>
      <c r="R390" s="1476"/>
      <c r="S390" s="1476"/>
      <c r="T390" s="1476"/>
      <c r="U390" s="1476"/>
      <c r="W390" s="16" t="s">
        <v>1228</v>
      </c>
      <c r="AG390" s="1403"/>
      <c r="AH390" s="1403"/>
      <c r="AI390" s="1403"/>
      <c r="AJ390" s="1403"/>
    </row>
    <row r="391" spans="4:36" ht="13.2" customHeight="1">
      <c r="D391" t="s">
        <v>1229</v>
      </c>
      <c r="Q391" s="1404">
        <v>10000000</v>
      </c>
      <c r="R391" s="1404"/>
      <c r="S391" s="1404"/>
      <c r="T391" s="1404"/>
      <c r="U391" s="1404"/>
      <c r="V391" s="2" t="s">
        <v>1230</v>
      </c>
      <c r="AG391" s="1473"/>
      <c r="AH391" s="1473"/>
      <c r="AI391" s="1473"/>
      <c r="AJ391" s="1473"/>
    </row>
    <row r="392" spans="4:36" ht="13.2" customHeight="1">
      <c r="D392" t="s">
        <v>1068</v>
      </c>
      <c r="I392" s="1493"/>
      <c r="J392" s="1493"/>
      <c r="K392" s="1493"/>
      <c r="L392" s="1493"/>
      <c r="M392" s="1493"/>
      <c r="N392" s="1493"/>
      <c r="Q392" s="2" t="s">
        <v>1070</v>
      </c>
      <c r="S392" s="1402"/>
      <c r="T392" s="1402"/>
      <c r="U392" s="1402"/>
      <c r="V392" t="s">
        <v>1231</v>
      </c>
      <c r="AI392" s="1370" t="s">
        <v>844</v>
      </c>
      <c r="AJ392" s="1370"/>
    </row>
    <row r="393" spans="4:36" ht="13.2" customHeight="1">
      <c r="D393" t="s">
        <v>1232</v>
      </c>
      <c r="Q393" s="1478"/>
      <c r="R393" s="1478"/>
      <c r="S393" s="1478"/>
      <c r="T393" s="1478"/>
      <c r="U393" s="1478"/>
      <c r="V393" t="s">
        <v>1233</v>
      </c>
      <c r="AG393" s="1403"/>
      <c r="AH393" s="1403"/>
      <c r="AI393" s="1403"/>
      <c r="AJ393" s="1403"/>
    </row>
    <row r="394" spans="4:36" ht="13.2" customHeight="1">
      <c r="D394" t="s">
        <v>1234</v>
      </c>
      <c r="Q394" s="1524"/>
      <c r="R394" s="1524"/>
      <c r="S394" s="1524"/>
      <c r="T394" s="1524"/>
      <c r="U394" s="1524"/>
      <c r="V394" t="s">
        <v>1235</v>
      </c>
      <c r="AG394" s="1403"/>
      <c r="AH394" s="1403"/>
      <c r="AI394" s="1403"/>
      <c r="AJ394" s="1403"/>
    </row>
    <row r="395" spans="4:36" ht="13.2" customHeight="1">
      <c r="D395" t="s">
        <v>1236</v>
      </c>
      <c r="AG395" s="1403"/>
      <c r="AH395" s="1403"/>
      <c r="AI395" s="1403"/>
      <c r="AJ395" s="1403"/>
    </row>
    <row r="396" spans="4:36" ht="13.2" customHeight="1">
      <c r="AG396" s="1047"/>
      <c r="AH396" s="1047"/>
      <c r="AI396" s="1047"/>
      <c r="AJ396" s="1047"/>
    </row>
    <row r="397" spans="4:36" ht="13.2" customHeight="1">
      <c r="D397" s="2" t="s">
        <v>1237</v>
      </c>
      <c r="AG397" s="1047"/>
      <c r="AH397" s="1047"/>
      <c r="AI397" s="1370" t="s">
        <v>844</v>
      </c>
      <c r="AJ397" s="1370"/>
    </row>
    <row r="398" spans="4:36" ht="13.2" customHeight="1">
      <c r="D398" s="2" t="s">
        <v>1238</v>
      </c>
      <c r="T398" s="1389" t="s">
        <v>1109</v>
      </c>
      <c r="U398" s="1389"/>
      <c r="V398" s="1389"/>
      <c r="W398" s="1389"/>
      <c r="X398" s="1389"/>
      <c r="Y398" s="1389"/>
      <c r="Z398" s="1389"/>
      <c r="AA398" s="1389"/>
      <c r="AB398" s="1389"/>
      <c r="AC398" s="1389"/>
      <c r="AD398" s="1389"/>
      <c r="AE398" s="1389"/>
      <c r="AF398" s="1389"/>
      <c r="AG398" s="1389"/>
      <c r="AH398" s="1389"/>
      <c r="AI398" s="1389"/>
      <c r="AJ398" s="1389"/>
    </row>
    <row r="399" spans="4:36" ht="13.2" customHeight="1">
      <c r="D399" s="2" t="s">
        <v>1239</v>
      </c>
      <c r="T399" s="1389"/>
      <c r="U399" s="1389"/>
      <c r="V399" s="1389"/>
      <c r="W399" s="1389"/>
      <c r="X399" s="1389"/>
      <c r="Y399" s="1389"/>
      <c r="Z399" s="1389"/>
      <c r="AA399" s="1389"/>
      <c r="AB399" s="1389"/>
      <c r="AC399" s="1389"/>
      <c r="AD399" s="1389"/>
      <c r="AE399" s="1389"/>
      <c r="AF399" s="1389"/>
      <c r="AG399" s="1389"/>
      <c r="AH399" s="1389"/>
      <c r="AI399" s="1389"/>
      <c r="AJ399" s="1389"/>
    </row>
    <row r="400" spans="4:36" ht="13.2" customHeight="1">
      <c r="AG400" s="1047"/>
      <c r="AH400" s="1047"/>
      <c r="AI400" s="1047"/>
      <c r="AJ400" s="1047"/>
    </row>
    <row r="401" spans="1:36" ht="13.2" customHeight="1">
      <c r="D401" s="2" t="s">
        <v>1240</v>
      </c>
      <c r="S401" s="1389" t="s">
        <v>694</v>
      </c>
      <c r="T401" s="1389"/>
      <c r="U401" s="1389"/>
      <c r="V401" t="s">
        <v>1241</v>
      </c>
      <c r="AG401" s="1477">
        <v>99</v>
      </c>
      <c r="AH401" s="1477"/>
      <c r="AI401" s="1477"/>
      <c r="AJ401" s="1477"/>
    </row>
    <row r="402" spans="1:36" ht="13.2" customHeight="1">
      <c r="D402" s="2" t="s">
        <v>1242</v>
      </c>
      <c r="S402" s="1389" t="s">
        <v>694</v>
      </c>
      <c r="T402" s="1389"/>
      <c r="U402" s="1389"/>
      <c r="V402" t="s">
        <v>1243</v>
      </c>
      <c r="AE402" s="1471">
        <v>695786</v>
      </c>
      <c r="AF402" s="1471"/>
      <c r="AG402" s="1471"/>
      <c r="AH402" s="1471"/>
      <c r="AI402" s="1471"/>
      <c r="AJ402" s="1471"/>
    </row>
    <row r="403" spans="1:36" ht="13.2" customHeight="1">
      <c r="D403" s="2" t="s">
        <v>1244</v>
      </c>
      <c r="K403" s="1474"/>
      <c r="L403" s="1474"/>
      <c r="M403" s="1474"/>
      <c r="N403" s="1474"/>
      <c r="O403" s="1474"/>
      <c r="P403" s="1474"/>
      <c r="Q403" s="1474"/>
      <c r="R403" s="1474"/>
      <c r="S403" s="1474"/>
      <c r="T403" s="1474"/>
      <c r="U403" s="1474"/>
      <c r="V403" s="1474"/>
      <c r="W403" s="1474"/>
      <c r="X403" s="1474"/>
      <c r="Y403" s="1474"/>
      <c r="Z403" s="1474"/>
      <c r="AA403" s="1474"/>
      <c r="AB403" s="1474"/>
      <c r="AC403" s="1474"/>
      <c r="AD403" s="1474"/>
      <c r="AE403" s="1474"/>
      <c r="AF403" s="1474"/>
      <c r="AG403" s="1474"/>
      <c r="AH403" s="1474"/>
      <c r="AI403" s="1474"/>
      <c r="AJ403" s="1474"/>
    </row>
    <row r="404" spans="1:36" ht="13.2" customHeight="1">
      <c r="D404" s="2" t="s">
        <v>1245</v>
      </c>
      <c r="K404" s="1474" t="s">
        <v>1246</v>
      </c>
      <c r="L404" s="1474"/>
      <c r="M404" s="1474"/>
      <c r="N404" s="1474"/>
      <c r="O404" s="1474"/>
      <c r="P404" s="1474"/>
      <c r="Q404" s="1474"/>
      <c r="R404" s="1474"/>
      <c r="S404" s="1474"/>
      <c r="T404" s="1474"/>
      <c r="U404" s="1474"/>
      <c r="V404" s="1474"/>
      <c r="W404" s="1474"/>
      <c r="X404" s="1474"/>
      <c r="Y404" s="1474"/>
      <c r="Z404" s="1474"/>
      <c r="AA404" s="1474"/>
      <c r="AB404" s="1474"/>
      <c r="AC404" s="1474"/>
      <c r="AD404" s="1474"/>
      <c r="AE404" s="1474"/>
      <c r="AF404" s="1474"/>
      <c r="AG404" s="1474"/>
      <c r="AH404" s="1474"/>
      <c r="AI404" s="1474"/>
      <c r="AJ404" s="1474"/>
    </row>
    <row r="405" spans="1:36" ht="13.2" customHeight="1">
      <c r="D405" s="2" t="s">
        <v>1247</v>
      </c>
      <c r="E405" s="1168"/>
      <c r="F405" s="1168"/>
      <c r="G405" s="1168"/>
      <c r="H405" s="1168"/>
      <c r="I405" s="1168"/>
      <c r="J405" s="1168"/>
      <c r="K405" s="1168"/>
      <c r="L405" s="1168"/>
      <c r="M405" s="1168"/>
      <c r="N405" s="1168"/>
      <c r="O405" s="1168"/>
      <c r="P405" s="1168"/>
      <c r="Q405" s="1168"/>
      <c r="R405" s="1168"/>
      <c r="S405" s="1400" t="s">
        <v>1248</v>
      </c>
      <c r="T405" s="1400"/>
      <c r="U405" s="1400"/>
      <c r="V405" s="1400"/>
      <c r="W405" s="1400"/>
      <c r="X405" s="1400"/>
      <c r="Y405" s="1400"/>
      <c r="Z405" s="1400"/>
      <c r="AA405" s="1400"/>
      <c r="AB405" s="1400"/>
      <c r="AC405" s="1400"/>
      <c r="AD405" s="1400"/>
      <c r="AE405" s="1400"/>
      <c r="AF405" s="1400"/>
      <c r="AG405" s="1400"/>
      <c r="AH405" s="1400"/>
      <c r="AI405" s="1400"/>
      <c r="AJ405" s="1400"/>
    </row>
    <row r="406" spans="1:36" ht="13.2" customHeight="1">
      <c r="D406" s="1230" t="s">
        <v>1249</v>
      </c>
      <c r="E406" s="1230"/>
      <c r="F406" s="1230"/>
      <c r="G406" s="1230"/>
      <c r="H406" s="1230"/>
      <c r="I406" s="1230"/>
      <c r="J406" s="1230"/>
      <c r="K406" s="1230"/>
      <c r="L406" s="1230"/>
      <c r="M406" s="1230"/>
      <c r="N406" s="1230"/>
      <c r="O406" s="1230"/>
      <c r="P406" s="1230"/>
      <c r="Q406" s="1230"/>
      <c r="R406" s="1230"/>
      <c r="S406" s="1230"/>
      <c r="T406" s="1230"/>
      <c r="U406" s="1230"/>
      <c r="V406" s="1230"/>
      <c r="W406" s="1230"/>
      <c r="X406" s="1230"/>
      <c r="Y406" s="1230"/>
      <c r="Z406" s="1230"/>
      <c r="AA406" s="1230"/>
      <c r="AB406" s="1230"/>
      <c r="AC406" s="1230"/>
      <c r="AD406" s="1230"/>
      <c r="AE406" s="1230"/>
      <c r="AF406" s="1230"/>
      <c r="AG406" s="1230"/>
      <c r="AH406" s="1230"/>
      <c r="AI406" s="1230"/>
      <c r="AJ406" s="1230"/>
    </row>
    <row r="407" spans="1:36" ht="13.2" customHeight="1">
      <c r="D407" s="1230"/>
      <c r="E407" s="1230"/>
      <c r="F407" s="1230"/>
      <c r="G407" s="1230"/>
      <c r="H407" s="1230"/>
      <c r="I407" s="1230"/>
      <c r="J407" s="1230"/>
      <c r="K407" s="1230"/>
      <c r="L407" s="1230"/>
      <c r="M407" s="1230"/>
      <c r="N407" s="1230"/>
      <c r="O407" s="1230"/>
      <c r="P407" s="1230"/>
      <c r="Q407" s="1230"/>
      <c r="R407" s="1230"/>
      <c r="S407" s="1230"/>
      <c r="T407" s="1230"/>
      <c r="U407" s="1230"/>
      <c r="V407" s="1230"/>
      <c r="W407" s="1230"/>
      <c r="X407" s="1230"/>
      <c r="Y407" s="1230"/>
      <c r="Z407" s="1230"/>
      <c r="AA407" s="1230"/>
      <c r="AB407" s="1230"/>
      <c r="AC407" s="1230"/>
      <c r="AD407" s="1230"/>
      <c r="AE407" s="1230"/>
      <c r="AF407" s="1230"/>
      <c r="AG407" s="1230"/>
      <c r="AH407" s="1230"/>
      <c r="AI407" s="1230"/>
      <c r="AJ407" s="1230"/>
    </row>
    <row r="408" spans="1:36" ht="13.2" customHeight="1">
      <c r="AG408" s="1047"/>
      <c r="AH408" s="1047"/>
      <c r="AI408" s="1047"/>
      <c r="AJ408" s="1047"/>
    </row>
    <row r="409" spans="1:36" ht="13.2" customHeight="1">
      <c r="A409" s="1" t="s">
        <v>1008</v>
      </c>
      <c r="B409" s="1"/>
      <c r="C409" s="1" t="s">
        <v>145</v>
      </c>
    </row>
    <row r="410" spans="1:36" ht="13.2" customHeight="1">
      <c r="B410" s="1"/>
      <c r="C410" s="1"/>
      <c r="D410" s="1" t="s">
        <v>1250</v>
      </c>
      <c r="I410" s="1472" t="s">
        <v>1251</v>
      </c>
      <c r="J410" s="1472"/>
      <c r="K410" s="1472"/>
      <c r="L410" s="1472"/>
      <c r="M410" s="1472"/>
      <c r="N410" s="1472"/>
      <c r="O410" s="1472"/>
      <c r="P410" s="1472"/>
      <c r="Q410" s="1472"/>
      <c r="R410" s="1472"/>
      <c r="S410" s="1472"/>
      <c r="T410" s="1472"/>
      <c r="U410" s="1472"/>
      <c r="V410" s="1472"/>
      <c r="W410" s="1472"/>
      <c r="X410" s="1472"/>
      <c r="Y410" s="1472"/>
      <c r="Z410" s="1472"/>
      <c r="AA410" s="1472"/>
      <c r="AB410" s="1472"/>
      <c r="AC410" s="1472"/>
      <c r="AD410" s="1472"/>
      <c r="AE410" s="1472"/>
    </row>
    <row r="411" spans="1:36" ht="13.2" customHeight="1">
      <c r="E411" t="s">
        <v>1252</v>
      </c>
      <c r="R411" s="1370" t="s">
        <v>694</v>
      </c>
      <c r="S411" s="1370"/>
      <c r="AC411" s="21" t="s">
        <v>1253</v>
      </c>
      <c r="AD411" s="1347">
        <v>8</v>
      </c>
      <c r="AE411" s="1347"/>
    </row>
    <row r="412" spans="1:36" ht="13.2" customHeight="1">
      <c r="E412" t="s">
        <v>1254</v>
      </c>
      <c r="R412" s="1370" t="s">
        <v>810</v>
      </c>
      <c r="S412" s="1370"/>
      <c r="AC412" s="21" t="s">
        <v>1253</v>
      </c>
      <c r="AD412" s="1347"/>
      <c r="AE412" s="1347"/>
    </row>
    <row r="413" spans="1:36" ht="13.2" customHeight="1">
      <c r="E413" t="s">
        <v>1255</v>
      </c>
      <c r="S413" s="1370" t="s">
        <v>810</v>
      </c>
      <c r="T413" s="1370"/>
    </row>
    <row r="414" spans="1:36" ht="13.2" customHeight="1">
      <c r="E414" t="s">
        <v>233</v>
      </c>
      <c r="H414" s="1525" t="s">
        <v>1256</v>
      </c>
      <c r="I414" s="1525"/>
      <c r="J414" s="1525"/>
      <c r="K414" s="1525"/>
      <c r="L414" s="1525"/>
      <c r="M414" s="1525"/>
      <c r="N414" s="1525"/>
      <c r="O414" s="1525"/>
      <c r="P414" s="1525"/>
      <c r="Q414" s="1525"/>
      <c r="R414" s="1525"/>
      <c r="S414" s="1525"/>
      <c r="T414" s="1525"/>
      <c r="U414" s="1525"/>
      <c r="V414" s="1525"/>
      <c r="W414" s="1525"/>
      <c r="X414" s="1525"/>
      <c r="Y414" s="1525"/>
      <c r="Z414" s="1525"/>
      <c r="AA414" s="1525"/>
      <c r="AB414" s="1525"/>
      <c r="AC414" s="1525"/>
      <c r="AD414" s="1525"/>
      <c r="AE414" s="1525"/>
    </row>
    <row r="415" spans="1:36" ht="13.2" customHeight="1">
      <c r="H415" s="1526"/>
      <c r="I415" s="1526"/>
      <c r="J415" s="1526"/>
      <c r="K415" s="1526"/>
      <c r="L415" s="1526"/>
      <c r="M415" s="1526"/>
      <c r="N415" s="1526"/>
      <c r="O415" s="1526"/>
      <c r="P415" s="1526"/>
      <c r="Q415" s="1526"/>
      <c r="R415" s="1526"/>
      <c r="S415" s="1526"/>
      <c r="T415" s="1526"/>
      <c r="U415" s="1526"/>
      <c r="V415" s="1526"/>
      <c r="W415" s="1526"/>
      <c r="X415" s="1526"/>
      <c r="Y415" s="1526"/>
      <c r="Z415" s="1526"/>
      <c r="AA415" s="1526"/>
      <c r="AB415" s="1526"/>
      <c r="AC415" s="1526"/>
      <c r="AD415" s="1526"/>
      <c r="AE415" s="1526"/>
    </row>
    <row r="416" spans="1:36" ht="13.2" customHeight="1"/>
    <row r="417" spans="1:39" ht="13.2" customHeight="1">
      <c r="A417" s="1" t="s">
        <v>1020</v>
      </c>
      <c r="B417" s="1"/>
      <c r="C417" s="1"/>
      <c r="D417" s="1" t="s">
        <v>150</v>
      </c>
      <c r="AF417" s="1" t="s">
        <v>1257</v>
      </c>
    </row>
    <row r="418" spans="1:39" ht="13.2" customHeight="1">
      <c r="E418" s="1398"/>
      <c r="F418" s="1398"/>
      <c r="G418" s="1398"/>
      <c r="H418" s="1178" t="s">
        <v>1258</v>
      </c>
      <c r="I418" s="1398"/>
      <c r="J418" s="1398"/>
      <c r="K418" s="1398"/>
      <c r="L418" t="s">
        <v>1259</v>
      </c>
      <c r="N418" s="21" t="s">
        <v>36</v>
      </c>
      <c r="P418" s="1528">
        <v>0.62190000000000001</v>
      </c>
      <c r="Q418" s="1528"/>
      <c r="R418" s="1528"/>
      <c r="S418" t="s">
        <v>1260</v>
      </c>
      <c r="W418" s="1399">
        <f>IF(E418&gt;0,(E418*I418),(P418*43560))</f>
        <v>27089.964</v>
      </c>
      <c r="X418" s="1399"/>
      <c r="Y418" s="1399"/>
      <c r="Z418" t="s">
        <v>1261</v>
      </c>
      <c r="AF418" s="1529">
        <f>IFERROR(IF(P418&gt;0,(AG437/P418),(AG437/(W418/43560))),0)</f>
        <v>160.79755587715067</v>
      </c>
      <c r="AG418" s="1529"/>
      <c r="AH418" s="1529"/>
      <c r="AM418" s="2"/>
    </row>
    <row r="419" spans="1:39" ht="13.2" customHeight="1">
      <c r="E419" t="s">
        <v>1262</v>
      </c>
    </row>
    <row r="420" spans="1:39" ht="13.2" customHeight="1">
      <c r="E420" s="1458"/>
      <c r="F420" s="1458"/>
      <c r="G420" s="1458"/>
      <c r="H420" s="1458"/>
      <c r="I420" s="1458"/>
      <c r="J420" s="1458"/>
      <c r="K420" s="1458"/>
      <c r="L420" s="1458"/>
      <c r="M420" s="1458"/>
      <c r="N420" s="1458"/>
      <c r="O420" s="1458"/>
      <c r="P420" s="1458"/>
      <c r="Q420" s="1458"/>
      <c r="R420" s="1458"/>
      <c r="S420" s="1458"/>
      <c r="T420" s="1458"/>
      <c r="U420" s="1458"/>
      <c r="V420" s="1458"/>
      <c r="W420" s="1458"/>
      <c r="X420" s="1458"/>
      <c r="Y420" s="1458"/>
      <c r="Z420" s="1458"/>
      <c r="AA420" s="1458"/>
      <c r="AB420" s="1458"/>
      <c r="AC420" s="1458"/>
      <c r="AD420" s="1458"/>
      <c r="AE420" s="1458"/>
      <c r="AF420" s="1458"/>
      <c r="AG420" s="1458"/>
      <c r="AH420" s="1458"/>
      <c r="AI420" s="1458"/>
      <c r="AJ420" s="1458"/>
    </row>
    <row r="421" spans="1:39" ht="13.2" customHeight="1">
      <c r="E421" s="68" t="s">
        <v>1263</v>
      </c>
      <c r="F421" s="16"/>
      <c r="G421" s="16"/>
      <c r="H421" s="16"/>
      <c r="I421" s="1527">
        <v>0.62</v>
      </c>
      <c r="J421" s="1527"/>
      <c r="K421" s="1527"/>
      <c r="L421" s="16"/>
      <c r="M421" s="68"/>
      <c r="N421" s="16"/>
      <c r="O421" s="16"/>
      <c r="P421" s="1769">
        <f>(DU755+DU778+DU800)/I421</f>
        <v>322.58064516129031</v>
      </c>
      <c r="Q421" s="1769"/>
      <c r="R421" s="1769"/>
      <c r="S421" s="68" t="s">
        <v>1264</v>
      </c>
      <c r="T421" s="16"/>
      <c r="U421" s="16"/>
      <c r="V421" s="16"/>
      <c r="W421" s="16"/>
      <c r="X421" s="16"/>
      <c r="Y421" s="16"/>
      <c r="Z421" s="16"/>
      <c r="AA421" s="16"/>
      <c r="AB421" s="16"/>
      <c r="AC421" s="16"/>
      <c r="AD421" s="16"/>
      <c r="AE421" s="16"/>
      <c r="AF421" s="16"/>
      <c r="AG421" s="16"/>
      <c r="AH421" s="16"/>
      <c r="AI421" s="16"/>
      <c r="AJ421" s="16"/>
    </row>
    <row r="422" spans="1:39" ht="13.2" customHeight="1"/>
    <row r="423" spans="1:39" ht="13.2" customHeight="1">
      <c r="A423" s="1" t="s">
        <v>1047</v>
      </c>
      <c r="B423" s="1"/>
      <c r="C423" s="1"/>
      <c r="D423" s="1" t="s">
        <v>152</v>
      </c>
    </row>
    <row r="424" spans="1:39" ht="13.2" customHeight="1">
      <c r="E424" t="s">
        <v>1265</v>
      </c>
      <c r="P424" s="1370">
        <v>1</v>
      </c>
      <c r="Q424" s="1370"/>
      <c r="S424" t="s">
        <v>1266</v>
      </c>
      <c r="AE424" s="1370">
        <v>1</v>
      </c>
      <c r="AF424" s="1370"/>
    </row>
    <row r="425" spans="1:39" ht="13.2" customHeight="1">
      <c r="E425" t="s">
        <v>1267</v>
      </c>
      <c r="P425" s="1370">
        <v>0</v>
      </c>
      <c r="Q425" s="1370"/>
      <c r="S425" t="s">
        <v>1268</v>
      </c>
      <c r="AE425" s="1370" t="s">
        <v>810</v>
      </c>
      <c r="AF425" s="1370"/>
    </row>
    <row r="426" spans="1:39" ht="13.2" customHeight="1">
      <c r="F426" s="17" t="s">
        <v>1269</v>
      </c>
    </row>
    <row r="427" spans="1:39" ht="13.2" customHeight="1">
      <c r="F427" s="1481"/>
      <c r="G427" s="1481"/>
      <c r="H427" s="1481"/>
      <c r="I427" s="1481"/>
      <c r="J427" s="1481"/>
      <c r="K427" s="1481"/>
      <c r="L427" s="1481"/>
      <c r="M427" s="1481"/>
      <c r="N427" s="1481"/>
      <c r="O427" s="1481"/>
      <c r="P427" s="1481"/>
      <c r="Q427" s="1481"/>
      <c r="R427" s="1481"/>
      <c r="S427" s="1481"/>
      <c r="T427" s="1481"/>
      <c r="U427" s="1481"/>
      <c r="V427" s="1481"/>
      <c r="W427" s="1481"/>
      <c r="X427" s="1481"/>
      <c r="Y427" s="1481"/>
      <c r="Z427" s="1481"/>
      <c r="AA427" s="1481"/>
      <c r="AB427" s="1481"/>
      <c r="AC427" s="1481"/>
      <c r="AD427" s="1481"/>
      <c r="AE427" s="1481"/>
      <c r="AF427" s="1481"/>
      <c r="AG427" s="1481"/>
      <c r="AH427" s="1481"/>
    </row>
    <row r="428" spans="1:39" ht="13.2" customHeight="1">
      <c r="F428" s="1482"/>
      <c r="G428" s="1482"/>
      <c r="H428" s="1482"/>
      <c r="I428" s="1482"/>
      <c r="J428" s="1482"/>
      <c r="K428" s="1482"/>
      <c r="L428" s="1482"/>
      <c r="M428" s="1482"/>
      <c r="N428" s="1482"/>
      <c r="O428" s="1482"/>
      <c r="P428" s="1482"/>
      <c r="Q428" s="1482"/>
      <c r="R428" s="1482"/>
      <c r="S428" s="1482"/>
      <c r="T428" s="1482"/>
      <c r="U428" s="1482"/>
      <c r="V428" s="1482"/>
      <c r="W428" s="1482"/>
      <c r="X428" s="1482"/>
      <c r="Y428" s="1482"/>
      <c r="Z428" s="1482"/>
      <c r="AA428" s="1482"/>
      <c r="AB428" s="1482"/>
      <c r="AC428" s="1482"/>
      <c r="AD428" s="1482"/>
      <c r="AE428" s="1482"/>
      <c r="AF428" s="1482"/>
      <c r="AG428" s="1482"/>
      <c r="AH428" s="1482"/>
    </row>
    <row r="429" spans="1:39" ht="13.2" customHeight="1">
      <c r="E429" t="s">
        <v>1270</v>
      </c>
      <c r="P429" s="1154"/>
      <c r="Q429" s="1370" t="s">
        <v>694</v>
      </c>
      <c r="R429" s="1370"/>
    </row>
    <row r="430" spans="1:39" ht="13.2" customHeight="1">
      <c r="F430" t="s">
        <v>1271</v>
      </c>
      <c r="P430" s="1154"/>
      <c r="Q430" s="1154"/>
      <c r="AF430" s="1370" t="s">
        <v>810</v>
      </c>
      <c r="AG430" s="1460"/>
    </row>
    <row r="431" spans="1:39" ht="13.2" customHeight="1"/>
    <row r="432" spans="1:39" ht="13.2" customHeight="1">
      <c r="A432" s="1"/>
      <c r="B432" s="1"/>
      <c r="C432" s="1"/>
      <c r="E432" s="2" t="s">
        <v>1272</v>
      </c>
      <c r="Z432" s="1370" t="s">
        <v>844</v>
      </c>
      <c r="AA432" s="1370"/>
    </row>
    <row r="433" spans="1:55" ht="13.2" customHeight="1">
      <c r="F433" s="28" t="s">
        <v>1273</v>
      </c>
      <c r="G433" s="1169"/>
      <c r="H433" s="1169"/>
      <c r="I433" s="1169"/>
      <c r="J433" s="1169"/>
      <c r="K433" s="1169"/>
      <c r="L433" s="1169"/>
      <c r="M433" s="1169"/>
      <c r="N433" s="1169"/>
      <c r="O433" s="1169"/>
      <c r="P433" s="1169"/>
      <c r="Q433" s="1169"/>
      <c r="R433" s="1169"/>
      <c r="S433" s="1169"/>
      <c r="T433" s="1169"/>
      <c r="U433" s="1169"/>
      <c r="V433" s="1169"/>
      <c r="W433" s="1169"/>
      <c r="AB433" s="1169"/>
    </row>
    <row r="434" spans="1:55" ht="13.2" customHeight="1">
      <c r="F434" t="s">
        <v>1274</v>
      </c>
      <c r="G434" s="1169"/>
      <c r="I434" s="1169"/>
      <c r="J434" s="1169"/>
      <c r="K434" s="1169"/>
      <c r="L434" s="1169"/>
      <c r="M434" s="1169"/>
      <c r="N434" s="1169"/>
      <c r="O434" s="17"/>
      <c r="P434" s="1169"/>
      <c r="Q434" s="1169"/>
      <c r="R434" s="1169"/>
      <c r="S434" s="1169"/>
      <c r="T434" s="1169"/>
      <c r="U434" s="1169"/>
      <c r="V434" s="1169"/>
      <c r="W434" s="1169"/>
      <c r="Z434" s="1370" t="s">
        <v>810</v>
      </c>
      <c r="AA434" s="1370"/>
    </row>
    <row r="435" spans="1:55" ht="13.2" customHeight="1"/>
    <row r="436" spans="1:55" ht="13.2" customHeight="1">
      <c r="A436" s="1" t="s">
        <v>1107</v>
      </c>
      <c r="B436" s="1"/>
      <c r="C436" s="1"/>
      <c r="D436" s="1" t="s">
        <v>159</v>
      </c>
      <c r="AF436" s="32"/>
    </row>
    <row r="437" spans="1:55" ht="13.2" customHeight="1">
      <c r="D437" s="1459" t="s">
        <v>1275</v>
      </c>
      <c r="E437" s="1396"/>
      <c r="F437" s="1396"/>
      <c r="G437" s="1396"/>
      <c r="H437" s="1396"/>
      <c r="I437" s="1396"/>
      <c r="J437" s="1396"/>
      <c r="K437" s="1396"/>
      <c r="L437" s="1396"/>
      <c r="M437" s="1396"/>
      <c r="N437" s="1396"/>
      <c r="O437" s="1396"/>
      <c r="P437" s="1396"/>
      <c r="Q437" s="1396"/>
      <c r="R437" s="1396"/>
      <c r="S437" s="1396"/>
      <c r="T437" s="1396"/>
      <c r="U437" s="1396"/>
      <c r="V437" s="1396"/>
      <c r="W437" s="1396"/>
      <c r="X437" s="1396"/>
      <c r="Y437" s="1396"/>
      <c r="Z437" s="1396"/>
      <c r="AA437" s="1396"/>
      <c r="AB437" s="1396"/>
      <c r="AC437" s="1396"/>
      <c r="AD437" s="1396"/>
      <c r="AE437" s="1396"/>
      <c r="AF437" s="1397"/>
      <c r="AG437" s="1342">
        <v>100</v>
      </c>
      <c r="AH437" s="1342"/>
      <c r="AI437" s="1342"/>
      <c r="AJ437" s="1342"/>
    </row>
    <row r="438" spans="1:55" ht="13.2" customHeight="1">
      <c r="D438" s="1373" t="s">
        <v>1276</v>
      </c>
      <c r="E438" s="1374"/>
      <c r="F438" s="1374"/>
      <c r="G438" s="1374"/>
      <c r="H438" s="1374"/>
      <c r="I438" s="1374"/>
      <c r="J438" s="1374"/>
      <c r="K438" s="1374"/>
      <c r="L438" s="1374"/>
      <c r="M438" s="1374"/>
      <c r="N438" s="1374"/>
      <c r="O438" s="1374"/>
      <c r="P438" s="1374"/>
      <c r="Q438" s="1374"/>
      <c r="R438" s="1374"/>
      <c r="S438" s="1374"/>
      <c r="T438" s="1374"/>
      <c r="U438" s="1374"/>
      <c r="V438" s="1374"/>
      <c r="W438" s="1374"/>
      <c r="X438" s="1374"/>
      <c r="Y438" s="1374"/>
      <c r="Z438" s="1374"/>
      <c r="AA438" s="1374"/>
      <c r="AB438" s="1374"/>
      <c r="AC438" s="1374"/>
      <c r="AD438" s="1374"/>
      <c r="AE438" s="1374"/>
      <c r="AF438" s="1375"/>
      <c r="AG438" s="1419">
        <v>0</v>
      </c>
      <c r="AH438" s="1420"/>
      <c r="AI438" s="1420"/>
      <c r="AJ438" s="1420"/>
    </row>
    <row r="439" spans="1:55" ht="13.2" customHeight="1">
      <c r="D439" s="1373" t="s">
        <v>1277</v>
      </c>
      <c r="E439" s="1374"/>
      <c r="F439" s="1374"/>
      <c r="G439" s="1374"/>
      <c r="H439" s="1374"/>
      <c r="I439" s="1374"/>
      <c r="J439" s="1374"/>
      <c r="K439" s="1374"/>
      <c r="L439" s="1374"/>
      <c r="M439" s="1374"/>
      <c r="N439" s="1374"/>
      <c r="O439" s="1374"/>
      <c r="P439" s="1374"/>
      <c r="Q439" s="1374"/>
      <c r="R439" s="1374"/>
      <c r="S439" s="1374"/>
      <c r="T439" s="1374"/>
      <c r="U439" s="1374"/>
      <c r="V439" s="1374"/>
      <c r="W439" s="1374"/>
      <c r="X439" s="1374"/>
      <c r="Y439" s="1374"/>
      <c r="Z439" s="1374"/>
      <c r="AA439" s="1374"/>
      <c r="AB439" s="1374"/>
      <c r="AC439" s="1374"/>
      <c r="AD439" s="1374"/>
      <c r="AE439" s="1374"/>
      <c r="AF439" s="1375"/>
      <c r="AG439" s="1342">
        <v>99</v>
      </c>
      <c r="AH439" s="1342"/>
      <c r="AI439" s="1342"/>
      <c r="AJ439" s="1342"/>
    </row>
    <row r="440" spans="1:55" ht="13.2" customHeight="1">
      <c r="D440" s="1373" t="s">
        <v>1278</v>
      </c>
      <c r="E440" s="1374"/>
      <c r="F440" s="1374"/>
      <c r="G440" s="1374"/>
      <c r="H440" s="1374"/>
      <c r="I440" s="1374"/>
      <c r="J440" s="1374"/>
      <c r="K440" s="1374"/>
      <c r="L440" s="1374"/>
      <c r="M440" s="1374"/>
      <c r="N440" s="1374"/>
      <c r="O440" s="1374"/>
      <c r="P440" s="1374"/>
      <c r="Q440" s="1374"/>
      <c r="R440" s="1374"/>
      <c r="S440" s="1374"/>
      <c r="T440" s="1374"/>
      <c r="U440" s="1374"/>
      <c r="V440" s="1374"/>
      <c r="W440" s="1374"/>
      <c r="X440" s="1374"/>
      <c r="Y440" s="1374"/>
      <c r="Z440" s="1374"/>
      <c r="AA440" s="1374"/>
      <c r="AB440" s="1374"/>
      <c r="AC440" s="1374"/>
      <c r="AD440" s="1374"/>
      <c r="AE440" s="1374"/>
      <c r="AF440" s="1375"/>
      <c r="AG440" s="1342">
        <v>99</v>
      </c>
      <c r="AH440" s="1342"/>
      <c r="AI440" s="1342"/>
      <c r="AJ440" s="1342"/>
    </row>
    <row r="441" spans="1:55" ht="13.2" customHeight="1">
      <c r="D441" s="1373" t="s">
        <v>1279</v>
      </c>
      <c r="E441" s="1374"/>
      <c r="F441" s="1374"/>
      <c r="G441" s="1374"/>
      <c r="H441" s="1374"/>
      <c r="I441" s="1374"/>
      <c r="J441" s="1374"/>
      <c r="K441" s="1374"/>
      <c r="L441" s="1374"/>
      <c r="M441" s="1374"/>
      <c r="N441" s="1374"/>
      <c r="O441" s="1374"/>
      <c r="P441" s="1374"/>
      <c r="Q441" s="1374"/>
      <c r="R441" s="1374"/>
      <c r="S441" s="1374"/>
      <c r="T441" s="1374"/>
      <c r="U441" s="1374"/>
      <c r="V441" s="1374"/>
      <c r="W441" s="1374"/>
      <c r="X441" s="1374"/>
      <c r="Y441" s="1374"/>
      <c r="Z441" s="1374"/>
      <c r="AA441" s="1374"/>
      <c r="AB441" s="1374"/>
      <c r="AC441" s="1374"/>
      <c r="AD441" s="1374"/>
      <c r="AE441" s="1374"/>
      <c r="AF441" s="1375"/>
      <c r="AG441" s="1372">
        <f>IF(ISERROR(AG440/AG439),0,AG440/AG439)</f>
        <v>1</v>
      </c>
      <c r="AH441" s="1372"/>
      <c r="AI441" s="1372"/>
      <c r="AJ441" s="1372"/>
    </row>
    <row r="442" spans="1:55" ht="13.2" customHeight="1">
      <c r="D442" s="1373" t="s">
        <v>1280</v>
      </c>
      <c r="E442" s="1374"/>
      <c r="F442" s="1374"/>
      <c r="G442" s="1374"/>
      <c r="H442" s="1374"/>
      <c r="I442" s="1374"/>
      <c r="J442" s="1374"/>
      <c r="K442" s="1374"/>
      <c r="L442" s="1374"/>
      <c r="M442" s="1374"/>
      <c r="N442" s="1374"/>
      <c r="O442" s="1374"/>
      <c r="P442" s="1374"/>
      <c r="Q442" s="1374"/>
      <c r="R442" s="1374"/>
      <c r="S442" s="1374"/>
      <c r="T442" s="1374"/>
      <c r="U442" s="1374"/>
      <c r="V442" s="1374"/>
      <c r="W442" s="1374"/>
      <c r="X442" s="1374"/>
      <c r="Y442" s="1374"/>
      <c r="Z442" s="1374"/>
      <c r="AA442" s="1374"/>
      <c r="AB442" s="1374"/>
      <c r="AC442" s="1374"/>
      <c r="AD442" s="1374"/>
      <c r="AE442" s="1374"/>
      <c r="AF442" s="1375"/>
      <c r="AG442" s="1371">
        <v>74958</v>
      </c>
      <c r="AH442" s="1371"/>
      <c r="AI442" s="1371"/>
      <c r="AJ442" s="1371"/>
    </row>
    <row r="443" spans="1:55" ht="13.2" customHeight="1">
      <c r="D443" s="1373" t="s">
        <v>1281</v>
      </c>
      <c r="E443" s="1374"/>
      <c r="F443" s="1374"/>
      <c r="G443" s="1374"/>
      <c r="H443" s="1374"/>
      <c r="I443" s="1374"/>
      <c r="J443" s="1374"/>
      <c r="K443" s="1374"/>
      <c r="L443" s="1374"/>
      <c r="M443" s="1374"/>
      <c r="N443" s="1374"/>
      <c r="O443" s="1374"/>
      <c r="P443" s="1374"/>
      <c r="Q443" s="1374"/>
      <c r="R443" s="1374"/>
      <c r="S443" s="1374"/>
      <c r="T443" s="1374"/>
      <c r="U443" s="1374"/>
      <c r="V443" s="1374"/>
      <c r="W443" s="1374"/>
      <c r="X443" s="1374"/>
      <c r="Y443" s="1374"/>
      <c r="Z443" s="1374"/>
      <c r="AA443" s="1374"/>
      <c r="AB443" s="1374"/>
      <c r="AC443" s="1374"/>
      <c r="AD443" s="1374"/>
      <c r="AE443" s="1374"/>
      <c r="AF443" s="1375"/>
      <c r="AG443" s="1371">
        <v>74958</v>
      </c>
      <c r="AH443" s="1371"/>
      <c r="AI443" s="1371"/>
      <c r="AJ443" s="1371"/>
    </row>
    <row r="444" spans="1:55" ht="13.2" customHeight="1">
      <c r="D444" s="1373" t="s">
        <v>1282</v>
      </c>
      <c r="E444" s="1374"/>
      <c r="F444" s="1374"/>
      <c r="G444" s="1374"/>
      <c r="H444" s="1374"/>
      <c r="I444" s="1374"/>
      <c r="J444" s="1374"/>
      <c r="K444" s="1374"/>
      <c r="L444" s="1374"/>
      <c r="M444" s="1374"/>
      <c r="N444" s="1374"/>
      <c r="O444" s="1374"/>
      <c r="P444" s="1374"/>
      <c r="Q444" s="1374"/>
      <c r="R444" s="1374"/>
      <c r="S444" s="1374"/>
      <c r="T444" s="1374"/>
      <c r="U444" s="1374"/>
      <c r="V444" s="1374"/>
      <c r="W444" s="1374"/>
      <c r="X444" s="1374"/>
      <c r="Y444" s="1374"/>
      <c r="Z444" s="1374"/>
      <c r="AA444" s="1374"/>
      <c r="AB444" s="1374"/>
      <c r="AC444" s="1374"/>
      <c r="AD444" s="1374"/>
      <c r="AE444" s="1374"/>
      <c r="AF444" s="1375"/>
      <c r="AG444" s="1372">
        <f>IF(ISERROR(AG443/AG442),0,AG443/AG442)</f>
        <v>1</v>
      </c>
      <c r="AH444" s="1372"/>
      <c r="AI444" s="1372"/>
      <c r="AJ444" s="1372"/>
    </row>
    <row r="445" spans="1:55" ht="13.2" customHeight="1">
      <c r="D445" s="1373" t="s">
        <v>1283</v>
      </c>
      <c r="E445" s="1374"/>
      <c r="F445" s="1374"/>
      <c r="G445" s="1374"/>
      <c r="H445" s="1374"/>
      <c r="I445" s="1374"/>
      <c r="J445" s="1374"/>
      <c r="K445" s="1374"/>
      <c r="L445" s="1374"/>
      <c r="M445" s="1374"/>
      <c r="N445" s="1374"/>
      <c r="O445" s="1374"/>
      <c r="P445" s="1374"/>
      <c r="Q445" s="1374"/>
      <c r="R445" s="1374"/>
      <c r="S445" s="1374"/>
      <c r="T445" s="1374"/>
      <c r="U445" s="1374"/>
      <c r="V445" s="1374"/>
      <c r="W445" s="1374"/>
      <c r="X445" s="1374"/>
      <c r="Y445" s="1374"/>
      <c r="Z445" s="1374"/>
      <c r="AA445" s="1374"/>
      <c r="AB445" s="1374"/>
      <c r="AC445" s="1374"/>
      <c r="AD445" s="1374"/>
      <c r="AE445" s="1374"/>
      <c r="AF445" s="1375"/>
      <c r="AG445" s="1372">
        <f>MIN(IF(AG441&gt;AG444,AG444,AG441),1)</f>
        <v>1</v>
      </c>
      <c r="AH445" s="1372"/>
      <c r="AI445" s="1372"/>
      <c r="AJ445" s="1372"/>
    </row>
    <row r="446" spans="1:55" ht="13.2" customHeight="1">
      <c r="D446" s="1373" t="s">
        <v>1284</v>
      </c>
      <c r="E446" s="1396"/>
      <c r="F446" s="1396"/>
      <c r="G446" s="1396"/>
      <c r="H446" s="1396"/>
      <c r="I446" s="1396"/>
      <c r="J446" s="1396"/>
      <c r="K446" s="1396"/>
      <c r="L446" s="1396"/>
      <c r="M446" s="1396"/>
      <c r="N446" s="1396"/>
      <c r="O446" s="1396"/>
      <c r="P446" s="1396"/>
      <c r="Q446" s="1396"/>
      <c r="R446" s="1396"/>
      <c r="S446" s="1396"/>
      <c r="T446" s="1396"/>
      <c r="U446" s="1396"/>
      <c r="V446" s="1396"/>
      <c r="W446" s="1396"/>
      <c r="X446" s="1396"/>
      <c r="Y446" s="1396"/>
      <c r="Z446" s="1396"/>
      <c r="AA446" s="1396"/>
      <c r="AB446" s="1396"/>
      <c r="AC446" s="1396"/>
      <c r="AD446" s="1396"/>
      <c r="AE446" s="1396"/>
      <c r="AF446" s="1397"/>
      <c r="AG446" s="1371">
        <v>9376</v>
      </c>
      <c r="AH446" s="1371"/>
      <c r="AI446" s="1371"/>
      <c r="AJ446" s="1371"/>
      <c r="AZ446" s="2"/>
      <c r="BA446" s="2"/>
      <c r="BB446" s="2"/>
      <c r="BC446" s="2"/>
    </row>
    <row r="447" spans="1:55" ht="13.2" customHeight="1">
      <c r="D447" s="1459" t="s">
        <v>1285</v>
      </c>
      <c r="E447" s="1396"/>
      <c r="F447" s="1396"/>
      <c r="G447" s="1396"/>
      <c r="H447" s="1396"/>
      <c r="I447" s="1396"/>
      <c r="J447" s="1396"/>
      <c r="K447" s="1396"/>
      <c r="L447" s="1396"/>
      <c r="M447" s="1396"/>
      <c r="N447" s="1396"/>
      <c r="O447" s="1396"/>
      <c r="P447" s="1396"/>
      <c r="Q447" s="1396"/>
      <c r="R447" s="1396"/>
      <c r="S447" s="1396"/>
      <c r="T447" s="1396"/>
      <c r="U447" s="1396"/>
      <c r="V447" s="1396"/>
      <c r="W447" s="1396"/>
      <c r="X447" s="1396"/>
      <c r="Y447" s="1396"/>
      <c r="Z447" s="1396"/>
      <c r="AA447" s="1396"/>
      <c r="AB447" s="1396"/>
      <c r="AC447" s="1396"/>
      <c r="AD447" s="1396"/>
      <c r="AE447" s="1396"/>
      <c r="AF447" s="1397"/>
      <c r="AG447" s="1371">
        <v>0</v>
      </c>
      <c r="AH447" s="1371"/>
      <c r="AI447" s="1371"/>
      <c r="AJ447" s="1371"/>
      <c r="AZ447" s="2"/>
      <c r="BA447" s="2"/>
      <c r="BB447" s="2"/>
      <c r="BC447" s="2"/>
    </row>
    <row r="448" spans="1:55" ht="13.2" customHeight="1">
      <c r="D448" s="1373" t="s">
        <v>1286</v>
      </c>
      <c r="E448" s="1396"/>
      <c r="F448" s="1396"/>
      <c r="G448" s="1396"/>
      <c r="H448" s="1396"/>
      <c r="I448" s="1396"/>
      <c r="J448" s="1396"/>
      <c r="K448" s="1396"/>
      <c r="L448" s="1396"/>
      <c r="M448" s="1396"/>
      <c r="N448" s="1396"/>
      <c r="O448" s="1396"/>
      <c r="P448" s="1396"/>
      <c r="Q448" s="1396"/>
      <c r="R448" s="1396"/>
      <c r="S448" s="1396"/>
      <c r="T448" s="1396"/>
      <c r="U448" s="1396"/>
      <c r="V448" s="1396"/>
      <c r="W448" s="1396"/>
      <c r="X448" s="1396"/>
      <c r="Y448" s="1396"/>
      <c r="Z448" s="1396"/>
      <c r="AA448" s="1396"/>
      <c r="AB448" s="1396"/>
      <c r="AC448" s="1396"/>
      <c r="AD448" s="1396"/>
      <c r="AE448" s="1396"/>
      <c r="AF448" s="1397"/>
      <c r="AG448" s="1371">
        <v>27115</v>
      </c>
      <c r="AH448" s="1371"/>
      <c r="AI448" s="1371"/>
      <c r="AJ448" s="1371"/>
      <c r="AZ448" s="2"/>
      <c r="BA448" s="2"/>
      <c r="BB448" s="2"/>
      <c r="BC448" s="2"/>
    </row>
    <row r="449" spans="1:55" ht="13.2" customHeight="1">
      <c r="D449" s="1373" t="s">
        <v>1287</v>
      </c>
      <c r="E449" s="1396"/>
      <c r="F449" s="1396"/>
      <c r="G449" s="1396"/>
      <c r="H449" s="1396"/>
      <c r="I449" s="1396"/>
      <c r="J449" s="1396"/>
      <c r="K449" s="1396"/>
      <c r="L449" s="1396"/>
      <c r="M449" s="1396"/>
      <c r="N449" s="1396"/>
      <c r="O449" s="1396"/>
      <c r="P449" s="1396"/>
      <c r="Q449" s="1396"/>
      <c r="R449" s="1396"/>
      <c r="S449" s="1396"/>
      <c r="T449" s="1396"/>
      <c r="U449" s="1396"/>
      <c r="V449" s="1396"/>
      <c r="W449" s="1396"/>
      <c r="X449" s="1396"/>
      <c r="Y449" s="1396"/>
      <c r="Z449" s="1396"/>
      <c r="AA449" s="1396"/>
      <c r="AB449" s="1396"/>
      <c r="AC449" s="1396"/>
      <c r="AD449" s="1396"/>
      <c r="AE449" s="1396"/>
      <c r="AF449" s="1397"/>
      <c r="AG449" s="1371">
        <v>6837</v>
      </c>
      <c r="AH449" s="1371"/>
      <c r="AI449" s="1371"/>
      <c r="AJ449" s="1371"/>
      <c r="BB449" s="2"/>
      <c r="BC449" s="2"/>
    </row>
    <row r="450" spans="1:55" ht="13.2" customHeight="1">
      <c r="D450" s="1521" t="s">
        <v>1288</v>
      </c>
      <c r="E450" s="1522"/>
      <c r="F450" s="1522"/>
      <c r="G450" s="1522"/>
      <c r="H450" s="1522"/>
      <c r="I450" s="1522"/>
      <c r="J450" s="1522"/>
      <c r="K450" s="1522"/>
      <c r="L450" s="1522"/>
      <c r="M450" s="1522"/>
      <c r="N450" s="1522"/>
      <c r="O450" s="1522"/>
      <c r="P450" s="1522"/>
      <c r="Q450" s="1522"/>
      <c r="R450" s="1522"/>
      <c r="S450" s="1522"/>
      <c r="T450" s="1522"/>
      <c r="U450" s="1522"/>
      <c r="V450" s="1522"/>
      <c r="W450" s="1522"/>
      <c r="X450" s="1522"/>
      <c r="Y450" s="1522"/>
      <c r="Z450" s="1522"/>
      <c r="AA450" s="1522"/>
      <c r="AB450" s="1522"/>
      <c r="AC450" s="1522"/>
      <c r="AD450" s="1522"/>
      <c r="AE450" s="1522"/>
      <c r="AF450" s="1523"/>
      <c r="AG450" s="1384">
        <f>AG442+AG446+AG448+AG449</f>
        <v>118286</v>
      </c>
      <c r="AH450" s="1384"/>
      <c r="AI450" s="1384"/>
      <c r="AJ450" s="1384"/>
      <c r="AZ450" s="2"/>
      <c r="BA450" s="2"/>
      <c r="BB450" s="2"/>
      <c r="BC450" s="2"/>
    </row>
    <row r="451" spans="1:55" ht="13.2" customHeight="1">
      <c r="D451" s="1530" t="s">
        <v>1289</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2"/>
      <c r="BA451" s="2"/>
      <c r="BB451" s="2"/>
      <c r="BC451" s="2"/>
    </row>
    <row r="452" spans="1:55" ht="13.2"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2"/>
      <c r="BA452" s="2"/>
      <c r="BB452" s="2"/>
      <c r="BC452" s="2"/>
    </row>
    <row r="453" spans="1:55" ht="13.2" customHeight="1">
      <c r="D453" s="380"/>
      <c r="E453" s="366"/>
      <c r="F453" s="366"/>
      <c r="G453" s="366"/>
      <c r="H453" s="366"/>
      <c r="I453" s="366"/>
      <c r="J453" s="366"/>
      <c r="K453" s="366"/>
      <c r="L453" s="366"/>
      <c r="M453" s="366"/>
      <c r="N453" s="366"/>
      <c r="O453" s="366"/>
      <c r="P453" s="366"/>
      <c r="Q453" s="366"/>
      <c r="R453" s="366"/>
      <c r="S453" s="366"/>
      <c r="T453" s="366"/>
      <c r="U453" s="366"/>
      <c r="V453" s="366"/>
      <c r="W453" s="366"/>
      <c r="X453" s="366"/>
      <c r="Y453" s="366"/>
      <c r="Z453" s="366"/>
      <c r="AA453" s="366"/>
      <c r="AB453" s="366"/>
      <c r="AC453" s="366"/>
      <c r="AD453" s="366"/>
      <c r="AE453" s="366"/>
      <c r="AF453" s="366"/>
      <c r="AG453" s="366"/>
      <c r="AH453" s="366"/>
      <c r="AI453" s="366"/>
      <c r="AJ453" s="771"/>
      <c r="AZ453" s="2"/>
      <c r="BA453" s="2" t="str">
        <f>N575</f>
        <v>Yes</v>
      </c>
      <c r="BB453" s="2"/>
      <c r="BC453" s="2"/>
    </row>
    <row r="454" spans="1:55" ht="13.2" customHeight="1">
      <c r="D454" s="114" t="s">
        <v>1290</v>
      </c>
      <c r="E454" s="366"/>
      <c r="F454" s="366"/>
      <c r="G454" s="366"/>
      <c r="H454" s="366"/>
      <c r="I454" s="366"/>
      <c r="J454" s="366"/>
      <c r="K454" s="366"/>
      <c r="L454" s="366"/>
      <c r="M454" s="366"/>
      <c r="N454" s="366"/>
      <c r="O454" s="366"/>
      <c r="P454" s="366"/>
      <c r="Q454" s="366"/>
      <c r="R454" s="366"/>
      <c r="S454" s="366"/>
      <c r="T454" s="366"/>
      <c r="U454" s="366"/>
      <c r="V454" s="366"/>
      <c r="W454" s="366"/>
      <c r="X454" s="366"/>
      <c r="Y454" s="366"/>
      <c r="Z454" s="366"/>
      <c r="AA454" s="366"/>
      <c r="AB454" s="366"/>
      <c r="AC454" s="1331">
        <f>IF(AG437=0,"",'Sources and Uses Budget'!B105/Application!AG437)</f>
        <v>771531.62</v>
      </c>
      <c r="AD454" s="1331"/>
      <c r="AE454" s="1331"/>
      <c r="AF454" s="1331"/>
      <c r="AG454" s="366"/>
      <c r="AH454" s="366"/>
      <c r="AI454" s="366"/>
      <c r="AJ454" s="771"/>
      <c r="AZ454" s="2"/>
      <c r="BA454" s="2" t="str">
        <f>AG575</f>
        <v>Yes</v>
      </c>
      <c r="BB454" s="2"/>
      <c r="BC454" s="2"/>
    </row>
    <row r="455" spans="1:55" ht="13.2" customHeight="1">
      <c r="D455" s="114" t="s">
        <v>1291</v>
      </c>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6"/>
      <c r="AB455" s="366"/>
      <c r="AC455" s="1331">
        <f>IF(AG437=0,"",'Sources and Uses Budget'!C105/Application!AG437)</f>
        <v>771531.62</v>
      </c>
      <c r="AD455" s="1331"/>
      <c r="AE455" s="1331"/>
      <c r="AF455" s="1331"/>
      <c r="AG455" s="366"/>
      <c r="AH455" s="366"/>
      <c r="AI455" s="366"/>
      <c r="AJ455" s="771"/>
      <c r="AZ455" s="2"/>
      <c r="BA455" s="2"/>
      <c r="BB455" s="2"/>
      <c r="BC455" s="2"/>
    </row>
    <row r="456" spans="1:55" ht="13.2" customHeight="1">
      <c r="D456" s="114" t="s">
        <v>1292</v>
      </c>
      <c r="E456" s="366"/>
      <c r="F456" s="366"/>
      <c r="G456" s="366"/>
      <c r="H456" s="366"/>
      <c r="I456" s="366"/>
      <c r="J456" s="366"/>
      <c r="K456" s="366"/>
      <c r="L456" s="366"/>
      <c r="M456" s="366"/>
      <c r="N456" s="366"/>
      <c r="O456" s="366"/>
      <c r="P456" s="366"/>
      <c r="Q456" s="366"/>
      <c r="R456" s="366"/>
      <c r="S456" s="366"/>
      <c r="T456" s="366"/>
      <c r="U456" s="366"/>
      <c r="V456" s="366"/>
      <c r="W456" s="366"/>
      <c r="X456" s="366"/>
      <c r="Y456" s="366"/>
      <c r="Z456" s="366"/>
      <c r="AA456" s="366"/>
      <c r="AB456" s="366"/>
      <c r="AC456" s="1331">
        <f>IF(AG437=0,"",('Sources and Uses Budget'!$S$107+'Sources and Uses Budget'!$T$107)/Application!AG437)</f>
        <v>739903.03</v>
      </c>
      <c r="AD456" s="1331"/>
      <c r="AE456" s="1331"/>
      <c r="AF456" s="1331"/>
      <c r="AG456" s="366"/>
      <c r="AH456" s="366"/>
      <c r="AI456" s="366"/>
      <c r="AJ456" s="771"/>
      <c r="AZ456" s="2"/>
      <c r="BA456" s="2"/>
      <c r="BB456" s="2"/>
      <c r="BC456" s="2"/>
    </row>
    <row r="457" spans="1:55" ht="13.2" customHeight="1">
      <c r="D457" s="366"/>
      <c r="E457" s="366"/>
      <c r="F457" s="133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2"/>
      <c r="H457" s="1332"/>
      <c r="I457" s="1332"/>
      <c r="J457" s="1332"/>
      <c r="K457" s="1332"/>
      <c r="L457" s="1332"/>
      <c r="M457" s="1332"/>
      <c r="N457" s="1332"/>
      <c r="O457" s="1332"/>
      <c r="P457" s="1332"/>
      <c r="Q457" s="1332"/>
      <c r="R457" s="1332"/>
      <c r="S457" s="1332"/>
      <c r="T457" s="1332"/>
      <c r="U457" s="1332"/>
      <c r="V457" s="1332"/>
      <c r="W457" s="1332"/>
      <c r="X457" s="1332"/>
      <c r="Y457" s="1332"/>
      <c r="Z457" s="1332"/>
      <c r="AA457" s="1332"/>
      <c r="AB457" s="1332"/>
      <c r="AC457" s="366"/>
      <c r="AD457" s="366"/>
      <c r="AE457" s="366"/>
      <c r="AF457" s="366"/>
      <c r="AG457" s="366"/>
      <c r="AH457" s="366"/>
      <c r="AI457" s="366"/>
      <c r="AJ457" s="771"/>
      <c r="AZ457" s="2"/>
      <c r="BA457" s="2"/>
      <c r="BB457" s="2"/>
      <c r="BC457" s="2"/>
    </row>
    <row r="458" spans="1:55" ht="13.2" customHeight="1">
      <c r="A458" s="1"/>
      <c r="D458" s="1"/>
      <c r="E458" s="366"/>
      <c r="F458" s="1332"/>
      <c r="G458" s="1332"/>
      <c r="H458" s="1332"/>
      <c r="I458" s="1332"/>
      <c r="J458" s="1332"/>
      <c r="K458" s="1332"/>
      <c r="L458" s="1332"/>
      <c r="M458" s="1332"/>
      <c r="N458" s="1332"/>
      <c r="O458" s="1332"/>
      <c r="P458" s="1332"/>
      <c r="Q458" s="1332"/>
      <c r="R458" s="1332"/>
      <c r="S458" s="1332"/>
      <c r="T458" s="1332"/>
      <c r="U458" s="1332"/>
      <c r="V458" s="1332"/>
      <c r="W458" s="1332"/>
      <c r="X458" s="1332"/>
      <c r="Y458" s="1332"/>
      <c r="Z458" s="1332"/>
      <c r="AA458" s="1332"/>
      <c r="AB458" s="1332"/>
      <c r="AC458" s="366"/>
      <c r="AD458" s="366"/>
      <c r="AE458" s="366"/>
      <c r="AF458" s="366"/>
      <c r="AG458" s="366"/>
      <c r="AH458" s="366"/>
      <c r="AI458" s="366"/>
      <c r="AJ458" s="771"/>
      <c r="AZ458" s="2"/>
      <c r="BA458" s="2"/>
      <c r="BB458" s="2"/>
      <c r="BC458" s="2"/>
    </row>
    <row r="459" spans="1:55" ht="13.2" customHeight="1">
      <c r="A459" s="1" t="s">
        <v>1293</v>
      </c>
      <c r="D459" s="1" t="s">
        <v>162</v>
      </c>
      <c r="E459" s="366"/>
      <c r="F459" s="366"/>
      <c r="G459" s="366"/>
      <c r="H459" s="366"/>
      <c r="I459" s="366"/>
      <c r="J459" s="366"/>
      <c r="K459" s="366"/>
      <c r="L459" s="366"/>
      <c r="M459" s="366"/>
      <c r="N459" s="366"/>
      <c r="O459" s="366"/>
      <c r="P459" s="366"/>
      <c r="Q459" s="366"/>
      <c r="R459" s="366"/>
      <c r="S459" s="366"/>
      <c r="T459" s="366"/>
      <c r="U459" s="366"/>
      <c r="V459" s="366"/>
      <c r="W459" s="366"/>
      <c r="X459" s="366"/>
      <c r="Y459" s="366"/>
      <c r="Z459" s="366"/>
      <c r="AA459" s="366"/>
      <c r="AB459" s="366"/>
      <c r="AC459" s="366"/>
      <c r="AD459" s="366"/>
      <c r="AE459" s="366"/>
      <c r="AF459" s="366"/>
      <c r="AG459" s="366"/>
      <c r="AH459" s="366"/>
      <c r="AI459" s="366"/>
      <c r="AJ459" s="771"/>
      <c r="AZ459" s="2"/>
      <c r="BA459" s="2"/>
      <c r="BB459" s="2"/>
      <c r="BC459" s="2"/>
    </row>
    <row r="460" spans="1:55" ht="13.2" customHeight="1">
      <c r="D460" s="104" t="s">
        <v>1294</v>
      </c>
      <c r="E460" s="366"/>
      <c r="F460" s="366"/>
      <c r="G460" s="366"/>
      <c r="H460" s="366"/>
      <c r="I460" s="366"/>
      <c r="J460" s="366"/>
      <c r="K460" s="366"/>
      <c r="L460" s="366"/>
      <c r="M460" s="366"/>
      <c r="N460" s="366"/>
      <c r="O460" s="366"/>
      <c r="P460" s="366"/>
      <c r="Q460" s="366"/>
      <c r="R460" s="366"/>
      <c r="S460" s="366"/>
      <c r="T460" s="366"/>
      <c r="U460" s="366"/>
      <c r="V460" s="366"/>
      <c r="W460" s="366"/>
      <c r="X460" s="366"/>
      <c r="Y460" s="366"/>
      <c r="Z460" s="366"/>
      <c r="AA460" s="366"/>
      <c r="AB460" s="366"/>
      <c r="AC460" s="366"/>
      <c r="AD460" s="366"/>
      <c r="AE460" s="366"/>
      <c r="AF460" s="366"/>
      <c r="AG460" s="366"/>
      <c r="AH460" s="366"/>
      <c r="AI460" s="366"/>
      <c r="AJ460" s="771"/>
      <c r="AZ460" s="2"/>
      <c r="BA460" s="2"/>
      <c r="BB460" s="2"/>
      <c r="BC460" s="2"/>
    </row>
    <row r="461" spans="1:55" ht="13.2" customHeight="1">
      <c r="D461" s="104" t="s">
        <v>1295</v>
      </c>
      <c r="E461" s="366"/>
      <c r="F461" s="366"/>
      <c r="G461" s="366"/>
      <c r="H461" s="366"/>
      <c r="I461" s="366"/>
      <c r="J461" s="366"/>
      <c r="K461" s="366"/>
      <c r="L461" s="366"/>
      <c r="M461" s="366"/>
      <c r="N461" s="366"/>
      <c r="O461" s="366"/>
      <c r="P461" s="366"/>
      <c r="Q461" s="366"/>
      <c r="R461" s="366"/>
      <c r="S461" s="366"/>
      <c r="T461" s="366"/>
      <c r="U461" s="366"/>
      <c r="V461" s="366"/>
      <c r="W461" s="366"/>
      <c r="X461" s="366"/>
      <c r="Y461" s="366"/>
      <c r="Z461" s="366"/>
      <c r="AA461" s="366"/>
      <c r="AB461" s="366"/>
      <c r="AC461" s="366"/>
      <c r="AD461" s="366"/>
      <c r="AE461" s="366"/>
      <c r="AF461" s="366"/>
      <c r="AG461" s="366"/>
      <c r="AH461" s="366"/>
      <c r="AI461" s="366"/>
      <c r="AJ461" s="771"/>
      <c r="AZ461" s="2"/>
      <c r="BA461" s="2" t="str">
        <f>N583</f>
        <v>Yes</v>
      </c>
      <c r="BB461" s="2"/>
      <c r="BC461" s="2"/>
    </row>
    <row r="462" spans="1:55" ht="13.2" customHeight="1">
      <c r="D462" s="104" t="s">
        <v>1296</v>
      </c>
      <c r="E462" s="366"/>
      <c r="F462" s="366"/>
      <c r="G462" s="366"/>
      <c r="H462" s="366"/>
      <c r="I462" s="366"/>
      <c r="J462" s="366"/>
      <c r="K462" s="366"/>
      <c r="L462" s="366"/>
      <c r="M462" s="366"/>
      <c r="N462" s="366"/>
      <c r="O462" s="366"/>
      <c r="P462" s="366"/>
      <c r="Q462" s="366"/>
      <c r="R462" s="366"/>
      <c r="S462" s="366"/>
      <c r="T462" s="366"/>
      <c r="U462" s="366"/>
      <c r="V462" s="366"/>
      <c r="W462" s="366"/>
      <c r="X462" s="366"/>
      <c r="Y462" s="366"/>
      <c r="Z462" s="366"/>
      <c r="AA462" s="366"/>
      <c r="AB462" s="366"/>
      <c r="AC462" s="366"/>
      <c r="AD462" s="366"/>
      <c r="AE462" s="366"/>
      <c r="AF462" s="366"/>
      <c r="AG462" s="366"/>
      <c r="AH462" s="366"/>
      <c r="AI462" s="366"/>
      <c r="AJ462" s="771"/>
      <c r="AZ462" s="2"/>
      <c r="BA462" s="2" t="str">
        <f>AG583</f>
        <v>Yes</v>
      </c>
      <c r="BB462" s="2"/>
      <c r="BC462" s="2"/>
    </row>
    <row r="463" spans="1:55" ht="13.2" customHeight="1">
      <c r="D463" s="380"/>
      <c r="E463" s="366"/>
      <c r="F463" s="366"/>
      <c r="G463" s="366"/>
      <c r="H463" s="366"/>
      <c r="I463" s="366"/>
      <c r="J463" s="366"/>
      <c r="K463" s="366"/>
      <c r="L463" s="366"/>
      <c r="M463" s="366"/>
      <c r="N463" s="366"/>
      <c r="O463" s="366"/>
      <c r="P463" s="366"/>
      <c r="Q463" s="366"/>
      <c r="R463" s="366"/>
      <c r="S463" s="366"/>
      <c r="T463" s="366"/>
      <c r="U463" s="366"/>
      <c r="V463" s="366"/>
      <c r="W463" s="366"/>
      <c r="X463" s="366"/>
      <c r="Y463" s="366"/>
      <c r="Z463" s="366"/>
      <c r="AA463" s="366"/>
      <c r="AB463" s="366"/>
      <c r="AC463" s="366"/>
      <c r="AD463" s="366"/>
      <c r="AE463" s="366"/>
      <c r="AF463" s="366"/>
      <c r="AG463" s="366"/>
      <c r="AH463" s="366"/>
      <c r="AI463" s="366"/>
      <c r="AJ463" s="771"/>
      <c r="AZ463" s="2"/>
      <c r="BA463" s="2"/>
      <c r="BB463" s="2"/>
      <c r="BC463" s="2"/>
    </row>
    <row r="464" spans="1:55" ht="13.2" customHeight="1">
      <c r="A464" s="2"/>
      <c r="B464" s="2"/>
      <c r="C464" s="2"/>
      <c r="D464" s="104" t="s">
        <v>1297</v>
      </c>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c r="AC464" s="104"/>
      <c r="AD464" s="366"/>
      <c r="AE464" s="366"/>
      <c r="AF464" s="366"/>
      <c r="AG464" s="366"/>
      <c r="AH464" s="366"/>
      <c r="AI464" s="366"/>
      <c r="AJ464" s="771"/>
      <c r="AZ464" s="2"/>
      <c r="BA464" s="2"/>
      <c r="BB464" s="2"/>
      <c r="BC464" s="2"/>
    </row>
    <row r="465" spans="1:55" ht="13.2" customHeight="1">
      <c r="A465" s="2"/>
      <c r="B465" s="2"/>
      <c r="C465" s="2"/>
      <c r="D465" s="1333" t="s">
        <v>1298</v>
      </c>
      <c r="E465" s="1334"/>
      <c r="F465" s="1334"/>
      <c r="G465" s="1334"/>
      <c r="H465" s="1334"/>
      <c r="I465" s="1334"/>
      <c r="J465" s="1334"/>
      <c r="K465" s="1334"/>
      <c r="L465" s="1334"/>
      <c r="M465" s="1334"/>
      <c r="N465" s="1334"/>
      <c r="O465" s="1334"/>
      <c r="P465" s="1334"/>
      <c r="Q465" s="1334"/>
      <c r="R465" s="1334"/>
      <c r="S465" s="1334"/>
      <c r="T465" s="1334"/>
      <c r="U465" s="1334"/>
      <c r="V465" s="1335"/>
      <c r="W465" s="1348">
        <v>0</v>
      </c>
      <c r="X465" s="1349"/>
      <c r="Y465" s="1350"/>
      <c r="Z465" s="104"/>
      <c r="AA465" s="104"/>
      <c r="AB465" s="104"/>
      <c r="AC465" s="104"/>
      <c r="AD465" s="366"/>
      <c r="AE465" s="366"/>
      <c r="AF465" s="366"/>
      <c r="AG465" s="366"/>
      <c r="AH465" s="366"/>
      <c r="AI465" s="366"/>
      <c r="AJ465" s="771"/>
      <c r="AZ465" s="2"/>
      <c r="BA465" s="2"/>
      <c r="BB465" s="2"/>
      <c r="BC465" s="2"/>
    </row>
    <row r="466" spans="1:55" ht="13.2" customHeight="1">
      <c r="A466" s="2"/>
      <c r="B466" s="2"/>
      <c r="C466" s="2"/>
      <c r="D466" s="1333" t="s">
        <v>1299</v>
      </c>
      <c r="E466" s="1334"/>
      <c r="F466" s="1334"/>
      <c r="G466" s="1334"/>
      <c r="H466" s="1334"/>
      <c r="I466" s="1334"/>
      <c r="J466" s="1334"/>
      <c r="K466" s="1334"/>
      <c r="L466" s="1334"/>
      <c r="M466" s="1334"/>
      <c r="N466" s="1334"/>
      <c r="O466" s="1334"/>
      <c r="P466" s="1334"/>
      <c r="Q466" s="1334"/>
      <c r="R466" s="1334"/>
      <c r="S466" s="1334"/>
      <c r="T466" s="1334"/>
      <c r="U466" s="1334"/>
      <c r="V466" s="1335"/>
      <c r="W466" s="1348">
        <v>0</v>
      </c>
      <c r="X466" s="1349"/>
      <c r="Y466" s="1350"/>
      <c r="Z466" s="104"/>
      <c r="AA466" s="104"/>
      <c r="AB466" s="104"/>
      <c r="AC466" s="104"/>
      <c r="AD466" s="366"/>
      <c r="AE466" s="366"/>
      <c r="AF466" s="366"/>
      <c r="AG466" s="366"/>
      <c r="AH466" s="366"/>
      <c r="AI466" s="366"/>
      <c r="AJ466" s="771"/>
      <c r="AZ466" s="2"/>
      <c r="BA466" s="2"/>
      <c r="BB466" s="2"/>
      <c r="BC466" s="2"/>
    </row>
    <row r="467" spans="1:55" ht="13.2" customHeight="1">
      <c r="A467" s="2"/>
      <c r="B467" s="2"/>
      <c r="C467" s="2"/>
      <c r="D467" s="1333" t="s">
        <v>1300</v>
      </c>
      <c r="E467" s="1334"/>
      <c r="F467" s="1334"/>
      <c r="G467" s="1334"/>
      <c r="H467" s="1334"/>
      <c r="I467" s="1334"/>
      <c r="J467" s="1334"/>
      <c r="K467" s="1334"/>
      <c r="L467" s="1334"/>
      <c r="M467" s="1334"/>
      <c r="N467" s="1334"/>
      <c r="O467" s="1334"/>
      <c r="P467" s="1334"/>
      <c r="Q467" s="1334"/>
      <c r="R467" s="1334"/>
      <c r="S467" s="1334"/>
      <c r="T467" s="1334"/>
      <c r="U467" s="1334"/>
      <c r="V467" s="1335"/>
      <c r="W467" s="1348">
        <v>0</v>
      </c>
      <c r="X467" s="1349"/>
      <c r="Y467" s="1350"/>
      <c r="Z467" s="104"/>
      <c r="AA467" s="104"/>
      <c r="AB467" s="104"/>
      <c r="AC467" s="104"/>
      <c r="AD467" s="366"/>
      <c r="AE467" s="366"/>
      <c r="AF467" s="366"/>
      <c r="AG467" s="366"/>
      <c r="AH467" s="366"/>
      <c r="AI467" s="366"/>
      <c r="AJ467" s="771"/>
      <c r="AZ467" s="2"/>
      <c r="BA467" s="2"/>
      <c r="BB467" s="2"/>
      <c r="BC467" s="2"/>
    </row>
    <row r="468" spans="1:55" ht="13.2" customHeight="1">
      <c r="A468" s="2"/>
      <c r="B468" s="2"/>
      <c r="C468" s="2"/>
      <c r="D468" s="1333" t="s">
        <v>1301</v>
      </c>
      <c r="E468" s="1334"/>
      <c r="F468" s="1334"/>
      <c r="G468" s="1334"/>
      <c r="H468" s="1334"/>
      <c r="I468" s="1334"/>
      <c r="J468" s="1334"/>
      <c r="K468" s="1334"/>
      <c r="L468" s="1334"/>
      <c r="M468" s="1334"/>
      <c r="N468" s="1334"/>
      <c r="O468" s="1334"/>
      <c r="P468" s="1334"/>
      <c r="Q468" s="1334"/>
      <c r="R468" s="1334"/>
      <c r="S468" s="1334"/>
      <c r="T468" s="1334"/>
      <c r="U468" s="1334"/>
      <c r="V468" s="1335"/>
      <c r="W468" s="1348">
        <v>0</v>
      </c>
      <c r="X468" s="1349"/>
      <c r="Y468" s="1350"/>
      <c r="Z468" s="104"/>
      <c r="AA468" s="104"/>
      <c r="AB468" s="104"/>
      <c r="AC468" s="104"/>
      <c r="AD468" s="366"/>
      <c r="AE468" s="366"/>
      <c r="AF468" s="366"/>
      <c r="AG468" s="366"/>
      <c r="AH468" s="366"/>
      <c r="AI468" s="366"/>
      <c r="AJ468" s="771"/>
      <c r="AZ468" s="2"/>
      <c r="BA468" s="2"/>
      <c r="BB468" s="2"/>
      <c r="BC468" s="2"/>
    </row>
    <row r="469" spans="1:55" ht="13.2" customHeight="1">
      <c r="A469" s="2"/>
      <c r="B469" s="2"/>
      <c r="C469" s="2"/>
      <c r="D469" s="1333" t="s">
        <v>1302</v>
      </c>
      <c r="E469" s="1334"/>
      <c r="F469" s="1334"/>
      <c r="G469" s="1334"/>
      <c r="H469" s="1334"/>
      <c r="I469" s="1334"/>
      <c r="J469" s="1334"/>
      <c r="K469" s="1334"/>
      <c r="L469" s="1334"/>
      <c r="M469" s="1334"/>
      <c r="N469" s="1334"/>
      <c r="O469" s="1334"/>
      <c r="P469" s="1334"/>
      <c r="Q469" s="1334"/>
      <c r="R469" s="1334"/>
      <c r="S469" s="1334"/>
      <c r="T469" s="1334"/>
      <c r="U469" s="1334"/>
      <c r="V469" s="1335"/>
      <c r="W469" s="1348">
        <v>0</v>
      </c>
      <c r="X469" s="1349"/>
      <c r="Y469" s="1350"/>
      <c r="Z469" s="104"/>
      <c r="AA469" s="104"/>
      <c r="AB469" s="104"/>
      <c r="AC469" s="104"/>
      <c r="AD469" s="366"/>
      <c r="AE469" s="366"/>
      <c r="AF469" s="366"/>
      <c r="AG469" s="366"/>
      <c r="AH469" s="366"/>
      <c r="AI469" s="366"/>
      <c r="AJ469" s="771"/>
      <c r="AZ469" s="2"/>
      <c r="BA469" s="2" t="str">
        <f>N591</f>
        <v>Yes</v>
      </c>
      <c r="BB469" s="2"/>
      <c r="BC469" s="2"/>
    </row>
    <row r="470" spans="1:55" ht="13.2" customHeight="1">
      <c r="A470" s="2"/>
      <c r="B470" s="2"/>
      <c r="C470" s="2"/>
      <c r="D470" s="1333" t="s">
        <v>1303</v>
      </c>
      <c r="E470" s="1334"/>
      <c r="F470" s="1334"/>
      <c r="G470" s="1334"/>
      <c r="H470" s="1334"/>
      <c r="I470" s="1334"/>
      <c r="J470" s="1334"/>
      <c r="K470" s="1334"/>
      <c r="L470" s="1334"/>
      <c r="M470" s="1334"/>
      <c r="N470" s="1334"/>
      <c r="O470" s="1334"/>
      <c r="P470" s="1334"/>
      <c r="Q470" s="1334"/>
      <c r="R470" s="1334"/>
      <c r="S470" s="1334"/>
      <c r="T470" s="1334"/>
      <c r="U470" s="1334"/>
      <c r="V470" s="1335"/>
      <c r="W470" s="1348">
        <v>0</v>
      </c>
      <c r="X470" s="1349"/>
      <c r="Y470" s="1350"/>
      <c r="Z470" s="104"/>
      <c r="AA470" s="104"/>
      <c r="AB470" s="104"/>
      <c r="AC470" s="104"/>
      <c r="AD470" s="366"/>
      <c r="AE470" s="366"/>
      <c r="AF470" s="366"/>
      <c r="AG470" s="366"/>
      <c r="AH470" s="366"/>
      <c r="AI470" s="366"/>
      <c r="AJ470" s="771"/>
      <c r="AZ470" s="2"/>
      <c r="BA470" s="2" t="str">
        <f>AG591</f>
        <v>Yes</v>
      </c>
      <c r="BB470" s="2"/>
      <c r="BC470" s="2"/>
    </row>
    <row r="471" spans="1:55" ht="13.2" customHeight="1">
      <c r="A471" s="2"/>
      <c r="B471" s="2"/>
      <c r="C471" s="2"/>
      <c r="D471" s="1333" t="s">
        <v>1304</v>
      </c>
      <c r="E471" s="1334"/>
      <c r="F471" s="1334"/>
      <c r="G471" s="1334"/>
      <c r="H471" s="1334"/>
      <c r="I471" s="1334"/>
      <c r="J471" s="1334"/>
      <c r="K471" s="1334"/>
      <c r="L471" s="1334"/>
      <c r="M471" s="1334"/>
      <c r="N471" s="1334"/>
      <c r="O471" s="1334"/>
      <c r="P471" s="1334"/>
      <c r="Q471" s="1334"/>
      <c r="R471" s="1334"/>
      <c r="S471" s="1334"/>
      <c r="T471" s="1334"/>
      <c r="U471" s="1334"/>
      <c r="V471" s="1335"/>
      <c r="W471" s="1348">
        <v>0</v>
      </c>
      <c r="X471" s="1349"/>
      <c r="Y471" s="1350"/>
      <c r="Z471" s="104"/>
      <c r="AA471" s="104"/>
      <c r="AB471" s="104"/>
      <c r="AC471" s="104"/>
      <c r="AD471" s="366"/>
      <c r="AE471" s="366"/>
      <c r="AF471" s="366"/>
      <c r="AG471" s="366"/>
      <c r="AH471" s="366"/>
      <c r="AI471" s="366"/>
      <c r="AJ471" s="771"/>
      <c r="AZ471" s="2"/>
      <c r="BA471" s="2"/>
      <c r="BB471" s="2"/>
      <c r="BC471" s="2"/>
    </row>
    <row r="472" spans="1:55" ht="13.2" customHeight="1">
      <c r="A472" s="2"/>
      <c r="B472" s="2"/>
      <c r="C472" s="2"/>
      <c r="D472" s="1333" t="s">
        <v>1305</v>
      </c>
      <c r="E472" s="1334"/>
      <c r="F472" s="1334"/>
      <c r="G472" s="1334"/>
      <c r="H472" s="1334"/>
      <c r="I472" s="1334"/>
      <c r="J472" s="1334"/>
      <c r="K472" s="1334"/>
      <c r="L472" s="1334"/>
      <c r="M472" s="1334"/>
      <c r="N472" s="1334"/>
      <c r="O472" s="1334"/>
      <c r="P472" s="1334"/>
      <c r="Q472" s="1334"/>
      <c r="R472" s="1334"/>
      <c r="S472" s="1334"/>
      <c r="T472" s="1334"/>
      <c r="U472" s="1334"/>
      <c r="V472" s="1335"/>
      <c r="W472" s="1348">
        <v>0</v>
      </c>
      <c r="X472" s="1349"/>
      <c r="Y472" s="1350"/>
      <c r="Z472" s="104"/>
      <c r="AA472" s="104"/>
      <c r="AB472" s="104"/>
      <c r="AC472" s="104"/>
      <c r="AD472" s="366"/>
      <c r="AE472" s="366"/>
      <c r="AF472" s="366"/>
      <c r="AG472" s="366"/>
      <c r="AH472" s="366"/>
      <c r="AI472" s="366"/>
      <c r="AJ472" s="771"/>
      <c r="AZ472" s="2"/>
      <c r="BA472" s="2"/>
      <c r="BB472" s="2"/>
      <c r="BC472" s="2"/>
    </row>
    <row r="473" spans="1:55" ht="13.2" customHeight="1">
      <c r="A473" s="2"/>
      <c r="B473" s="2"/>
      <c r="C473" s="2"/>
      <c r="D473" s="1333" t="s">
        <v>1306</v>
      </c>
      <c r="E473" s="1334"/>
      <c r="F473" s="1334"/>
      <c r="G473" s="1334"/>
      <c r="H473" s="1334"/>
      <c r="I473" s="1334"/>
      <c r="J473" s="1334"/>
      <c r="K473" s="1334"/>
      <c r="L473" s="1334"/>
      <c r="M473" s="1334"/>
      <c r="N473" s="1334"/>
      <c r="O473" s="1334"/>
      <c r="P473" s="1334"/>
      <c r="Q473" s="1334"/>
      <c r="R473" s="1334"/>
      <c r="S473" s="1334"/>
      <c r="T473" s="1334"/>
      <c r="U473" s="1334"/>
      <c r="V473" s="1335"/>
      <c r="W473" s="1348">
        <v>15</v>
      </c>
      <c r="X473" s="1349"/>
      <c r="Y473" s="1350"/>
      <c r="Z473" s="104"/>
      <c r="AA473" s="104"/>
      <c r="AB473" s="104"/>
      <c r="AC473" s="104"/>
      <c r="AD473" s="366"/>
      <c r="AE473" s="366"/>
      <c r="AF473" s="366"/>
      <c r="AG473" s="366"/>
      <c r="AH473" s="366"/>
      <c r="AI473" s="366"/>
      <c r="AJ473" s="771"/>
      <c r="AZ473" s="2"/>
      <c r="BA473" s="2"/>
      <c r="BB473" s="2"/>
      <c r="BC473" s="2"/>
    </row>
    <row r="474" spans="1:55" ht="13.2" customHeight="1">
      <c r="A474" s="2"/>
      <c r="B474" s="2"/>
      <c r="C474" s="2"/>
      <c r="D474" s="1048" t="s">
        <v>233</v>
      </c>
      <c r="E474" s="1049"/>
      <c r="F474" s="1050"/>
      <c r="G474" s="1604" t="s">
        <v>1307</v>
      </c>
      <c r="H474" s="1605"/>
      <c r="I474" s="1605"/>
      <c r="J474" s="1605"/>
      <c r="K474" s="1605"/>
      <c r="L474" s="1605"/>
      <c r="M474" s="1605"/>
      <c r="N474" s="1605"/>
      <c r="O474" s="1605"/>
      <c r="P474" s="1605"/>
      <c r="Q474" s="1605"/>
      <c r="R474" s="1605"/>
      <c r="S474" s="1605"/>
      <c r="T474" s="1605"/>
      <c r="U474" s="1605"/>
      <c r="V474" s="1606"/>
      <c r="W474" s="1348">
        <f>99-15</f>
        <v>84</v>
      </c>
      <c r="X474" s="1349"/>
      <c r="Y474" s="1350"/>
      <c r="Z474" s="104"/>
      <c r="AA474" s="104"/>
      <c r="AB474" s="104"/>
      <c r="AC474" s="104"/>
      <c r="AD474" s="366"/>
      <c r="AE474" s="366"/>
      <c r="AF474" s="366"/>
      <c r="AG474" s="366"/>
      <c r="AH474" s="366"/>
      <c r="AI474" s="366"/>
      <c r="AJ474" s="771"/>
      <c r="AZ474" s="2"/>
      <c r="BA474" s="2"/>
      <c r="BB474" s="2"/>
      <c r="BC474" s="2"/>
    </row>
    <row r="475" spans="1:55" ht="13.2" customHeight="1">
      <c r="A475" s="2"/>
      <c r="B475" s="2"/>
      <c r="C475" s="2"/>
      <c r="D475" s="1051" t="s">
        <v>1308</v>
      </c>
      <c r="E475" s="1052"/>
      <c r="F475" s="1052"/>
      <c r="G475" s="104"/>
      <c r="H475" s="104"/>
      <c r="I475" s="104"/>
      <c r="J475" s="104"/>
      <c r="K475" s="104"/>
      <c r="L475" s="104"/>
      <c r="M475" s="104"/>
      <c r="N475" s="104"/>
      <c r="O475" s="104"/>
      <c r="P475" s="104"/>
      <c r="Q475" s="104"/>
      <c r="R475" s="104"/>
      <c r="S475" s="104"/>
      <c r="T475" s="104"/>
      <c r="U475" s="104"/>
      <c r="V475" s="104"/>
      <c r="W475" s="1053"/>
      <c r="X475" s="1053"/>
      <c r="Y475" s="1054"/>
      <c r="Z475" s="104"/>
      <c r="AA475" s="104"/>
      <c r="AB475" s="104"/>
      <c r="AC475" s="104"/>
      <c r="AD475" s="366"/>
      <c r="AE475" s="366"/>
      <c r="AF475" s="366"/>
      <c r="AG475" s="366"/>
      <c r="AH475" s="366"/>
      <c r="AI475" s="366"/>
      <c r="AJ475" s="771"/>
      <c r="AZ475" s="2"/>
      <c r="BA475" s="2"/>
      <c r="BB475" s="2"/>
      <c r="BC475" s="2"/>
    </row>
    <row r="476" spans="1:55" ht="13.2" customHeight="1">
      <c r="A476" s="2"/>
      <c r="B476" s="2"/>
      <c r="C476" s="2"/>
      <c r="D476" s="1148"/>
      <c r="E476" s="1149"/>
      <c r="F476" s="1149"/>
      <c r="G476" s="1149"/>
      <c r="H476" s="1149"/>
      <c r="I476" s="1149"/>
      <c r="J476" s="1149"/>
      <c r="K476" s="1149"/>
      <c r="L476" s="1149"/>
      <c r="M476" s="1149"/>
      <c r="N476" s="1149"/>
      <c r="O476" s="1149"/>
      <c r="P476" s="1149"/>
      <c r="Q476" s="1149"/>
      <c r="R476" s="1149"/>
      <c r="S476" s="1149"/>
      <c r="T476" s="1149"/>
      <c r="U476" s="1149"/>
      <c r="V476" s="1149"/>
      <c r="W476" s="1055"/>
      <c r="X476" s="1055"/>
      <c r="Y476" s="1056"/>
      <c r="Z476" s="104"/>
      <c r="AA476" s="104"/>
      <c r="AB476" s="104"/>
      <c r="AC476" s="104"/>
      <c r="AD476" s="366"/>
      <c r="AE476" s="366"/>
      <c r="AF476" s="366"/>
      <c r="AG476" s="366"/>
      <c r="AH476" s="366"/>
      <c r="AI476" s="366"/>
      <c r="AJ476" s="771"/>
      <c r="AZ476" s="2"/>
      <c r="BA476" s="2"/>
      <c r="BB476" s="2"/>
      <c r="BC476" s="2"/>
    </row>
    <row r="477" spans="1:55" ht="13.2" customHeight="1">
      <c r="A477" s="2"/>
      <c r="B477" s="2"/>
      <c r="C477" s="2"/>
      <c r="D477" s="1148"/>
      <c r="E477" s="1149"/>
      <c r="F477" s="1149"/>
      <c r="G477" s="1149"/>
      <c r="H477" s="1149"/>
      <c r="I477" s="1149"/>
      <c r="J477" s="1149"/>
      <c r="K477" s="1149"/>
      <c r="L477" s="1149"/>
      <c r="M477" s="1149"/>
      <c r="N477" s="1149"/>
      <c r="O477" s="1149"/>
      <c r="P477" s="1149"/>
      <c r="Q477" s="1149"/>
      <c r="R477" s="1149"/>
      <c r="S477" s="1149"/>
      <c r="T477" s="1149"/>
      <c r="U477" s="1149"/>
      <c r="V477" s="1149"/>
      <c r="W477" s="1055"/>
      <c r="X477" s="1055"/>
      <c r="Y477" s="1056"/>
      <c r="Z477" s="104"/>
      <c r="AA477" s="104"/>
      <c r="AB477" s="104"/>
      <c r="AC477" s="104"/>
      <c r="AD477" s="366"/>
      <c r="AE477" s="366"/>
      <c r="AF477" s="366"/>
      <c r="AG477" s="366"/>
      <c r="AH477" s="366"/>
      <c r="AI477" s="366"/>
      <c r="AJ477" s="771"/>
      <c r="AZ477" s="2"/>
      <c r="BA477" s="2"/>
      <c r="BB477" s="2"/>
      <c r="BC477" s="2"/>
    </row>
    <row r="478" spans="1:55" ht="13.2" customHeight="1">
      <c r="A478" s="2"/>
      <c r="B478" s="2"/>
      <c r="C478" s="2"/>
      <c r="D478" s="1148"/>
      <c r="E478" s="1149"/>
      <c r="F478" s="1149"/>
      <c r="G478" s="1149"/>
      <c r="H478" s="1149"/>
      <c r="I478" s="1149"/>
      <c r="J478" s="1149"/>
      <c r="K478" s="1149"/>
      <c r="L478" s="1149"/>
      <c r="M478" s="1149"/>
      <c r="N478" s="1149"/>
      <c r="O478" s="1149"/>
      <c r="P478" s="1149"/>
      <c r="Q478" s="1149"/>
      <c r="R478" s="1149"/>
      <c r="S478" s="1149"/>
      <c r="T478" s="1149"/>
      <c r="U478" s="1149"/>
      <c r="V478" s="1149"/>
      <c r="W478" s="1055"/>
      <c r="X478" s="1055"/>
      <c r="Y478" s="1056"/>
      <c r="Z478" s="104"/>
      <c r="AA478" s="104"/>
      <c r="AB478" s="104"/>
      <c r="AC478" s="104"/>
      <c r="AD478" s="366"/>
      <c r="AE478" s="366"/>
      <c r="AF478" s="366"/>
      <c r="AG478" s="366"/>
      <c r="AH478" s="366"/>
      <c r="AI478" s="366"/>
      <c r="AJ478" s="771"/>
      <c r="AZ478" s="2"/>
      <c r="BA478" s="2" t="str">
        <f>N599</f>
        <v>Yes</v>
      </c>
      <c r="BB478" s="2"/>
      <c r="BC478" s="2"/>
    </row>
    <row r="479" spans="1:55" ht="13.2" customHeight="1">
      <c r="AU479" s="54"/>
      <c r="AV479" s="54"/>
      <c r="AW479" s="54"/>
      <c r="AX479" s="54"/>
      <c r="AY479" s="54"/>
      <c r="AZ479" s="2"/>
      <c r="BA479" s="2" t="str">
        <f>AG599</f>
        <v>No</v>
      </c>
      <c r="BB479" s="2"/>
      <c r="BC479" s="2"/>
    </row>
    <row r="480" spans="1:55" ht="13.2" customHeight="1">
      <c r="A480" s="1486" t="s">
        <v>1309</v>
      </c>
      <c r="B480" s="1486"/>
      <c r="C480" s="1486"/>
      <c r="D480" s="1486"/>
      <c r="E480" s="1486"/>
      <c r="F480" s="1486"/>
      <c r="G480" s="1486"/>
      <c r="H480" s="1486"/>
      <c r="I480" s="1486"/>
      <c r="J480" s="1486"/>
      <c r="K480" s="1486"/>
      <c r="L480" s="1486"/>
      <c r="M480" s="1486"/>
      <c r="N480" s="1486"/>
      <c r="O480" s="1486"/>
      <c r="P480" s="1486"/>
      <c r="Q480" s="1486"/>
      <c r="R480" s="1486"/>
      <c r="S480" s="1486"/>
      <c r="T480" s="1486"/>
      <c r="U480" s="1486"/>
      <c r="V480" s="1486"/>
      <c r="W480" s="1486"/>
      <c r="X480" s="1486"/>
      <c r="Y480" s="1486"/>
      <c r="Z480" s="1486"/>
      <c r="AA480" s="1486"/>
      <c r="AB480" s="1486"/>
      <c r="AC480" s="1486"/>
      <c r="AD480" s="1486"/>
      <c r="AE480" s="1486"/>
      <c r="AF480" s="1486"/>
      <c r="AG480" s="1486"/>
      <c r="AH480" s="1486"/>
      <c r="AI480" s="1486"/>
      <c r="AJ480" s="1486"/>
      <c r="AK480" s="1486"/>
      <c r="AL480" s="1486"/>
      <c r="AM480" s="1486"/>
      <c r="AN480" s="1486"/>
      <c r="AO480" s="1486"/>
      <c r="AP480" s="1486"/>
      <c r="AQ480" s="1486"/>
      <c r="AR480" s="1486"/>
      <c r="AS480" s="1486"/>
      <c r="AT480" s="1486"/>
      <c r="AU480" s="54"/>
      <c r="AV480" s="54"/>
      <c r="AW480" s="54"/>
      <c r="AX480" s="54"/>
      <c r="AY480" s="54"/>
      <c r="AZ480" s="2"/>
      <c r="BB480" s="2"/>
      <c r="BC480" s="2"/>
    </row>
    <row r="481" spans="1:55" ht="13.2" customHeight="1">
      <c r="A481" s="1486"/>
      <c r="B481" s="1486"/>
      <c r="C481" s="1486"/>
      <c r="D481" s="1486"/>
      <c r="E481" s="1486"/>
      <c r="F481" s="1486"/>
      <c r="G481" s="1486"/>
      <c r="H481" s="1486"/>
      <c r="I481" s="1486"/>
      <c r="J481" s="1486"/>
      <c r="K481" s="1486"/>
      <c r="L481" s="1486"/>
      <c r="M481" s="1486"/>
      <c r="N481" s="1486"/>
      <c r="O481" s="1486"/>
      <c r="P481" s="1486"/>
      <c r="Q481" s="1486"/>
      <c r="R481" s="1486"/>
      <c r="S481" s="1486"/>
      <c r="T481" s="1486"/>
      <c r="U481" s="1486"/>
      <c r="V481" s="1486"/>
      <c r="W481" s="1486"/>
      <c r="X481" s="1486"/>
      <c r="Y481" s="1486"/>
      <c r="Z481" s="1486"/>
      <c r="AA481" s="1486"/>
      <c r="AB481" s="1486"/>
      <c r="AC481" s="1486"/>
      <c r="AD481" s="1486"/>
      <c r="AE481" s="1486"/>
      <c r="AF481" s="1486"/>
      <c r="AG481" s="1486"/>
      <c r="AH481" s="1486"/>
      <c r="AI481" s="1486"/>
      <c r="AJ481" s="1486"/>
      <c r="AK481" s="1486"/>
      <c r="AL481" s="1486"/>
      <c r="AM481" s="1486"/>
      <c r="AN481" s="1486"/>
      <c r="AO481" s="1486"/>
      <c r="AP481" s="1486"/>
      <c r="AQ481" s="1486"/>
      <c r="AR481" s="1486"/>
      <c r="AS481" s="1486"/>
      <c r="AT481" s="1486"/>
      <c r="AZ481" s="2"/>
      <c r="BB481" s="2"/>
      <c r="BC481" s="2"/>
    </row>
    <row r="482" spans="1:55" ht="13.2" customHeight="1">
      <c r="AZ482" s="2"/>
      <c r="BB482" s="2"/>
      <c r="BC482" s="2"/>
    </row>
    <row r="483" spans="1:55" ht="13.2" customHeight="1">
      <c r="A483" s="1" t="s">
        <v>871</v>
      </c>
      <c r="C483" s="1" t="s">
        <v>165</v>
      </c>
      <c r="AZ483" s="2"/>
      <c r="BB483" s="2"/>
      <c r="BC483" s="2"/>
    </row>
    <row r="484" spans="1:55" ht="13.2" customHeight="1">
      <c r="AZ484" s="2"/>
      <c r="BB484" s="2"/>
      <c r="BC484" s="2"/>
    </row>
    <row r="485" spans="1:55" ht="13.2" customHeight="1">
      <c r="B485" s="1105"/>
      <c r="C485" s="4"/>
      <c r="D485" s="4"/>
      <c r="E485" s="4"/>
      <c r="F485" s="4"/>
      <c r="G485" s="4"/>
      <c r="H485" s="4"/>
      <c r="I485" s="4"/>
      <c r="J485" s="4"/>
      <c r="K485" s="4"/>
      <c r="L485" s="4"/>
      <c r="M485" s="4"/>
      <c r="N485" s="4"/>
      <c r="O485" s="4"/>
      <c r="P485" s="1106"/>
      <c r="Q485" s="1343" t="s">
        <v>1310</v>
      </c>
      <c r="R485" s="1344"/>
      <c r="S485" s="1344"/>
      <c r="T485" s="1344"/>
      <c r="U485" s="1344"/>
      <c r="V485" s="1344"/>
      <c r="W485" s="1344"/>
      <c r="X485" s="1344"/>
      <c r="Y485" s="1344"/>
      <c r="Z485" s="1344"/>
      <c r="AA485" s="1344"/>
      <c r="AB485" s="1344"/>
      <c r="AC485" s="1344"/>
      <c r="AD485" s="1344"/>
      <c r="AE485" s="1344"/>
      <c r="AF485" s="1344"/>
      <c r="AG485" s="1344"/>
      <c r="AH485" s="1344"/>
      <c r="AI485" s="1344"/>
      <c r="AJ485" s="1344"/>
      <c r="AK485" s="1345"/>
      <c r="AZ485" s="2"/>
      <c r="BB485" s="2"/>
      <c r="BC485" s="2"/>
    </row>
    <row r="486" spans="1:55" ht="13.2" customHeight="1">
      <c r="B486" s="1105" t="s">
        <v>1311</v>
      </c>
      <c r="C486" s="4"/>
      <c r="D486" s="4"/>
      <c r="E486" s="4"/>
      <c r="F486" s="4"/>
      <c r="G486" s="4"/>
      <c r="H486" s="4"/>
      <c r="I486" s="4"/>
      <c r="J486" s="4"/>
      <c r="K486" s="4"/>
      <c r="L486" s="4"/>
      <c r="M486" s="4"/>
      <c r="N486" s="4"/>
      <c r="O486" s="4"/>
      <c r="P486" s="4"/>
      <c r="Q486" s="1418" t="s">
        <v>1312</v>
      </c>
      <c r="R486" s="1329"/>
      <c r="S486" s="1329"/>
      <c r="T486" s="1329"/>
      <c r="U486" s="1329"/>
      <c r="V486" s="1329"/>
      <c r="W486" s="1329"/>
      <c r="X486" s="1329"/>
      <c r="Y486" s="1329"/>
      <c r="Z486" s="1329"/>
      <c r="AA486" s="1329"/>
      <c r="AB486" s="1329"/>
      <c r="AC486" s="1329"/>
      <c r="AD486" s="1329"/>
      <c r="AE486" s="1329"/>
      <c r="AF486" s="1329"/>
      <c r="AG486" s="1329"/>
      <c r="AH486" s="1329"/>
      <c r="AI486" s="1329"/>
      <c r="AJ486" s="1329"/>
      <c r="AK486" s="1330"/>
      <c r="AZ486" s="2"/>
      <c r="BB486" s="2"/>
      <c r="BC486" s="2"/>
    </row>
    <row r="487" spans="1:55" ht="13.2" customHeight="1">
      <c r="B487" s="1105" t="s">
        <v>1313</v>
      </c>
      <c r="C487" s="4"/>
      <c r="D487" s="4"/>
      <c r="E487" s="4"/>
      <c r="F487" s="4"/>
      <c r="G487" s="4"/>
      <c r="H487" s="4"/>
      <c r="I487" s="4"/>
      <c r="J487" s="4"/>
      <c r="K487" s="4"/>
      <c r="L487" s="4"/>
      <c r="M487" s="4"/>
      <c r="N487" s="4"/>
      <c r="O487" s="4"/>
      <c r="P487" s="4"/>
      <c r="Q487" s="1418" t="s">
        <v>1312</v>
      </c>
      <c r="R487" s="1329"/>
      <c r="S487" s="1329"/>
      <c r="T487" s="1329"/>
      <c r="U487" s="1329"/>
      <c r="V487" s="1329"/>
      <c r="W487" s="1329"/>
      <c r="X487" s="1329"/>
      <c r="Y487" s="1329"/>
      <c r="Z487" s="1329"/>
      <c r="AA487" s="1329"/>
      <c r="AB487" s="1329"/>
      <c r="AC487" s="1329"/>
      <c r="AD487" s="1329"/>
      <c r="AE487" s="1329"/>
      <c r="AF487" s="1329"/>
      <c r="AG487" s="1329"/>
      <c r="AH487" s="1329"/>
      <c r="AI487" s="1329"/>
      <c r="AJ487" s="1329"/>
      <c r="AK487" s="1330"/>
      <c r="AZ487" s="2"/>
      <c r="BB487" s="2"/>
      <c r="BC487" s="2"/>
    </row>
    <row r="488" spans="1:55" ht="13.2" customHeight="1">
      <c r="B488" s="1105" t="s">
        <v>1314</v>
      </c>
      <c r="C488" s="4"/>
      <c r="D488" s="4"/>
      <c r="E488" s="4"/>
      <c r="F488" s="4"/>
      <c r="G488" s="4"/>
      <c r="H488" s="4"/>
      <c r="I488" s="4"/>
      <c r="J488" s="4"/>
      <c r="K488" s="4"/>
      <c r="L488" s="4"/>
      <c r="M488" s="4"/>
      <c r="N488" s="4"/>
      <c r="O488" s="4"/>
      <c r="P488" s="4"/>
      <c r="Q488" s="1418" t="s">
        <v>1315</v>
      </c>
      <c r="R488" s="1329"/>
      <c r="S488" s="1329"/>
      <c r="T488" s="1329"/>
      <c r="U488" s="1329"/>
      <c r="V488" s="1329"/>
      <c r="W488" s="1329"/>
      <c r="X488" s="1329"/>
      <c r="Y488" s="1329"/>
      <c r="Z488" s="1329"/>
      <c r="AA488" s="1329"/>
      <c r="AB488" s="1329"/>
      <c r="AC488" s="1329"/>
      <c r="AD488" s="1329"/>
      <c r="AE488" s="1329"/>
      <c r="AF488" s="1329"/>
      <c r="AG488" s="1329"/>
      <c r="AH488" s="1329"/>
      <c r="AI488" s="1329"/>
      <c r="AJ488" s="1329"/>
      <c r="AK488" s="1330"/>
      <c r="AZ488" s="2"/>
      <c r="BA488" s="2"/>
      <c r="BB488" s="2"/>
      <c r="BC488" s="2"/>
    </row>
    <row r="489" spans="1:55" ht="13.2" customHeight="1">
      <c r="B489" s="1408" t="s">
        <v>1316</v>
      </c>
      <c r="C489" s="1409"/>
      <c r="D489" s="1409"/>
      <c r="E489" s="1409"/>
      <c r="F489" s="1409"/>
      <c r="G489" s="1409"/>
      <c r="H489" s="1409"/>
      <c r="I489" s="1409"/>
      <c r="J489" s="1409"/>
      <c r="K489" s="1409"/>
      <c r="L489" s="1409"/>
      <c r="M489" s="1409"/>
      <c r="N489" s="1409"/>
      <c r="O489" s="1409"/>
      <c r="P489" s="1410"/>
      <c r="Q489" s="1414" t="s">
        <v>844</v>
      </c>
      <c r="R489" s="1415"/>
      <c r="S489" s="1515" t="s">
        <v>1317</v>
      </c>
      <c r="T489" s="1516"/>
      <c r="U489" s="1516"/>
      <c r="V489" s="1516"/>
      <c r="W489" s="1516"/>
      <c r="X489" s="1516"/>
      <c r="Y489" s="1516"/>
      <c r="Z489" s="1516"/>
      <c r="AA489" s="1516"/>
      <c r="AB489" s="1516"/>
      <c r="AC489" s="1516"/>
      <c r="AD489" s="1516"/>
      <c r="AE489" s="1516"/>
      <c r="AF489" s="1516"/>
      <c r="AG489" s="1516"/>
      <c r="AH489" s="1516"/>
      <c r="AI489" s="1516"/>
      <c r="AJ489" s="1516"/>
      <c r="AK489" s="1517"/>
      <c r="AZ489" s="2"/>
      <c r="BA489" s="2"/>
      <c r="BB489" s="2"/>
      <c r="BC489" s="2"/>
    </row>
    <row r="490" spans="1:55" ht="13.2" customHeight="1">
      <c r="B490" s="1411"/>
      <c r="C490" s="1412"/>
      <c r="D490" s="1412"/>
      <c r="E490" s="1412"/>
      <c r="F490" s="1412"/>
      <c r="G490" s="1412"/>
      <c r="H490" s="1412"/>
      <c r="I490" s="1412"/>
      <c r="J490" s="1412"/>
      <c r="K490" s="1412"/>
      <c r="L490" s="1412"/>
      <c r="M490" s="1412"/>
      <c r="N490" s="1412"/>
      <c r="O490" s="1412"/>
      <c r="P490" s="1413"/>
      <c r="Q490" s="1416"/>
      <c r="R490" s="1417"/>
      <c r="S490" s="1518"/>
      <c r="T490" s="1482"/>
      <c r="U490" s="1482"/>
      <c r="V490" s="1482"/>
      <c r="W490" s="1482"/>
      <c r="X490" s="1482"/>
      <c r="Y490" s="1482"/>
      <c r="Z490" s="1482"/>
      <c r="AA490" s="1482"/>
      <c r="AB490" s="1482"/>
      <c r="AC490" s="1482"/>
      <c r="AD490" s="1482"/>
      <c r="AE490" s="1482"/>
      <c r="AF490" s="1482"/>
      <c r="AG490" s="1482"/>
      <c r="AH490" s="1482"/>
      <c r="AI490" s="1482"/>
      <c r="AJ490" s="1482"/>
      <c r="AK490" s="1519"/>
      <c r="AZ490" s="2"/>
      <c r="BA490" s="2"/>
      <c r="BB490" s="2"/>
      <c r="BC490" s="2"/>
    </row>
    <row r="491" spans="1:55" ht="13.2" customHeight="1">
      <c r="B491" s="707" t="s">
        <v>1318</v>
      </c>
      <c r="C491" s="1163"/>
      <c r="D491" s="1163"/>
      <c r="E491" s="1163"/>
      <c r="F491" s="1163"/>
      <c r="G491" s="1163"/>
      <c r="H491" s="1163"/>
      <c r="I491" s="1163"/>
      <c r="J491" s="1163"/>
      <c r="K491" s="1163"/>
      <c r="L491" s="1163"/>
      <c r="M491" s="1163"/>
      <c r="N491" s="1163"/>
      <c r="O491" s="1163"/>
      <c r="P491" s="1163"/>
      <c r="Q491" s="1336"/>
      <c r="R491" s="1337"/>
      <c r="S491" s="1337"/>
      <c r="T491" s="1337"/>
      <c r="U491" s="1337"/>
      <c r="V491" s="1337"/>
      <c r="W491" s="1337"/>
      <c r="X491" s="1337"/>
      <c r="Y491" s="1337"/>
      <c r="Z491" s="1337"/>
      <c r="AA491" s="1337"/>
      <c r="AB491" s="1337"/>
      <c r="AC491" s="1337"/>
      <c r="AD491" s="1337"/>
      <c r="AE491" s="1337"/>
      <c r="AF491" s="1337"/>
      <c r="AG491" s="1337"/>
      <c r="AH491" s="1337"/>
      <c r="AI491" s="1337"/>
      <c r="AJ491" s="1337"/>
      <c r="AK491" s="1338"/>
      <c r="AZ491" s="2"/>
      <c r="BA491" s="2"/>
      <c r="BB491" s="2"/>
      <c r="BC491" s="2"/>
    </row>
    <row r="492" spans="1:55" ht="13.2" customHeight="1">
      <c r="B492" s="1105" t="s">
        <v>1319</v>
      </c>
      <c r="C492" s="4"/>
      <c r="D492" s="4"/>
      <c r="E492" s="4"/>
      <c r="F492" s="4"/>
      <c r="G492" s="4"/>
      <c r="H492" s="4"/>
      <c r="I492" s="4"/>
      <c r="J492" s="4"/>
      <c r="K492" s="4"/>
      <c r="L492" s="4"/>
      <c r="M492" s="4"/>
      <c r="N492" s="4"/>
      <c r="O492" s="4"/>
      <c r="P492" s="4"/>
      <c r="Q492" s="1418" t="s">
        <v>1320</v>
      </c>
      <c r="R492" s="1329"/>
      <c r="S492" s="1329"/>
      <c r="T492" s="1329"/>
      <c r="U492" s="1329"/>
      <c r="V492" s="1329"/>
      <c r="W492" s="1329"/>
      <c r="X492" s="1329"/>
      <c r="Y492" s="1329"/>
      <c r="Z492" s="1329"/>
      <c r="AA492" s="1329"/>
      <c r="AB492" s="1329"/>
      <c r="AC492" s="1329"/>
      <c r="AD492" s="1329"/>
      <c r="AE492" s="1329"/>
      <c r="AF492" s="1329"/>
      <c r="AG492" s="1329"/>
      <c r="AH492" s="1329"/>
      <c r="AI492" s="1329"/>
      <c r="AJ492" s="1329"/>
      <c r="AK492" s="1330"/>
      <c r="AZ492" s="2"/>
      <c r="BA492" s="2"/>
      <c r="BB492" s="2"/>
      <c r="BC492" s="2"/>
    </row>
    <row r="493" spans="1:55" ht="13.2" customHeight="1">
      <c r="B493" s="1105" t="s">
        <v>1321</v>
      </c>
      <c r="C493" s="4"/>
      <c r="D493" s="4"/>
      <c r="E493" s="4"/>
      <c r="F493" s="4"/>
      <c r="G493" s="4"/>
      <c r="H493" s="4"/>
      <c r="I493" s="4"/>
      <c r="J493" s="4"/>
      <c r="K493" s="4"/>
      <c r="L493" s="4"/>
      <c r="M493" s="4"/>
      <c r="N493" s="4"/>
      <c r="O493" s="4"/>
      <c r="P493" s="4"/>
      <c r="Q493" s="1328">
        <v>0</v>
      </c>
      <c r="R493" s="1329"/>
      <c r="S493" s="1329"/>
      <c r="T493" s="1329"/>
      <c r="U493" s="1329"/>
      <c r="V493" s="1329"/>
      <c r="W493" s="1329"/>
      <c r="X493" s="1329"/>
      <c r="Y493" s="1329"/>
      <c r="Z493" s="1329"/>
      <c r="AA493" s="1329"/>
      <c r="AB493" s="1329"/>
      <c r="AC493" s="1329"/>
      <c r="AD493" s="1329"/>
      <c r="AE493" s="1329"/>
      <c r="AF493" s="1329"/>
      <c r="AG493" s="1329"/>
      <c r="AH493" s="1329"/>
      <c r="AI493" s="1329"/>
      <c r="AJ493" s="1329"/>
      <c r="AK493" s="1330"/>
      <c r="AZ493" s="2"/>
      <c r="BA493" s="2"/>
      <c r="BB493" s="2"/>
      <c r="BC493" s="2"/>
    </row>
    <row r="494" spans="1:55" ht="13.2" customHeight="1">
      <c r="B494" s="1107" t="s">
        <v>1322</v>
      </c>
      <c r="C494" s="4"/>
      <c r="D494" s="4"/>
      <c r="E494" s="4"/>
      <c r="F494" s="4"/>
      <c r="G494" s="4"/>
      <c r="H494" s="4"/>
      <c r="I494" s="4"/>
      <c r="J494" s="4"/>
      <c r="K494" s="4"/>
      <c r="L494" s="4"/>
      <c r="M494" s="4"/>
      <c r="N494" s="4"/>
      <c r="O494" s="4"/>
      <c r="P494" s="4"/>
      <c r="Q494" s="1328">
        <v>16</v>
      </c>
      <c r="R494" s="1329"/>
      <c r="S494" s="1329"/>
      <c r="T494" s="1329"/>
      <c r="U494" s="1329"/>
      <c r="V494" s="1329"/>
      <c r="W494" s="1329"/>
      <c r="X494" s="1329"/>
      <c r="Y494" s="1329"/>
      <c r="Z494" s="1329"/>
      <c r="AA494" s="1329"/>
      <c r="AB494" s="1329"/>
      <c r="AC494" s="1329"/>
      <c r="AD494" s="1329"/>
      <c r="AE494" s="1329"/>
      <c r="AF494" s="1329"/>
      <c r="AG494" s="1329"/>
      <c r="AH494" s="1329"/>
      <c r="AI494" s="1329"/>
      <c r="AJ494" s="1329"/>
      <c r="AK494" s="1330"/>
      <c r="AZ494" s="2"/>
      <c r="BA494" s="2"/>
      <c r="BB494" s="2"/>
      <c r="BC494" s="2"/>
    </row>
    <row r="495" spans="1:55" ht="13.2" customHeight="1">
      <c r="B495" s="1107" t="s">
        <v>1323</v>
      </c>
      <c r="C495" s="4"/>
      <c r="D495" s="4"/>
      <c r="E495" s="4"/>
      <c r="F495" s="4"/>
      <c r="G495" s="4"/>
      <c r="H495" s="4"/>
      <c r="I495" s="4"/>
      <c r="J495" s="4"/>
      <c r="K495" s="4"/>
      <c r="L495" s="4"/>
      <c r="M495" s="1339">
        <v>16</v>
      </c>
      <c r="N495" s="1340"/>
      <c r="O495" s="1340"/>
      <c r="P495" s="1341"/>
      <c r="Q495" s="1107" t="s">
        <v>1324</v>
      </c>
      <c r="R495" s="4"/>
      <c r="S495" s="4"/>
      <c r="T495" s="4"/>
      <c r="U495" s="4"/>
      <c r="V495" s="4"/>
      <c r="W495" s="4"/>
      <c r="X495" s="4"/>
      <c r="Y495" s="4"/>
      <c r="Z495" s="4"/>
      <c r="AA495" s="4"/>
      <c r="AB495" s="4"/>
      <c r="AC495" s="4"/>
      <c r="AD495" s="4"/>
      <c r="AE495" s="4"/>
      <c r="AF495" s="4"/>
      <c r="AG495" s="4"/>
      <c r="AH495" s="1339"/>
      <c r="AI495" s="1340"/>
      <c r="AJ495" s="1340"/>
      <c r="AK495" s="1341"/>
      <c r="AZ495" s="2"/>
      <c r="BA495" s="2"/>
      <c r="BB495" s="2"/>
      <c r="BC495" s="2"/>
    </row>
    <row r="496" spans="1:55" ht="13.2" customHeight="1">
      <c r="B496" s="363"/>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3.2" customHeight="1">
      <c r="A497" s="1" t="s">
        <v>912</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3.2" customHeight="1">
      <c r="B498" s="377"/>
      <c r="C498" s="363"/>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3.2"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343" t="s">
        <v>1325</v>
      </c>
      <c r="AD499" s="1344"/>
      <c r="AE499" s="1344"/>
      <c r="AF499" s="1344"/>
      <c r="AG499" s="1344"/>
      <c r="AH499" s="1344"/>
      <c r="AI499" s="1344"/>
      <c r="AJ499" s="1344"/>
      <c r="AK499" s="1345"/>
      <c r="AZ499" s="2"/>
      <c r="BA499" s="2"/>
      <c r="BB499" s="2"/>
      <c r="BC499" s="2"/>
      <c r="BD499" s="2"/>
      <c r="BE499" s="2"/>
      <c r="BF499" s="2"/>
      <c r="BG499" s="2"/>
      <c r="BH499" s="2"/>
      <c r="BI499" s="2"/>
      <c r="BJ499" s="2"/>
      <c r="BK499" s="2"/>
      <c r="BL499" s="2"/>
      <c r="BM499" s="2"/>
      <c r="BN499" s="2"/>
    </row>
    <row r="500" spans="1:66" ht="13.2"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343" t="s">
        <v>1326</v>
      </c>
      <c r="AD500" s="1344"/>
      <c r="AE500" s="1344"/>
      <c r="AF500" s="1344"/>
      <c r="AG500" s="1150" t="s">
        <v>1327</v>
      </c>
      <c r="AH500" s="1344" t="s">
        <v>1328</v>
      </c>
      <c r="AI500" s="1344"/>
      <c r="AJ500" s="1344"/>
      <c r="AK500" s="1345"/>
      <c r="AZ500" s="2"/>
      <c r="BA500" s="2"/>
      <c r="BB500" s="2"/>
      <c r="BC500" s="2"/>
      <c r="BD500" s="2"/>
      <c r="BE500" s="2"/>
      <c r="BF500" s="2"/>
      <c r="BG500" s="2"/>
      <c r="BH500" s="2"/>
      <c r="BI500" s="2"/>
      <c r="BJ500" s="2"/>
      <c r="BK500" s="2"/>
      <c r="BL500" s="2"/>
      <c r="BM500" s="2"/>
      <c r="BN500" s="2"/>
    </row>
    <row r="501" spans="1:66" ht="13.2" customHeight="1">
      <c r="B501" s="1351" t="s">
        <v>1329</v>
      </c>
      <c r="C501" s="1352"/>
      <c r="D501" s="1352"/>
      <c r="E501" s="1352"/>
      <c r="F501" s="1352"/>
      <c r="G501" s="1352"/>
      <c r="H501" s="1353"/>
      <c r="I501" s="30" t="s">
        <v>1330</v>
      </c>
      <c r="J501" s="30"/>
      <c r="K501" s="30"/>
      <c r="L501" s="30"/>
      <c r="M501" s="30"/>
      <c r="N501" s="30"/>
      <c r="O501" s="30"/>
      <c r="P501" s="30"/>
      <c r="Q501" s="30"/>
      <c r="R501" s="30"/>
      <c r="S501" s="30"/>
      <c r="T501" s="30"/>
      <c r="U501" s="30"/>
      <c r="V501" s="30"/>
      <c r="W501" s="30"/>
      <c r="AC501" s="1346">
        <v>12</v>
      </c>
      <c r="AD501" s="1347"/>
      <c r="AE501" s="1347"/>
      <c r="AF501" s="1347"/>
      <c r="AG501" s="1178" t="s">
        <v>1327</v>
      </c>
      <c r="AH501" s="1382">
        <v>2024</v>
      </c>
      <c r="AI501" s="1382"/>
      <c r="AJ501" s="1382"/>
      <c r="AK501" s="1383"/>
      <c r="AZ501" s="2"/>
      <c r="BA501" s="2"/>
      <c r="BB501" s="2"/>
      <c r="BC501" s="2"/>
      <c r="BD501" s="2"/>
      <c r="BE501" s="2"/>
      <c r="BF501" s="2"/>
      <c r="BG501" s="2"/>
      <c r="BH501" s="2"/>
      <c r="BI501" s="2"/>
      <c r="BJ501" s="2"/>
      <c r="BK501" s="2"/>
      <c r="BL501" s="2"/>
      <c r="BM501" s="2"/>
      <c r="BN501" s="2"/>
    </row>
    <row r="502" spans="1:66" ht="13.2" customHeight="1">
      <c r="B502" s="1354"/>
      <c r="C502" s="1355"/>
      <c r="D502" s="1355"/>
      <c r="E502" s="1355"/>
      <c r="F502" s="1355"/>
      <c r="G502" s="1355"/>
      <c r="H502" s="1356"/>
      <c r="I502" s="32" t="s">
        <v>1331</v>
      </c>
      <c r="J502" s="32"/>
      <c r="K502" s="32"/>
      <c r="L502" s="32"/>
      <c r="M502" s="32"/>
      <c r="N502" s="32"/>
      <c r="O502" s="32"/>
      <c r="P502" s="32"/>
      <c r="Q502" s="32"/>
      <c r="R502" s="32"/>
      <c r="S502" s="32"/>
      <c r="T502" s="32"/>
      <c r="U502" s="32"/>
      <c r="V502" s="32"/>
      <c r="W502" s="32"/>
      <c r="X502" s="32"/>
      <c r="Y502" s="32"/>
      <c r="Z502" s="32"/>
      <c r="AA502" s="32"/>
      <c r="AB502" s="32"/>
      <c r="AC502" s="1346">
        <v>2</v>
      </c>
      <c r="AD502" s="1347"/>
      <c r="AE502" s="1347"/>
      <c r="AF502" s="1347"/>
      <c r="AG502" s="1160" t="s">
        <v>1327</v>
      </c>
      <c r="AH502" s="1382">
        <v>2026</v>
      </c>
      <c r="AI502" s="1382"/>
      <c r="AJ502" s="1382"/>
      <c r="AK502" s="1383"/>
      <c r="AZ502" s="2"/>
      <c r="BA502" s="2"/>
      <c r="BB502" s="2"/>
      <c r="BC502" s="2"/>
      <c r="BD502" s="2"/>
      <c r="BE502" s="2"/>
      <c r="BF502" s="2"/>
      <c r="BG502" s="2"/>
      <c r="BH502" s="2"/>
      <c r="BI502" s="2"/>
      <c r="BJ502" s="2"/>
      <c r="BK502" s="2"/>
      <c r="BL502" s="2"/>
      <c r="BM502" s="2"/>
      <c r="BN502" s="2"/>
    </row>
    <row r="503" spans="1:66" ht="13.2" customHeight="1">
      <c r="B503" s="1351" t="s">
        <v>1332</v>
      </c>
      <c r="C503" s="1352"/>
      <c r="D503" s="1352"/>
      <c r="E503" s="1352"/>
      <c r="F503" s="1352"/>
      <c r="G503" s="1352"/>
      <c r="H503" s="1353"/>
      <c r="I503" s="30" t="s">
        <v>1333</v>
      </c>
      <c r="J503" s="30"/>
      <c r="K503" s="30"/>
      <c r="L503" s="30"/>
      <c r="M503" s="30"/>
      <c r="N503" s="30"/>
      <c r="O503" s="30"/>
      <c r="P503" s="30"/>
      <c r="Q503" s="30"/>
      <c r="R503" s="30"/>
      <c r="S503" s="30"/>
      <c r="T503" s="30"/>
      <c r="U503" s="30"/>
      <c r="V503" s="30"/>
      <c r="W503" s="30"/>
      <c r="AC503" s="1346" t="s">
        <v>810</v>
      </c>
      <c r="AD503" s="1347"/>
      <c r="AE503" s="1347"/>
      <c r="AF503" s="1347"/>
      <c r="AG503" s="1178" t="s">
        <v>1327</v>
      </c>
      <c r="AH503" s="1382"/>
      <c r="AI503" s="1382"/>
      <c r="AJ503" s="1382"/>
      <c r="AK503" s="1383"/>
      <c r="AZ503" s="2"/>
      <c r="BA503" s="2"/>
      <c r="BB503" s="2"/>
      <c r="BC503" s="2"/>
      <c r="BD503" s="2"/>
      <c r="BE503" s="2"/>
      <c r="BF503" s="2"/>
      <c r="BG503" s="2"/>
      <c r="BH503" s="2"/>
      <c r="BI503" s="2"/>
      <c r="BJ503" s="2"/>
      <c r="BK503" s="2"/>
      <c r="BL503" s="2"/>
      <c r="BM503" s="2"/>
      <c r="BN503" s="2"/>
    </row>
    <row r="504" spans="1:66" ht="13.2" customHeight="1">
      <c r="B504" s="1354"/>
      <c r="C504" s="1355"/>
      <c r="D504" s="1355"/>
      <c r="E504" s="1355"/>
      <c r="F504" s="1355"/>
      <c r="G504" s="1355"/>
      <c r="H504" s="1356"/>
      <c r="I504" t="s">
        <v>1334</v>
      </c>
      <c r="AC504" s="1346" t="s">
        <v>810</v>
      </c>
      <c r="AD504" s="1347"/>
      <c r="AE504" s="1347"/>
      <c r="AF504" s="1347"/>
      <c r="AG504" s="1178" t="s">
        <v>1327</v>
      </c>
      <c r="AH504" s="1382"/>
      <c r="AI504" s="1382"/>
      <c r="AJ504" s="1382"/>
      <c r="AK504" s="1383"/>
      <c r="AZ504" s="2"/>
      <c r="BA504" s="2"/>
      <c r="BB504" s="2"/>
      <c r="BC504" s="2"/>
      <c r="BD504" s="2"/>
      <c r="BE504" s="2"/>
      <c r="BF504" s="2"/>
      <c r="BG504" s="2"/>
      <c r="BH504" s="2"/>
      <c r="BI504" s="2"/>
      <c r="BJ504" s="2"/>
      <c r="BK504" s="2"/>
      <c r="BL504" s="2"/>
      <c r="BM504" s="2"/>
      <c r="BN504" s="2"/>
    </row>
    <row r="505" spans="1:66" ht="13.2" customHeight="1">
      <c r="B505" s="1354"/>
      <c r="C505" s="1355"/>
      <c r="D505" s="1355"/>
      <c r="E505" s="1355"/>
      <c r="F505" s="1355"/>
      <c r="G505" s="1355"/>
      <c r="H505" s="1356"/>
      <c r="I505" t="s">
        <v>1335</v>
      </c>
      <c r="AC505" s="1346">
        <v>12</v>
      </c>
      <c r="AD505" s="1347"/>
      <c r="AE505" s="1347"/>
      <c r="AF505" s="1347"/>
      <c r="AG505" s="1178" t="s">
        <v>1327</v>
      </c>
      <c r="AH505" s="1382">
        <v>2024</v>
      </c>
      <c r="AI505" s="1382"/>
      <c r="AJ505" s="1382"/>
      <c r="AK505" s="1383"/>
      <c r="AZ505" s="2"/>
      <c r="BA505" s="2"/>
      <c r="BB505" s="2"/>
      <c r="BC505" s="2"/>
      <c r="BD505" s="2"/>
      <c r="BE505" s="2"/>
      <c r="BF505" s="2"/>
      <c r="BG505" s="2"/>
      <c r="BH505" s="2"/>
      <c r="BI505" s="2"/>
      <c r="BJ505" s="2"/>
      <c r="BK505" s="2"/>
      <c r="BL505" s="2"/>
      <c r="BM505" s="2"/>
      <c r="BN505" s="2"/>
    </row>
    <row r="506" spans="1:66" ht="13.2" customHeight="1">
      <c r="B506" s="1354"/>
      <c r="C506" s="1355"/>
      <c r="D506" s="1355"/>
      <c r="E506" s="1355"/>
      <c r="F506" s="1355"/>
      <c r="G506" s="1355"/>
      <c r="H506" s="1356"/>
      <c r="I506" t="s">
        <v>1336</v>
      </c>
      <c r="AC506" s="1346">
        <v>1</v>
      </c>
      <c r="AD506" s="1347"/>
      <c r="AE506" s="1347"/>
      <c r="AF506" s="1347"/>
      <c r="AG506" s="1178" t="s">
        <v>1327</v>
      </c>
      <c r="AH506" s="1382">
        <v>2026</v>
      </c>
      <c r="AI506" s="1382"/>
      <c r="AJ506" s="1382"/>
      <c r="AK506" s="1383"/>
      <c r="AZ506" s="2"/>
      <c r="BA506" s="2"/>
      <c r="BB506" s="2"/>
      <c r="BC506" s="2"/>
      <c r="BD506" s="2"/>
      <c r="BE506" s="2"/>
      <c r="BF506" s="2"/>
      <c r="BG506" s="2"/>
      <c r="BH506" s="2"/>
      <c r="BI506" s="2"/>
      <c r="BJ506" s="2"/>
      <c r="BK506" s="2"/>
      <c r="BL506" s="2"/>
      <c r="BM506" s="2"/>
      <c r="BN506" s="2"/>
    </row>
    <row r="507" spans="1:66" ht="13.2" customHeight="1">
      <c r="B507" s="1354"/>
      <c r="C507" s="1355"/>
      <c r="D507" s="1355"/>
      <c r="E507" s="1355"/>
      <c r="F507" s="1355"/>
      <c r="G507" s="1355"/>
      <c r="H507" s="1356"/>
      <c r="I507" s="2" t="s">
        <v>1337</v>
      </c>
      <c r="AC507" s="1313">
        <v>1</v>
      </c>
      <c r="AD507" s="1314"/>
      <c r="AE507" s="1314"/>
      <c r="AF507" s="1314"/>
      <c r="AG507" s="1178" t="s">
        <v>1327</v>
      </c>
      <c r="AH507" s="1382">
        <v>2026</v>
      </c>
      <c r="AI507" s="1382"/>
      <c r="AJ507" s="1382"/>
      <c r="AK507" s="1383"/>
      <c r="AZ507" s="2"/>
      <c r="BA507" s="2"/>
      <c r="BB507" s="2"/>
      <c r="BC507" s="2"/>
      <c r="BD507" s="2"/>
      <c r="BE507" s="2"/>
      <c r="BF507" s="2"/>
      <c r="BG507" s="2"/>
      <c r="BH507" s="2"/>
      <c r="BI507" s="2"/>
      <c r="BJ507" s="2"/>
      <c r="BK507" s="2"/>
      <c r="BL507" s="2"/>
      <c r="BM507" s="2"/>
      <c r="BN507" s="2"/>
    </row>
    <row r="508" spans="1:66" ht="13.2" customHeight="1">
      <c r="B508" s="1354"/>
      <c r="C508" s="1355"/>
      <c r="D508" s="1355"/>
      <c r="E508" s="1355"/>
      <c r="F508" s="1355"/>
      <c r="G508" s="1355"/>
      <c r="H508" s="1356"/>
      <c r="I508" s="708" t="s">
        <v>233</v>
      </c>
      <c r="J508" s="32"/>
      <c r="K508" s="32"/>
      <c r="L508" s="1388" t="s">
        <v>1338</v>
      </c>
      <c r="M508" s="1389"/>
      <c r="N508" s="1389"/>
      <c r="O508" s="1389"/>
      <c r="P508" s="1389"/>
      <c r="Q508" s="1389"/>
      <c r="R508" s="1389"/>
      <c r="S508" s="1389"/>
      <c r="T508" s="1389"/>
      <c r="U508" s="1389"/>
      <c r="V508" s="1389"/>
      <c r="W508" s="1389"/>
      <c r="X508" s="1389"/>
      <c r="Y508" s="1389"/>
      <c r="Z508" s="1389"/>
      <c r="AA508" s="1389"/>
      <c r="AB508" s="1390"/>
      <c r="AC508" s="1346" t="s">
        <v>810</v>
      </c>
      <c r="AD508" s="1347"/>
      <c r="AE508" s="1347"/>
      <c r="AF508" s="1347"/>
      <c r="AG508" s="1160" t="s">
        <v>1327</v>
      </c>
      <c r="AH508" s="1382"/>
      <c r="AI508" s="1382"/>
      <c r="AJ508" s="1382"/>
      <c r="AK508" s="1383"/>
      <c r="AZ508" s="2"/>
      <c r="BA508" s="2"/>
      <c r="BB508" s="2"/>
      <c r="BC508" s="2"/>
      <c r="BD508" s="2"/>
      <c r="BE508" s="2"/>
      <c r="BF508" s="2"/>
      <c r="BG508" s="2"/>
      <c r="BH508" s="2"/>
      <c r="BI508" s="2"/>
      <c r="BJ508" s="2"/>
      <c r="BK508" s="2"/>
      <c r="BL508" s="2"/>
      <c r="BM508" s="2"/>
      <c r="BN508" s="2"/>
    </row>
    <row r="509" spans="1:66" ht="13.2" customHeight="1">
      <c r="B509" s="1151"/>
      <c r="C509" s="1152"/>
      <c r="D509" s="1152"/>
      <c r="E509" s="1152"/>
      <c r="F509" s="1152"/>
      <c r="G509" s="1152"/>
      <c r="H509" s="1153"/>
      <c r="I509" s="2" t="s">
        <v>1339</v>
      </c>
      <c r="AC509" s="1342" t="s">
        <v>694</v>
      </c>
      <c r="AD509" s="1342"/>
      <c r="AE509" s="1342"/>
      <c r="AF509" s="1342"/>
      <c r="AG509" s="1178"/>
      <c r="AH509" s="1360"/>
      <c r="AI509" s="1360"/>
      <c r="AJ509" s="1360"/>
      <c r="AK509" s="1361"/>
      <c r="AZ509" s="2"/>
      <c r="BA509" s="2"/>
      <c r="BB509" s="2"/>
      <c r="BC509" s="2"/>
      <c r="BD509" s="2"/>
      <c r="BE509" s="2"/>
      <c r="BF509" s="2"/>
      <c r="BG509" s="2"/>
      <c r="BH509" s="2"/>
      <c r="BI509" s="2"/>
      <c r="BJ509" s="2"/>
      <c r="BK509" s="2"/>
      <c r="BL509" s="2"/>
      <c r="BM509" s="2"/>
      <c r="BN509" s="2"/>
    </row>
    <row r="510" spans="1:66" ht="13.2" customHeight="1">
      <c r="B510" s="1151"/>
      <c r="C510" s="1152"/>
      <c r="D510" s="1152"/>
      <c r="E510" s="1152"/>
      <c r="F510" s="1152"/>
      <c r="G510" s="1152"/>
      <c r="H510" s="1153"/>
      <c r="I510" t="s">
        <v>1340</v>
      </c>
      <c r="AC510" s="1313"/>
      <c r="AD510" s="1314"/>
      <c r="AE510" s="1314"/>
      <c r="AF510" s="1315"/>
      <c r="AG510" s="1178"/>
      <c r="AH510" s="1360"/>
      <c r="AI510" s="1360"/>
      <c r="AJ510" s="1360"/>
      <c r="AK510" s="1361"/>
      <c r="AZ510" s="2"/>
      <c r="BA510" s="2"/>
      <c r="BB510" s="2"/>
      <c r="BC510" s="2"/>
      <c r="BD510" s="2"/>
      <c r="BE510" s="2"/>
      <c r="BF510" s="2"/>
      <c r="BG510" s="2"/>
      <c r="BH510" s="2"/>
      <c r="BI510" s="2"/>
      <c r="BJ510" s="2"/>
      <c r="BK510" s="2"/>
      <c r="BL510" s="2"/>
      <c r="BM510" s="2"/>
      <c r="BN510" s="2"/>
    </row>
    <row r="511" spans="1:66" ht="13.2" customHeight="1">
      <c r="B511" s="1151"/>
      <c r="C511" s="1152"/>
      <c r="D511" s="1152"/>
      <c r="E511" s="1152"/>
      <c r="F511" s="1152"/>
      <c r="G511" s="1152"/>
      <c r="H511" s="1153"/>
      <c r="I511" t="s">
        <v>1341</v>
      </c>
      <c r="AC511" s="1145"/>
      <c r="AD511" s="1146"/>
      <c r="AE511" s="1146"/>
      <c r="AF511" s="1147"/>
      <c r="AG511" s="1178"/>
      <c r="AH511" s="1154"/>
      <c r="AI511" s="1154"/>
      <c r="AJ511" s="1154"/>
      <c r="AK511" s="1155"/>
      <c r="AZ511" s="2"/>
      <c r="BA511" s="2"/>
      <c r="BB511" s="2"/>
      <c r="BC511" s="2"/>
      <c r="BD511" s="2"/>
      <c r="BE511" s="2"/>
      <c r="BF511" s="2"/>
      <c r="BG511" s="2"/>
      <c r="BH511" s="2"/>
      <c r="BI511" s="2"/>
      <c r="BJ511" s="2"/>
      <c r="BK511" s="2"/>
      <c r="BL511" s="2"/>
      <c r="BM511" s="2"/>
      <c r="BN511" s="2"/>
    </row>
    <row r="512" spans="1:66" ht="13.2" customHeight="1">
      <c r="B512" s="1151"/>
      <c r="C512" s="1152"/>
      <c r="D512" s="1152"/>
      <c r="E512" s="1152"/>
      <c r="F512" s="1152"/>
      <c r="G512" s="1152"/>
      <c r="H512" s="1153"/>
      <c r="I512" s="709" t="s">
        <v>1342</v>
      </c>
      <c r="J512" s="32"/>
      <c r="K512" s="32"/>
      <c r="L512" s="32"/>
      <c r="M512" s="32"/>
      <c r="N512" s="32"/>
      <c r="O512" s="32"/>
      <c r="P512" s="32"/>
      <c r="Q512" s="32"/>
      <c r="R512" s="32"/>
      <c r="S512" s="32"/>
      <c r="T512" s="32"/>
      <c r="U512" s="32"/>
      <c r="V512" s="32"/>
      <c r="W512" s="32"/>
      <c r="X512" s="32"/>
      <c r="Y512" s="32"/>
      <c r="Z512" s="32"/>
      <c r="AA512" s="32"/>
      <c r="AB512" s="32"/>
      <c r="AC512" s="1405"/>
      <c r="AD512" s="1406"/>
      <c r="AE512" s="1406"/>
      <c r="AF512" s="1407"/>
      <c r="AG512" s="1160"/>
      <c r="AH512" s="1532"/>
      <c r="AI512" s="1532"/>
      <c r="AJ512" s="1532"/>
      <c r="AK512" s="1533"/>
      <c r="AZ512" s="2"/>
      <c r="BA512" s="2"/>
      <c r="BB512" s="2"/>
      <c r="BC512" s="2"/>
      <c r="BD512" s="2"/>
      <c r="BE512" s="2"/>
      <c r="BF512" s="2"/>
      <c r="BG512" s="2"/>
      <c r="BH512" s="2"/>
      <c r="BI512" s="2"/>
      <c r="BJ512" s="2"/>
      <c r="BK512" s="2"/>
      <c r="BL512" s="2"/>
      <c r="BM512" s="2"/>
      <c r="BN512" s="2" t="s">
        <v>1028</v>
      </c>
    </row>
    <row r="513" spans="2:66" ht="13.2" customHeight="1">
      <c r="B513" s="1151"/>
      <c r="C513" s="1152"/>
      <c r="D513" s="1152"/>
      <c r="E513" s="1152"/>
      <c r="F513" s="1152"/>
      <c r="G513" s="1152"/>
      <c r="H513" s="1153"/>
      <c r="I513" s="2"/>
      <c r="L513" s="6"/>
      <c r="M513" s="6"/>
      <c r="N513" s="6"/>
      <c r="O513" s="6"/>
      <c r="P513" s="6"/>
      <c r="Q513" s="6"/>
      <c r="R513" s="6"/>
      <c r="S513" s="6"/>
      <c r="T513" s="6"/>
      <c r="U513" s="6"/>
      <c r="V513" s="6"/>
      <c r="W513" s="6"/>
      <c r="X513" s="1164"/>
      <c r="Y513" s="1164"/>
      <c r="Z513" s="1164"/>
      <c r="AA513" s="1164"/>
      <c r="AB513" s="803"/>
      <c r="AC513" s="1626" t="s">
        <v>1326</v>
      </c>
      <c r="AD513" s="1386"/>
      <c r="AE513" s="1386"/>
      <c r="AF513" s="1386"/>
      <c r="AG513" s="1160" t="s">
        <v>1327</v>
      </c>
      <c r="AH513" s="1386" t="s">
        <v>1328</v>
      </c>
      <c r="AI513" s="1386"/>
      <c r="AJ513" s="1386"/>
      <c r="AK513" s="1387"/>
      <c r="AZ513" s="2"/>
      <c r="BA513" s="2"/>
      <c r="BB513" s="2"/>
      <c r="BC513" s="2"/>
      <c r="BD513" s="2"/>
      <c r="BE513" s="2"/>
      <c r="BF513" s="2"/>
      <c r="BG513" s="2"/>
      <c r="BH513" s="2"/>
      <c r="BI513" s="2"/>
      <c r="BJ513" s="2"/>
      <c r="BK513" s="2"/>
      <c r="BL513" s="2"/>
      <c r="BM513" s="2"/>
      <c r="BN513" s="2" t="s">
        <v>1343</v>
      </c>
    </row>
    <row r="514" spans="2:66" ht="13.2" customHeight="1">
      <c r="B514" s="1351" t="s">
        <v>1344</v>
      </c>
      <c r="C514" s="1352"/>
      <c r="D514" s="1352"/>
      <c r="E514" s="1352"/>
      <c r="F514" s="1352"/>
      <c r="G514" s="1352"/>
      <c r="H514" s="1353"/>
      <c r="I514" s="30" t="s">
        <v>1345</v>
      </c>
      <c r="J514" s="30"/>
      <c r="K514" s="30"/>
      <c r="L514" s="30"/>
      <c r="M514" s="30"/>
      <c r="N514" s="30"/>
      <c r="O514" s="30"/>
      <c r="P514" s="30"/>
      <c r="Q514" s="30"/>
      <c r="R514" s="30"/>
      <c r="S514" s="30"/>
      <c r="T514" s="30"/>
      <c r="U514" s="30"/>
      <c r="V514" s="30"/>
      <c r="W514" s="30"/>
      <c r="AC514" s="1346">
        <v>5</v>
      </c>
      <c r="AD514" s="1347"/>
      <c r="AE514" s="1347"/>
      <c r="AF514" s="1347"/>
      <c r="AG514" s="1178" t="s">
        <v>1327</v>
      </c>
      <c r="AH514" s="1382">
        <v>2025</v>
      </c>
      <c r="AI514" s="1382"/>
      <c r="AJ514" s="1382"/>
      <c r="AK514" s="1383"/>
      <c r="AZ514" s="2"/>
      <c r="BA514" s="2"/>
      <c r="BB514" s="2"/>
      <c r="BC514" s="2"/>
      <c r="BD514" s="2"/>
      <c r="BE514" s="2"/>
      <c r="BF514" s="2"/>
      <c r="BG514" s="2"/>
      <c r="BH514" s="2"/>
      <c r="BI514" s="2"/>
      <c r="BJ514" s="2"/>
      <c r="BK514" s="2"/>
      <c r="BL514" s="2"/>
      <c r="BM514" s="2"/>
      <c r="BN514" s="2" t="s">
        <v>1346</v>
      </c>
    </row>
    <row r="515" spans="2:66" ht="13.2" customHeight="1">
      <c r="B515" s="1354"/>
      <c r="C515" s="1355"/>
      <c r="D515" s="1355"/>
      <c r="E515" s="1355"/>
      <c r="F515" s="1355"/>
      <c r="G515" s="1355"/>
      <c r="H515" s="1356"/>
      <c r="I515" t="s">
        <v>1347</v>
      </c>
      <c r="AC515" s="1346">
        <v>5</v>
      </c>
      <c r="AD515" s="1347"/>
      <c r="AE515" s="1347"/>
      <c r="AF515" s="1347"/>
      <c r="AG515" s="1178" t="s">
        <v>1327</v>
      </c>
      <c r="AH515" s="1382">
        <v>2025</v>
      </c>
      <c r="AI515" s="1382"/>
      <c r="AJ515" s="1382"/>
      <c r="AK515" s="1383"/>
      <c r="AZ515" s="2"/>
      <c r="BA515" s="2"/>
      <c r="BB515" s="2"/>
      <c r="BC515" s="2"/>
      <c r="BD515" s="2"/>
      <c r="BE515" s="2"/>
      <c r="BF515" s="2"/>
      <c r="BG515" s="2"/>
      <c r="BH515" s="2"/>
      <c r="BI515" s="2"/>
      <c r="BJ515" s="2"/>
      <c r="BK515" s="2"/>
      <c r="BL515" s="2"/>
      <c r="BM515" s="2"/>
      <c r="BN515" s="2" t="s">
        <v>1348</v>
      </c>
    </row>
    <row r="516" spans="2:66" ht="13.2" customHeight="1">
      <c r="B516" s="1354"/>
      <c r="C516" s="1355"/>
      <c r="D516" s="1355"/>
      <c r="E516" s="1355"/>
      <c r="F516" s="1355"/>
      <c r="G516" s="1355"/>
      <c r="H516" s="1356"/>
      <c r="I516" s="32" t="s">
        <v>1349</v>
      </c>
      <c r="J516" s="32"/>
      <c r="K516" s="32"/>
      <c r="L516" s="32"/>
      <c r="M516" s="32"/>
      <c r="N516" s="32"/>
      <c r="O516" s="32"/>
      <c r="P516" s="32"/>
      <c r="Q516" s="32"/>
      <c r="R516" s="32"/>
      <c r="S516" s="32"/>
      <c r="T516" s="32"/>
      <c r="U516" s="32"/>
      <c r="V516" s="32"/>
      <c r="W516" s="32"/>
      <c r="X516" s="32"/>
      <c r="Y516" s="32"/>
      <c r="Z516" s="32"/>
      <c r="AA516" s="32"/>
      <c r="AB516" s="32"/>
      <c r="AC516" s="1346">
        <v>2</v>
      </c>
      <c r="AD516" s="1347"/>
      <c r="AE516" s="1347"/>
      <c r="AF516" s="1347"/>
      <c r="AG516" s="1160" t="s">
        <v>1327</v>
      </c>
      <c r="AH516" s="1382">
        <v>2026</v>
      </c>
      <c r="AI516" s="1382"/>
      <c r="AJ516" s="1382"/>
      <c r="AK516" s="1383"/>
      <c r="AZ516" s="2"/>
      <c r="BA516" s="2"/>
      <c r="BB516" s="2"/>
      <c r="BC516" s="2"/>
      <c r="BD516" s="2"/>
      <c r="BE516" s="2"/>
      <c r="BF516" s="2"/>
      <c r="BG516" s="2"/>
      <c r="BH516" s="2"/>
      <c r="BI516" s="2"/>
      <c r="BJ516" s="2"/>
      <c r="BK516" s="2"/>
      <c r="BL516" s="2"/>
      <c r="BM516" s="2"/>
      <c r="BN516" s="2" t="s">
        <v>1350</v>
      </c>
    </row>
    <row r="517" spans="2:66" ht="13.2" customHeight="1">
      <c r="B517" s="1351" t="s">
        <v>1351</v>
      </c>
      <c r="C517" s="1352"/>
      <c r="D517" s="1352"/>
      <c r="E517" s="1352"/>
      <c r="F517" s="1352"/>
      <c r="G517" s="1352"/>
      <c r="H517" s="1353"/>
      <c r="I517" s="30" t="s">
        <v>1345</v>
      </c>
      <c r="J517" s="30"/>
      <c r="K517" s="30"/>
      <c r="L517" s="30"/>
      <c r="M517" s="30"/>
      <c r="N517" s="30"/>
      <c r="O517" s="30"/>
      <c r="P517" s="30"/>
      <c r="Q517" s="30"/>
      <c r="R517" s="30"/>
      <c r="S517" s="30"/>
      <c r="T517" s="30"/>
      <c r="U517" s="30"/>
      <c r="V517" s="30"/>
      <c r="W517" s="30"/>
      <c r="X517" s="30"/>
      <c r="Y517" s="30"/>
      <c r="Z517" s="30"/>
      <c r="AA517" s="30"/>
      <c r="AB517" s="30"/>
      <c r="AC517" s="1313">
        <v>5</v>
      </c>
      <c r="AD517" s="1314"/>
      <c r="AE517" s="1314"/>
      <c r="AF517" s="1314"/>
      <c r="AG517" s="1172" t="s">
        <v>1327</v>
      </c>
      <c r="AH517" s="1382">
        <v>2025</v>
      </c>
      <c r="AI517" s="1382"/>
      <c r="AJ517" s="1382"/>
      <c r="AK517" s="1383"/>
      <c r="AZ517" s="2"/>
      <c r="BB517" s="2"/>
      <c r="BC517" s="2"/>
      <c r="BD517" s="2"/>
      <c r="BE517" s="2"/>
      <c r="BF517" s="2"/>
      <c r="BG517" s="2"/>
      <c r="BH517" s="2"/>
      <c r="BI517" s="2"/>
      <c r="BJ517" s="2"/>
      <c r="BK517" s="2"/>
      <c r="BL517" s="2"/>
      <c r="BM517" s="2"/>
      <c r="BN517" s="2" t="s">
        <v>1352</v>
      </c>
    </row>
    <row r="518" spans="2:66" ht="13.2" customHeight="1">
      <c r="B518" s="1354"/>
      <c r="C518" s="1355"/>
      <c r="D518" s="1355"/>
      <c r="E518" s="1355"/>
      <c r="F518" s="1355"/>
      <c r="G518" s="1355"/>
      <c r="H518" s="1356"/>
      <c r="I518" t="s">
        <v>1347</v>
      </c>
      <c r="AC518" s="1346">
        <v>5</v>
      </c>
      <c r="AD518" s="1347"/>
      <c r="AE518" s="1347"/>
      <c r="AF518" s="1347"/>
      <c r="AG518" s="1178" t="s">
        <v>1327</v>
      </c>
      <c r="AH518" s="1382">
        <v>2025</v>
      </c>
      <c r="AI518" s="1382"/>
      <c r="AJ518" s="1382"/>
      <c r="AK518" s="1383"/>
      <c r="BB518" s="2"/>
      <c r="BC518" s="2"/>
      <c r="BD518" s="2"/>
      <c r="BE518" s="2"/>
      <c r="BF518" s="2"/>
      <c r="BG518" s="2"/>
      <c r="BH518" s="2"/>
      <c r="BI518" s="2"/>
      <c r="BJ518" s="2"/>
      <c r="BK518" s="2"/>
      <c r="BL518" s="2"/>
      <c r="BM518" s="2"/>
      <c r="BN518" s="2" t="s">
        <v>1353</v>
      </c>
    </row>
    <row r="519" spans="2:66" ht="13.2" customHeight="1">
      <c r="B519" s="1357"/>
      <c r="C519" s="1358"/>
      <c r="D519" s="1358"/>
      <c r="E519" s="1358"/>
      <c r="F519" s="1358"/>
      <c r="G519" s="1358"/>
      <c r="H519" s="1359"/>
      <c r="I519" s="32" t="s">
        <v>1349</v>
      </c>
      <c r="J519" s="32"/>
      <c r="K519" s="32"/>
      <c r="L519" s="32"/>
      <c r="M519" s="32"/>
      <c r="N519" s="32"/>
      <c r="O519" s="32"/>
      <c r="P519" s="32"/>
      <c r="Q519" s="32"/>
      <c r="R519" s="32"/>
      <c r="S519" s="32"/>
      <c r="T519" s="32"/>
      <c r="U519" s="32"/>
      <c r="V519" s="32"/>
      <c r="W519" s="32"/>
      <c r="X519" s="32"/>
      <c r="Y519" s="32"/>
      <c r="Z519" s="32"/>
      <c r="AA519" s="32"/>
      <c r="AB519" s="32"/>
      <c r="AC519" s="1346">
        <v>5</v>
      </c>
      <c r="AD519" s="1347"/>
      <c r="AE519" s="1347"/>
      <c r="AF519" s="1347"/>
      <c r="AG519" s="1160" t="s">
        <v>1327</v>
      </c>
      <c r="AH519" s="1382">
        <v>2028</v>
      </c>
      <c r="AI519" s="1382"/>
      <c r="AJ519" s="1382"/>
      <c r="AK519" s="1383"/>
      <c r="BB519" s="2"/>
      <c r="BC519" s="2"/>
      <c r="BD519" s="2"/>
      <c r="BE519" s="2"/>
      <c r="BF519" s="2"/>
      <c r="BG519" s="2"/>
      <c r="BH519" s="2"/>
      <c r="BI519" s="2"/>
      <c r="BJ519" s="2"/>
      <c r="BK519" s="2"/>
      <c r="BL519" s="2"/>
      <c r="BM519" s="2"/>
      <c r="BN519" s="2" t="s">
        <v>1354</v>
      </c>
    </row>
    <row r="520" spans="2:66" ht="13.2" customHeight="1">
      <c r="B520" s="1351" t="s">
        <v>1355</v>
      </c>
      <c r="C520" s="1352"/>
      <c r="D520" s="1352"/>
      <c r="E520" s="1352"/>
      <c r="F520" s="1352"/>
      <c r="G520" s="1352"/>
      <c r="H520" s="1353"/>
      <c r="I520" s="29" t="s">
        <v>1356</v>
      </c>
      <c r="J520" s="30"/>
      <c r="K520" s="30"/>
      <c r="L520" s="30"/>
      <c r="M520" s="30"/>
      <c r="N520" s="30"/>
      <c r="O520" s="1388" t="s">
        <v>1338</v>
      </c>
      <c r="P520" s="1389"/>
      <c r="Q520" s="1389"/>
      <c r="R520" s="1389"/>
      <c r="S520" s="1389"/>
      <c r="T520" s="1389"/>
      <c r="U520" s="1389"/>
      <c r="V520" s="1389"/>
      <c r="W520" s="1389"/>
      <c r="X520" s="1389"/>
      <c r="Y520" s="1389"/>
      <c r="Z520" s="1389"/>
      <c r="AA520" s="1389"/>
      <c r="AB520" s="39"/>
      <c r="AC520" s="1313" t="s">
        <v>810</v>
      </c>
      <c r="AD520" s="1314"/>
      <c r="AE520" s="1314"/>
      <c r="AF520" s="1314"/>
      <c r="AG520" s="1172" t="s">
        <v>1327</v>
      </c>
      <c r="AH520" s="1382"/>
      <c r="AI520" s="1382"/>
      <c r="AJ520" s="1382"/>
      <c r="AK520" s="1383"/>
      <c r="AZ520" s="2"/>
      <c r="BB520" s="2"/>
      <c r="BC520" s="2"/>
      <c r="BD520" s="2"/>
      <c r="BE520" s="2"/>
      <c r="BF520" s="2"/>
      <c r="BG520" s="2"/>
      <c r="BH520" s="2"/>
      <c r="BI520" s="2"/>
      <c r="BJ520" s="2"/>
      <c r="BK520" s="2"/>
      <c r="BL520" s="2"/>
      <c r="BM520" s="2"/>
      <c r="BN520" s="2" t="s">
        <v>1357</v>
      </c>
    </row>
    <row r="521" spans="2:66" ht="13.2" customHeight="1">
      <c r="B521" s="1354"/>
      <c r="C521" s="1355"/>
      <c r="D521" s="1355"/>
      <c r="E521" s="1355"/>
      <c r="F521" s="1355"/>
      <c r="G521" s="1355"/>
      <c r="H521" s="1356"/>
      <c r="I521" s="66" t="s">
        <v>44</v>
      </c>
      <c r="AB521" s="42"/>
      <c r="AC521" s="1346" t="s">
        <v>810</v>
      </c>
      <c r="AD521" s="1347"/>
      <c r="AE521" s="1347"/>
      <c r="AF521" s="1347"/>
      <c r="AG521" s="1178" t="s">
        <v>1327</v>
      </c>
      <c r="AH521" s="1382"/>
      <c r="AI521" s="1382"/>
      <c r="AJ521" s="1382"/>
      <c r="AK521" s="1383"/>
      <c r="AZ521" s="2"/>
      <c r="BB521" s="2"/>
      <c r="BC521" s="2"/>
      <c r="BD521" s="2"/>
      <c r="BE521" s="2"/>
      <c r="BF521" s="2"/>
      <c r="BG521" s="2"/>
      <c r="BH521" s="2"/>
      <c r="BI521" s="2"/>
      <c r="BJ521" s="2"/>
      <c r="BK521" s="2"/>
      <c r="BL521" s="2"/>
      <c r="BM521" s="2"/>
      <c r="BN521" s="2" t="s">
        <v>1358</v>
      </c>
    </row>
    <row r="522" spans="2:66" ht="13.2" customHeight="1">
      <c r="B522" s="1354"/>
      <c r="C522" s="1355"/>
      <c r="D522" s="1355"/>
      <c r="E522" s="1355"/>
      <c r="F522" s="1355"/>
      <c r="G522" s="1355"/>
      <c r="H522" s="1356"/>
      <c r="I522" s="31" t="s">
        <v>1359</v>
      </c>
      <c r="J522" s="32"/>
      <c r="K522" s="32"/>
      <c r="L522" s="32"/>
      <c r="M522" s="32"/>
      <c r="N522" s="32"/>
      <c r="O522" s="32"/>
      <c r="P522" s="32"/>
      <c r="Q522" s="32"/>
      <c r="R522" s="32"/>
      <c r="S522" s="32"/>
      <c r="T522" s="32"/>
      <c r="U522" s="32"/>
      <c r="V522" s="32"/>
      <c r="W522" s="32"/>
      <c r="X522" s="32"/>
      <c r="Y522" s="32"/>
      <c r="Z522" s="32"/>
      <c r="AA522" s="32"/>
      <c r="AB522" s="33"/>
      <c r="AC522" s="1346" t="s">
        <v>810</v>
      </c>
      <c r="AD522" s="1347"/>
      <c r="AE522" s="1347"/>
      <c r="AF522" s="1347"/>
      <c r="AG522" s="1160" t="s">
        <v>1327</v>
      </c>
      <c r="AH522" s="1382"/>
      <c r="AI522" s="1382"/>
      <c r="AJ522" s="1382"/>
      <c r="AK522" s="1383"/>
      <c r="AZ522" s="2"/>
      <c r="BA522" s="2"/>
      <c r="BB522" s="2"/>
      <c r="BC522" s="2"/>
      <c r="BD522" s="2"/>
      <c r="BE522" s="2"/>
      <c r="BF522" s="2"/>
      <c r="BG522" s="2"/>
      <c r="BH522" s="2"/>
      <c r="BI522" s="2"/>
      <c r="BJ522" s="2"/>
      <c r="BK522" s="2"/>
      <c r="BL522" s="2"/>
      <c r="BM522" s="2"/>
      <c r="BN522" s="2" t="s">
        <v>1360</v>
      </c>
    </row>
    <row r="523" spans="2:66" ht="13.2" customHeight="1">
      <c r="B523" s="1354"/>
      <c r="C523" s="1355"/>
      <c r="D523" s="1355"/>
      <c r="E523" s="1355"/>
      <c r="F523" s="1355"/>
      <c r="G523" s="1355"/>
      <c r="H523" s="1356"/>
      <c r="I523" s="30" t="s">
        <v>1361</v>
      </c>
      <c r="J523" s="30"/>
      <c r="K523" s="30"/>
      <c r="L523" s="30"/>
      <c r="M523" s="30"/>
      <c r="N523" s="30"/>
      <c r="O523" s="1388" t="s">
        <v>1338</v>
      </c>
      <c r="P523" s="1389"/>
      <c r="Q523" s="1389"/>
      <c r="R523" s="1389"/>
      <c r="S523" s="1389"/>
      <c r="T523" s="1389"/>
      <c r="U523" s="1389"/>
      <c r="V523" s="1389"/>
      <c r="W523" s="1389"/>
      <c r="X523" s="1389"/>
      <c r="Y523" s="1389"/>
      <c r="Z523" s="1389"/>
      <c r="AA523" s="1389"/>
      <c r="AC523" s="1346" t="s">
        <v>810</v>
      </c>
      <c r="AD523" s="1347"/>
      <c r="AE523" s="1347"/>
      <c r="AF523" s="1347"/>
      <c r="AG523" s="1178" t="s">
        <v>1327</v>
      </c>
      <c r="AH523" s="1382"/>
      <c r="AI523" s="1382"/>
      <c r="AJ523" s="1382"/>
      <c r="AK523" s="1383"/>
      <c r="AZ523" s="2"/>
      <c r="BA523" s="2"/>
      <c r="BB523" s="2"/>
      <c r="BC523" s="2"/>
      <c r="BD523" s="2"/>
      <c r="BE523" s="2"/>
      <c r="BF523" s="2"/>
      <c r="BG523" s="2"/>
      <c r="BH523" s="2"/>
      <c r="BI523" s="2"/>
      <c r="BJ523" s="2"/>
      <c r="BK523" s="2"/>
      <c r="BL523" s="2"/>
      <c r="BM523" s="2"/>
      <c r="BN523" s="2" t="s">
        <v>1362</v>
      </c>
    </row>
    <row r="524" spans="2:66" ht="13.2" customHeight="1">
      <c r="B524" s="1354"/>
      <c r="C524" s="1355"/>
      <c r="D524" s="1355"/>
      <c r="E524" s="1355"/>
      <c r="F524" s="1355"/>
      <c r="G524" s="1355"/>
      <c r="H524" s="1356"/>
      <c r="I524" t="s">
        <v>44</v>
      </c>
      <c r="AC524" s="1346" t="s">
        <v>810</v>
      </c>
      <c r="AD524" s="1347"/>
      <c r="AE524" s="1347"/>
      <c r="AF524" s="1347"/>
      <c r="AG524" s="1178" t="s">
        <v>1327</v>
      </c>
      <c r="AH524" s="1382"/>
      <c r="AI524" s="1382"/>
      <c r="AJ524" s="1382"/>
      <c r="AK524" s="1383"/>
      <c r="AZ524" s="2"/>
      <c r="BA524" s="2"/>
      <c r="BB524" s="2"/>
      <c r="BC524" s="2"/>
      <c r="BD524" s="2"/>
      <c r="BE524" s="2"/>
      <c r="BF524" s="2"/>
      <c r="BG524" s="2"/>
      <c r="BH524" s="2"/>
      <c r="BI524" s="2"/>
      <c r="BJ524" s="2"/>
      <c r="BK524" s="2"/>
      <c r="BL524" s="2"/>
      <c r="BM524" s="2"/>
      <c r="BN524" s="2" t="s">
        <v>1363</v>
      </c>
    </row>
    <row r="525" spans="2:66" ht="13.2" customHeight="1">
      <c r="B525" s="1354"/>
      <c r="C525" s="1355"/>
      <c r="D525" s="1355"/>
      <c r="E525" s="1355"/>
      <c r="F525" s="1355"/>
      <c r="G525" s="1355"/>
      <c r="H525" s="1356"/>
      <c r="I525" s="32" t="s">
        <v>1359</v>
      </c>
      <c r="J525" s="32"/>
      <c r="K525" s="32"/>
      <c r="L525" s="32"/>
      <c r="M525" s="32"/>
      <c r="N525" s="32"/>
      <c r="O525" s="32"/>
      <c r="P525" s="32"/>
      <c r="Q525" s="32"/>
      <c r="R525" s="32"/>
      <c r="S525" s="32"/>
      <c r="T525" s="32"/>
      <c r="U525" s="32"/>
      <c r="V525" s="32"/>
      <c r="W525" s="32"/>
      <c r="X525" s="32"/>
      <c r="Y525" s="32"/>
      <c r="Z525" s="32"/>
      <c r="AA525" s="32"/>
      <c r="AB525" s="32"/>
      <c r="AC525" s="1346" t="s">
        <v>810</v>
      </c>
      <c r="AD525" s="1347"/>
      <c r="AE525" s="1347"/>
      <c r="AF525" s="1347"/>
      <c r="AG525" s="1160" t="s">
        <v>1327</v>
      </c>
      <c r="AH525" s="1382"/>
      <c r="AI525" s="1382"/>
      <c r="AJ525" s="1382"/>
      <c r="AK525" s="1383"/>
      <c r="AZ525" s="2"/>
      <c r="BA525" s="2"/>
      <c r="BB525" s="2"/>
      <c r="BC525" s="2"/>
      <c r="BD525" s="2"/>
      <c r="BE525" s="2"/>
      <c r="BF525" s="2"/>
      <c r="BG525" s="2"/>
      <c r="BH525" s="2"/>
      <c r="BI525" s="2"/>
      <c r="BJ525" s="2"/>
      <c r="BK525" s="2"/>
      <c r="BL525" s="2"/>
      <c r="BM525" s="2"/>
      <c r="BN525" s="2" t="s">
        <v>1364</v>
      </c>
    </row>
    <row r="526" spans="2:66" ht="13.2" customHeight="1">
      <c r="B526" s="1354"/>
      <c r="C526" s="1355"/>
      <c r="D526" s="1355"/>
      <c r="E526" s="1355"/>
      <c r="F526" s="1355"/>
      <c r="G526" s="1355"/>
      <c r="H526" s="1356"/>
      <c r="I526" s="30" t="s">
        <v>1361</v>
      </c>
      <c r="J526" s="30"/>
      <c r="K526" s="30"/>
      <c r="L526" s="30"/>
      <c r="M526" s="30"/>
      <c r="N526" s="30"/>
      <c r="O526" s="1388" t="s">
        <v>1338</v>
      </c>
      <c r="P526" s="1389"/>
      <c r="Q526" s="1389"/>
      <c r="R526" s="1389"/>
      <c r="S526" s="1389"/>
      <c r="T526" s="1389"/>
      <c r="U526" s="1389"/>
      <c r="V526" s="1389"/>
      <c r="W526" s="1389"/>
      <c r="X526" s="1389"/>
      <c r="Y526" s="1389"/>
      <c r="Z526" s="1389"/>
      <c r="AA526" s="1389"/>
      <c r="AC526" s="1346" t="s">
        <v>810</v>
      </c>
      <c r="AD526" s="1347"/>
      <c r="AE526" s="1347"/>
      <c r="AF526" s="1347"/>
      <c r="AG526" s="1178" t="s">
        <v>1327</v>
      </c>
      <c r="AH526" s="1382"/>
      <c r="AI526" s="1382"/>
      <c r="AJ526" s="1382"/>
      <c r="AK526" s="1383"/>
      <c r="AZ526" s="2"/>
      <c r="BA526" s="2"/>
      <c r="BB526" s="2"/>
      <c r="BC526" s="2"/>
      <c r="BD526" s="2"/>
      <c r="BE526" s="2"/>
      <c r="BF526" s="2"/>
      <c r="BG526" s="2"/>
      <c r="BH526" s="2"/>
      <c r="BI526" s="2"/>
      <c r="BJ526" s="2"/>
      <c r="BK526" s="2"/>
      <c r="BL526" s="2"/>
      <c r="BM526" s="2"/>
      <c r="BN526" s="2" t="s">
        <v>1365</v>
      </c>
    </row>
    <row r="527" spans="2:66" ht="13.2" customHeight="1">
      <c r="B527" s="1354"/>
      <c r="C527" s="1355"/>
      <c r="D527" s="1355"/>
      <c r="E527" s="1355"/>
      <c r="F527" s="1355"/>
      <c r="G527" s="1355"/>
      <c r="H527" s="1356"/>
      <c r="I527" t="s">
        <v>44</v>
      </c>
      <c r="AC527" s="1346" t="s">
        <v>810</v>
      </c>
      <c r="AD527" s="1347"/>
      <c r="AE527" s="1347"/>
      <c r="AF527" s="1347"/>
      <c r="AG527" s="1178" t="s">
        <v>1327</v>
      </c>
      <c r="AH527" s="1382"/>
      <c r="AI527" s="1382"/>
      <c r="AJ527" s="1382"/>
      <c r="AK527" s="1383"/>
      <c r="AZ527" s="2"/>
      <c r="BA527" s="2"/>
      <c r="BB527" s="2"/>
      <c r="BC527" s="2"/>
      <c r="BD527" s="2"/>
      <c r="BE527" s="2"/>
      <c r="BF527" s="2"/>
      <c r="BG527" s="2"/>
      <c r="BH527" s="2"/>
      <c r="BI527" s="2"/>
      <c r="BJ527" s="2"/>
      <c r="BK527" s="2"/>
      <c r="BL527" s="2"/>
      <c r="BM527" s="2"/>
      <c r="BN527" s="2" t="s">
        <v>1366</v>
      </c>
    </row>
    <row r="528" spans="2:66" ht="13.2" customHeight="1">
      <c r="B528" s="1354"/>
      <c r="C528" s="1355"/>
      <c r="D528" s="1355"/>
      <c r="E528" s="1355"/>
      <c r="F528" s="1355"/>
      <c r="G528" s="1355"/>
      <c r="H528" s="1356"/>
      <c r="I528" s="32" t="s">
        <v>1359</v>
      </c>
      <c r="J528" s="32"/>
      <c r="K528" s="32"/>
      <c r="L528" s="32"/>
      <c r="M528" s="32"/>
      <c r="N528" s="32"/>
      <c r="O528" s="32"/>
      <c r="P528" s="32"/>
      <c r="Q528" s="32"/>
      <c r="R528" s="32"/>
      <c r="S528" s="32"/>
      <c r="T528" s="32"/>
      <c r="U528" s="32"/>
      <c r="V528" s="32"/>
      <c r="W528" s="32"/>
      <c r="X528" s="32"/>
      <c r="Y528" s="32"/>
      <c r="Z528" s="32"/>
      <c r="AA528" s="32"/>
      <c r="AB528" s="32"/>
      <c r="AC528" s="1346" t="s">
        <v>810</v>
      </c>
      <c r="AD528" s="1347"/>
      <c r="AE528" s="1347"/>
      <c r="AF528" s="1347"/>
      <c r="AG528" s="1160" t="s">
        <v>1327</v>
      </c>
      <c r="AH528" s="1382"/>
      <c r="AI528" s="1382"/>
      <c r="AJ528" s="1382"/>
      <c r="AK528" s="1383"/>
      <c r="AZ528" s="2"/>
      <c r="BA528" s="2"/>
      <c r="BB528" s="2"/>
      <c r="BC528" s="2"/>
      <c r="BD528" s="2"/>
      <c r="BE528" s="2"/>
      <c r="BF528" s="2"/>
      <c r="BG528" s="2"/>
      <c r="BH528" s="2"/>
      <c r="BI528" s="2"/>
      <c r="BJ528" s="2"/>
      <c r="BK528" s="2"/>
      <c r="BL528" s="2"/>
      <c r="BM528" s="2"/>
      <c r="BN528" s="2" t="s">
        <v>1367</v>
      </c>
    </row>
    <row r="529" spans="1:66" ht="13.2" customHeight="1">
      <c r="B529" s="1354"/>
      <c r="C529" s="1355"/>
      <c r="D529" s="1355"/>
      <c r="E529" s="1355"/>
      <c r="F529" s="1355"/>
      <c r="G529" s="1355"/>
      <c r="H529" s="1356"/>
      <c r="I529" s="30" t="s">
        <v>1361</v>
      </c>
      <c r="J529" s="30"/>
      <c r="K529" s="30"/>
      <c r="L529" s="30"/>
      <c r="M529" s="30"/>
      <c r="N529" s="30"/>
      <c r="O529" s="1388" t="s">
        <v>1338</v>
      </c>
      <c r="P529" s="1389"/>
      <c r="Q529" s="1389"/>
      <c r="R529" s="1389"/>
      <c r="S529" s="1389"/>
      <c r="T529" s="1389"/>
      <c r="U529" s="1389"/>
      <c r="V529" s="1389"/>
      <c r="W529" s="1389"/>
      <c r="X529" s="1389"/>
      <c r="Y529" s="1389"/>
      <c r="Z529" s="1389"/>
      <c r="AA529" s="1389"/>
      <c r="AC529" s="1346" t="s">
        <v>810</v>
      </c>
      <c r="AD529" s="1347"/>
      <c r="AE529" s="1347"/>
      <c r="AF529" s="1347"/>
      <c r="AG529" s="1178" t="s">
        <v>1327</v>
      </c>
      <c r="AH529" s="1382"/>
      <c r="AI529" s="1382"/>
      <c r="AJ529" s="1382"/>
      <c r="AK529" s="1383"/>
      <c r="AZ529" s="2"/>
      <c r="BA529" s="2"/>
      <c r="BB529" s="2"/>
      <c r="BC529" s="2"/>
      <c r="BD529" s="2"/>
      <c r="BE529" s="2"/>
      <c r="BF529" s="2"/>
      <c r="BG529" s="2"/>
      <c r="BH529" s="2"/>
      <c r="BI529" s="2"/>
      <c r="BJ529" s="2"/>
      <c r="BK529" s="2"/>
      <c r="BL529" s="2"/>
      <c r="BM529" s="2"/>
      <c r="BN529" s="2" t="s">
        <v>1368</v>
      </c>
    </row>
    <row r="530" spans="1:66" ht="13.2" customHeight="1">
      <c r="B530" s="1354"/>
      <c r="C530" s="1355"/>
      <c r="D530" s="1355"/>
      <c r="E530" s="1355"/>
      <c r="F530" s="1355"/>
      <c r="G530" s="1355"/>
      <c r="H530" s="1356"/>
      <c r="I530" t="s">
        <v>44</v>
      </c>
      <c r="AC530" s="1346" t="s">
        <v>810</v>
      </c>
      <c r="AD530" s="1347"/>
      <c r="AE530" s="1347"/>
      <c r="AF530" s="1347"/>
      <c r="AG530" s="1178" t="s">
        <v>1327</v>
      </c>
      <c r="AH530" s="1382"/>
      <c r="AI530" s="1382"/>
      <c r="AJ530" s="1382"/>
      <c r="AK530" s="1383"/>
      <c r="AZ530" s="2"/>
      <c r="BA530" s="2"/>
      <c r="BB530" s="2"/>
      <c r="BC530" s="2"/>
      <c r="BD530" s="2"/>
      <c r="BE530" s="2"/>
      <c r="BF530" s="2"/>
      <c r="BG530" s="2"/>
      <c r="BH530" s="2"/>
      <c r="BI530" s="2"/>
      <c r="BJ530" s="2"/>
      <c r="BK530" s="2"/>
      <c r="BL530" s="2"/>
      <c r="BM530" s="2"/>
      <c r="BN530" s="2" t="s">
        <v>1369</v>
      </c>
    </row>
    <row r="531" spans="1:66" ht="13.2" customHeight="1">
      <c r="B531" s="1354"/>
      <c r="C531" s="1355"/>
      <c r="D531" s="1355"/>
      <c r="E531" s="1355"/>
      <c r="F531" s="1355"/>
      <c r="G531" s="1355"/>
      <c r="H531" s="1356"/>
      <c r="I531" s="32" t="s">
        <v>1359</v>
      </c>
      <c r="J531" s="32"/>
      <c r="K531" s="32"/>
      <c r="L531" s="32"/>
      <c r="M531" s="32"/>
      <c r="N531" s="32"/>
      <c r="O531" s="32"/>
      <c r="P531" s="32"/>
      <c r="Q531" s="32"/>
      <c r="R531" s="32"/>
      <c r="S531" s="32"/>
      <c r="T531" s="32"/>
      <c r="U531" s="32"/>
      <c r="V531" s="32"/>
      <c r="W531" s="32"/>
      <c r="X531" s="32"/>
      <c r="Y531" s="32"/>
      <c r="Z531" s="32"/>
      <c r="AA531" s="32"/>
      <c r="AB531" s="32"/>
      <c r="AC531" s="1346" t="s">
        <v>810</v>
      </c>
      <c r="AD531" s="1347"/>
      <c r="AE531" s="1347"/>
      <c r="AF531" s="1347"/>
      <c r="AG531" s="1160" t="s">
        <v>1327</v>
      </c>
      <c r="AH531" s="1382"/>
      <c r="AI531" s="1382"/>
      <c r="AJ531" s="1382"/>
      <c r="AK531" s="1383"/>
      <c r="AZ531" s="2"/>
      <c r="BA531" s="2"/>
      <c r="BB531" s="2"/>
      <c r="BC531" s="2"/>
      <c r="BD531" s="2"/>
      <c r="BE531" s="2"/>
      <c r="BF531" s="2"/>
      <c r="BG531" s="2"/>
      <c r="BH531" s="2"/>
      <c r="BI531" s="2"/>
      <c r="BJ531" s="2"/>
      <c r="BK531" s="2"/>
      <c r="BL531" s="2"/>
      <c r="BM531" s="2"/>
      <c r="BN531" s="2" t="s">
        <v>1370</v>
      </c>
    </row>
    <row r="532" spans="1:66" ht="13.2" customHeight="1">
      <c r="B532" s="1354"/>
      <c r="C532" s="1355"/>
      <c r="D532" s="1355"/>
      <c r="E532" s="1355"/>
      <c r="F532" s="1355"/>
      <c r="G532" s="1355"/>
      <c r="H532" s="1356"/>
      <c r="I532" s="30" t="s">
        <v>1361</v>
      </c>
      <c r="J532" s="30"/>
      <c r="K532" s="30"/>
      <c r="L532" s="30"/>
      <c r="M532" s="30"/>
      <c r="N532" s="30"/>
      <c r="O532" s="1388" t="s">
        <v>1338</v>
      </c>
      <c r="P532" s="1389"/>
      <c r="Q532" s="1389"/>
      <c r="R532" s="1389"/>
      <c r="S532" s="1389"/>
      <c r="T532" s="1389"/>
      <c r="U532" s="1389"/>
      <c r="V532" s="1389"/>
      <c r="W532" s="1389"/>
      <c r="X532" s="1389"/>
      <c r="Y532" s="1389"/>
      <c r="Z532" s="1389"/>
      <c r="AA532" s="1389"/>
      <c r="AC532" s="1346" t="s">
        <v>810</v>
      </c>
      <c r="AD532" s="1347"/>
      <c r="AE532" s="1347"/>
      <c r="AF532" s="1347"/>
      <c r="AG532" s="1178" t="s">
        <v>1327</v>
      </c>
      <c r="AH532" s="1382"/>
      <c r="AI532" s="1382"/>
      <c r="AJ532" s="1382"/>
      <c r="AK532" s="1383"/>
      <c r="AZ532" s="2"/>
      <c r="BA532" s="2"/>
      <c r="BB532" s="2"/>
      <c r="BC532" s="2"/>
      <c r="BD532" s="2"/>
      <c r="BE532" s="2"/>
      <c r="BF532" s="2"/>
      <c r="BG532" s="2"/>
      <c r="BH532" s="2"/>
      <c r="BI532" s="2"/>
      <c r="BJ532" s="2"/>
      <c r="BK532" s="2"/>
      <c r="BL532" s="2"/>
      <c r="BM532" s="2"/>
      <c r="BN532" s="2" t="s">
        <v>1371</v>
      </c>
    </row>
    <row r="533" spans="1:66" ht="13.2" customHeight="1">
      <c r="B533" s="1354"/>
      <c r="C533" s="1355"/>
      <c r="D533" s="1355"/>
      <c r="E533" s="1355"/>
      <c r="F533" s="1355"/>
      <c r="G533" s="1355"/>
      <c r="H533" s="1356"/>
      <c r="I533" t="s">
        <v>44</v>
      </c>
      <c r="AC533" s="1346" t="s">
        <v>810</v>
      </c>
      <c r="AD533" s="1347"/>
      <c r="AE533" s="1347"/>
      <c r="AF533" s="1347"/>
      <c r="AG533" s="1160" t="s">
        <v>1327</v>
      </c>
      <c r="AH533" s="1382"/>
      <c r="AI533" s="1382"/>
      <c r="AJ533" s="1382"/>
      <c r="AK533" s="1383"/>
      <c r="AZ533" s="2"/>
      <c r="BA533" s="2"/>
      <c r="BB533" s="2"/>
      <c r="BC533" s="2"/>
      <c r="BD533" s="2"/>
      <c r="BE533" s="2"/>
      <c r="BF533" s="2"/>
      <c r="BG533" s="2"/>
      <c r="BH533" s="2"/>
      <c r="BI533" s="2"/>
      <c r="BJ533" s="2"/>
      <c r="BK533" s="2"/>
      <c r="BL533" s="2"/>
      <c r="BM533" s="2"/>
      <c r="BN533" s="2" t="s">
        <v>1372</v>
      </c>
    </row>
    <row r="534" spans="1:66" ht="13.2" customHeight="1">
      <c r="B534" s="1354"/>
      <c r="C534" s="1355"/>
      <c r="D534" s="1355"/>
      <c r="E534" s="1355"/>
      <c r="F534" s="1355"/>
      <c r="G534" s="1355"/>
      <c r="H534" s="1356"/>
      <c r="I534" s="32" t="s">
        <v>1359</v>
      </c>
      <c r="J534" s="32"/>
      <c r="K534" s="32"/>
      <c r="L534" s="32"/>
      <c r="M534" s="32"/>
      <c r="N534" s="32"/>
      <c r="O534" s="32"/>
      <c r="P534" s="32"/>
      <c r="Q534" s="32"/>
      <c r="R534" s="32"/>
      <c r="S534" s="32"/>
      <c r="T534" s="32"/>
      <c r="U534" s="32"/>
      <c r="V534" s="32"/>
      <c r="W534" s="32"/>
      <c r="X534" s="32"/>
      <c r="Y534" s="32"/>
      <c r="Z534" s="32"/>
      <c r="AA534" s="32"/>
      <c r="AB534" s="32"/>
      <c r="AC534" s="1346" t="s">
        <v>810</v>
      </c>
      <c r="AD534" s="1347"/>
      <c r="AE534" s="1347"/>
      <c r="AF534" s="1347"/>
      <c r="AG534" s="1178" t="s">
        <v>1327</v>
      </c>
      <c r="AH534" s="1382"/>
      <c r="AI534" s="1382"/>
      <c r="AJ534" s="1382"/>
      <c r="AK534" s="1383"/>
      <c r="AZ534" s="2"/>
      <c r="BA534" s="2"/>
      <c r="BB534" s="2"/>
      <c r="BC534" s="2"/>
      <c r="BD534" s="2"/>
      <c r="BE534" s="2"/>
      <c r="BF534" s="2"/>
      <c r="BG534" s="2"/>
      <c r="BH534" s="2"/>
      <c r="BI534" s="2"/>
      <c r="BJ534" s="2"/>
      <c r="BK534" s="2"/>
      <c r="BL534" s="2"/>
      <c r="BM534" s="2"/>
      <c r="BN534" s="2" t="s">
        <v>1373</v>
      </c>
    </row>
    <row r="535" spans="1:66" ht="13.2" customHeight="1">
      <c r="B535" s="1354"/>
      <c r="C535" s="1355"/>
      <c r="D535" s="1355"/>
      <c r="E535" s="1355"/>
      <c r="F535" s="1355"/>
      <c r="G535" s="1355"/>
      <c r="H535" s="1356"/>
      <c r="I535" s="30" t="s">
        <v>1361</v>
      </c>
      <c r="J535" s="30"/>
      <c r="K535" s="30"/>
      <c r="L535" s="30"/>
      <c r="M535" s="30"/>
      <c r="N535" s="30"/>
      <c r="O535" s="1388" t="s">
        <v>1338</v>
      </c>
      <c r="P535" s="1389"/>
      <c r="Q535" s="1389"/>
      <c r="R535" s="1389"/>
      <c r="S535" s="1389"/>
      <c r="T535" s="1389"/>
      <c r="U535" s="1389"/>
      <c r="V535" s="1389"/>
      <c r="W535" s="1389"/>
      <c r="X535" s="1389"/>
      <c r="Y535" s="1389"/>
      <c r="Z535" s="1389"/>
      <c r="AA535" s="1389"/>
      <c r="AC535" s="1346" t="s">
        <v>810</v>
      </c>
      <c r="AD535" s="1347"/>
      <c r="AE535" s="1347"/>
      <c r="AF535" s="1347"/>
      <c r="AG535" s="1160" t="s">
        <v>1327</v>
      </c>
      <c r="AH535" s="1382"/>
      <c r="AI535" s="1382"/>
      <c r="AJ535" s="1382"/>
      <c r="AK535" s="1383"/>
      <c r="AZ535" s="2"/>
      <c r="BA535" s="2"/>
      <c r="BB535" s="2"/>
      <c r="BC535" s="2"/>
      <c r="BD535" s="2"/>
      <c r="BE535" s="2"/>
      <c r="BF535" s="2"/>
      <c r="BG535" s="2"/>
      <c r="BH535" s="2"/>
      <c r="BI535" s="2"/>
      <c r="BJ535" s="2"/>
      <c r="BK535" s="2"/>
      <c r="BL535" s="2"/>
      <c r="BM535" s="2"/>
      <c r="BN535" s="2" t="s">
        <v>1374</v>
      </c>
    </row>
    <row r="536" spans="1:66" ht="13.2" customHeight="1">
      <c r="B536" s="1354"/>
      <c r="C536" s="1355"/>
      <c r="D536" s="1355"/>
      <c r="E536" s="1355"/>
      <c r="F536" s="1355"/>
      <c r="G536" s="1355"/>
      <c r="H536" s="1356"/>
      <c r="I536" t="s">
        <v>44</v>
      </c>
      <c r="AC536" s="1346" t="s">
        <v>810</v>
      </c>
      <c r="AD536" s="1347"/>
      <c r="AE536" s="1347"/>
      <c r="AF536" s="1347"/>
      <c r="AG536" s="1178" t="s">
        <v>1327</v>
      </c>
      <c r="AH536" s="1382"/>
      <c r="AI536" s="1382"/>
      <c r="AJ536" s="1382"/>
      <c r="AK536" s="1383"/>
      <c r="AZ536" s="2"/>
      <c r="BA536" s="2"/>
      <c r="BB536" s="2"/>
      <c r="BC536" s="2"/>
      <c r="BD536" s="2"/>
      <c r="BE536" s="2"/>
      <c r="BF536" s="2"/>
      <c r="BG536" s="2"/>
      <c r="BH536" s="2"/>
      <c r="BI536" s="2"/>
      <c r="BJ536" s="2"/>
      <c r="BK536" s="2"/>
      <c r="BL536" s="2"/>
      <c r="BM536" s="2"/>
      <c r="BN536" s="2" t="s">
        <v>1375</v>
      </c>
    </row>
    <row r="537" spans="1:66" ht="13.2" customHeight="1">
      <c r="B537" s="1354"/>
      <c r="C537" s="1355"/>
      <c r="D537" s="1355"/>
      <c r="E537" s="1355"/>
      <c r="F537" s="1355"/>
      <c r="G537" s="1355"/>
      <c r="H537" s="1356"/>
      <c r="I537" s="32" t="s">
        <v>1359</v>
      </c>
      <c r="J537" s="32"/>
      <c r="K537" s="32"/>
      <c r="L537" s="32"/>
      <c r="M537" s="32"/>
      <c r="N537" s="32"/>
      <c r="O537" s="32"/>
      <c r="P537" s="32"/>
      <c r="Q537" s="32"/>
      <c r="R537" s="32"/>
      <c r="S537" s="32"/>
      <c r="T537" s="32"/>
      <c r="U537" s="32"/>
      <c r="V537" s="32"/>
      <c r="W537" s="32"/>
      <c r="X537" s="32"/>
      <c r="Y537" s="32"/>
      <c r="Z537" s="32"/>
      <c r="AA537" s="32"/>
      <c r="AB537" s="32"/>
      <c r="AC537" s="1346" t="s">
        <v>810</v>
      </c>
      <c r="AD537" s="1347"/>
      <c r="AE537" s="1347"/>
      <c r="AF537" s="1347"/>
      <c r="AG537" s="1160" t="s">
        <v>1327</v>
      </c>
      <c r="AH537" s="1382"/>
      <c r="AI537" s="1382"/>
      <c r="AJ537" s="1382"/>
      <c r="AK537" s="1383"/>
      <c r="AZ537" s="2"/>
      <c r="BA537" s="2"/>
      <c r="BB537" s="2"/>
      <c r="BC537" s="2"/>
      <c r="BD537" s="2"/>
      <c r="BE537" s="2"/>
      <c r="BF537" s="2"/>
      <c r="BG537" s="2"/>
      <c r="BH537" s="2"/>
      <c r="BI537" s="2"/>
      <c r="BJ537" s="2"/>
      <c r="BK537" s="2"/>
      <c r="BL537" s="2"/>
      <c r="BM537" s="2"/>
      <c r="BN537" s="2" t="s">
        <v>1376</v>
      </c>
    </row>
    <row r="538" spans="1:66" ht="13.2" customHeight="1">
      <c r="B538" s="1354"/>
      <c r="C538" s="1355"/>
      <c r="D538" s="1355"/>
      <c r="E538" s="1355"/>
      <c r="F538" s="1355"/>
      <c r="G538" s="1355"/>
      <c r="H538" s="1356"/>
      <c r="I538" s="30" t="s">
        <v>1377</v>
      </c>
      <c r="J538" s="30"/>
      <c r="K538" s="30"/>
      <c r="L538" s="30"/>
      <c r="M538" s="30"/>
      <c r="N538" s="30"/>
      <c r="O538" s="30"/>
      <c r="P538" s="30"/>
      <c r="Q538" s="30"/>
      <c r="R538" s="30"/>
      <c r="S538" s="30"/>
      <c r="T538" s="30"/>
      <c r="U538" s="30"/>
      <c r="V538" s="30"/>
      <c r="W538" s="30"/>
      <c r="AC538" s="1346" t="s">
        <v>810</v>
      </c>
      <c r="AD538" s="1347"/>
      <c r="AE538" s="1347"/>
      <c r="AF538" s="1347"/>
      <c r="AG538" s="1160" t="s">
        <v>1327</v>
      </c>
      <c r="AH538" s="1382"/>
      <c r="AI538" s="1382"/>
      <c r="AJ538" s="1382"/>
      <c r="AK538" s="1383"/>
      <c r="AZ538" s="2"/>
      <c r="BA538" s="2"/>
      <c r="BB538" s="2"/>
      <c r="BC538" s="2"/>
      <c r="BD538" s="2"/>
      <c r="BE538" s="2"/>
      <c r="BF538" s="2"/>
      <c r="BG538" s="2"/>
      <c r="BH538" s="2"/>
      <c r="BI538" s="2"/>
      <c r="BJ538" s="2"/>
      <c r="BK538" s="2"/>
      <c r="BL538" s="2"/>
      <c r="BM538" s="2"/>
      <c r="BN538" s="2"/>
    </row>
    <row r="539" spans="1:66" ht="13.2" customHeight="1">
      <c r="B539" s="1354"/>
      <c r="C539" s="1355"/>
      <c r="D539" s="1355"/>
      <c r="E539" s="1355"/>
      <c r="F539" s="1355"/>
      <c r="G539" s="1355"/>
      <c r="H539" s="1356"/>
      <c r="I539" t="s">
        <v>1378</v>
      </c>
      <c r="AC539" s="1346">
        <v>2</v>
      </c>
      <c r="AD539" s="1347"/>
      <c r="AE539" s="1347"/>
      <c r="AF539" s="1347"/>
      <c r="AG539" s="1178" t="s">
        <v>1327</v>
      </c>
      <c r="AH539" s="1382">
        <v>2026</v>
      </c>
      <c r="AI539" s="1382"/>
      <c r="AJ539" s="1382"/>
      <c r="AK539" s="1383"/>
      <c r="AZ539" s="2"/>
      <c r="BA539" s="2"/>
      <c r="BB539" s="2"/>
      <c r="BC539" s="2"/>
      <c r="BD539" s="2"/>
      <c r="BE539" s="2"/>
      <c r="BF539" s="2"/>
      <c r="BG539" s="2"/>
      <c r="BH539" s="2"/>
      <c r="BI539" s="2"/>
      <c r="BJ539" s="2"/>
      <c r="BK539" s="2"/>
      <c r="BL539" s="2"/>
      <c r="BM539" s="2"/>
      <c r="BN539" s="2"/>
    </row>
    <row r="540" spans="1:66" ht="13.2" customHeight="1">
      <c r="B540" s="1354"/>
      <c r="C540" s="1355"/>
      <c r="D540" s="1355"/>
      <c r="E540" s="1355"/>
      <c r="F540" s="1355"/>
      <c r="G540" s="1355"/>
      <c r="H540" s="1356"/>
      <c r="I540" t="s">
        <v>1379</v>
      </c>
      <c r="AC540" s="1346">
        <v>11</v>
      </c>
      <c r="AD540" s="1347"/>
      <c r="AE540" s="1347"/>
      <c r="AF540" s="1347"/>
      <c r="AG540" s="1160" t="s">
        <v>1327</v>
      </c>
      <c r="AH540" s="1382">
        <v>2027</v>
      </c>
      <c r="AI540" s="1382"/>
      <c r="AJ540" s="1382"/>
      <c r="AK540" s="1383"/>
      <c r="AZ540" s="2"/>
      <c r="BA540" s="2"/>
      <c r="BB540" s="2"/>
      <c r="BC540" s="2"/>
      <c r="BD540" s="2"/>
      <c r="BE540" s="2"/>
      <c r="BF540" s="2"/>
      <c r="BG540" s="2"/>
      <c r="BH540" s="2"/>
      <c r="BI540" s="2"/>
      <c r="BJ540" s="2"/>
      <c r="BK540" s="2"/>
      <c r="BL540" s="2"/>
      <c r="BM540" s="2"/>
      <c r="BN540" s="2"/>
    </row>
    <row r="541" spans="1:66" ht="13.2" customHeight="1">
      <c r="B541" s="1354"/>
      <c r="C541" s="1355"/>
      <c r="D541" s="1355"/>
      <c r="E541" s="1355"/>
      <c r="F541" s="1355"/>
      <c r="G541" s="1355"/>
      <c r="H541" s="1356"/>
      <c r="I541" t="s">
        <v>1380</v>
      </c>
      <c r="AC541" s="1346">
        <v>11</v>
      </c>
      <c r="AD541" s="1347"/>
      <c r="AE541" s="1347"/>
      <c r="AF541" s="1347"/>
      <c r="AG541" s="1160" t="s">
        <v>1327</v>
      </c>
      <c r="AH541" s="1382">
        <v>2027</v>
      </c>
      <c r="AI541" s="1382"/>
      <c r="AJ541" s="1382"/>
      <c r="AK541" s="1383"/>
      <c r="AZ541" s="2"/>
      <c r="BA541" s="2"/>
      <c r="BB541" s="2"/>
      <c r="BC541" s="2"/>
      <c r="BD541" s="2"/>
      <c r="BE541" s="2"/>
      <c r="BF541" s="2"/>
      <c r="BG541" s="2"/>
      <c r="BH541" s="2"/>
      <c r="BI541" s="2"/>
      <c r="BJ541" s="2"/>
      <c r="BK541" s="2"/>
      <c r="BL541" s="2"/>
      <c r="BM541" s="2"/>
      <c r="BN541" s="2"/>
    </row>
    <row r="542" spans="1:66" ht="13.2" customHeight="1">
      <c r="B542" s="1357"/>
      <c r="C542" s="1358"/>
      <c r="D542" s="1358"/>
      <c r="E542" s="1358"/>
      <c r="F542" s="1358"/>
      <c r="G542" s="1358"/>
      <c r="H542" s="1359"/>
      <c r="I542" s="32" t="s">
        <v>1381</v>
      </c>
      <c r="J542" s="32"/>
      <c r="K542" s="32"/>
      <c r="L542" s="32"/>
      <c r="M542" s="32"/>
      <c r="N542" s="32"/>
      <c r="O542" s="32"/>
      <c r="P542" s="32"/>
      <c r="Q542" s="32"/>
      <c r="R542" s="32"/>
      <c r="S542" s="32"/>
      <c r="T542" s="32"/>
      <c r="U542" s="32"/>
      <c r="V542" s="32"/>
      <c r="W542" s="32"/>
      <c r="X542" s="32"/>
      <c r="Y542" s="32"/>
      <c r="Z542" s="32"/>
      <c r="AA542" s="32"/>
      <c r="AB542" s="32"/>
      <c r="AC542" s="1346">
        <v>2</v>
      </c>
      <c r="AD542" s="1347"/>
      <c r="AE542" s="1347"/>
      <c r="AF542" s="1347"/>
      <c r="AG542" s="1160" t="s">
        <v>1327</v>
      </c>
      <c r="AH542" s="1382">
        <v>2028</v>
      </c>
      <c r="AI542" s="1382"/>
      <c r="AJ542" s="1382"/>
      <c r="AK542" s="1383"/>
      <c r="BB542" s="2"/>
      <c r="BC542" s="2"/>
      <c r="BD542" s="2"/>
      <c r="BE542" s="2"/>
      <c r="BF542" s="2"/>
      <c r="BG542" s="2"/>
      <c r="BH542" s="2" t="s">
        <v>18</v>
      </c>
      <c r="BI542" s="2" t="str">
        <f>N649</f>
        <v>Yes</v>
      </c>
      <c r="BJ542" s="2"/>
      <c r="BK542" s="2"/>
      <c r="BL542" s="2"/>
      <c r="BM542" s="2"/>
      <c r="BN542" s="2"/>
    </row>
    <row r="543" spans="1:66" ht="13.2" customHeight="1">
      <c r="B543" s="381"/>
      <c r="C543" s="1152"/>
      <c r="D543" s="1152"/>
      <c r="E543" s="1152"/>
      <c r="F543" s="1152"/>
      <c r="G543" s="1152"/>
      <c r="H543" s="1152"/>
      <c r="AB543" s="1152"/>
      <c r="AU543" s="710"/>
      <c r="AV543" s="710"/>
      <c r="AW543" s="710"/>
      <c r="AX543" s="710"/>
      <c r="AY543" s="710"/>
      <c r="BB543" s="2"/>
      <c r="BC543" s="2"/>
      <c r="BD543" s="2"/>
      <c r="BE543" s="2"/>
      <c r="BF543" s="2"/>
      <c r="BG543" s="2"/>
      <c r="BH543" s="2" t="s">
        <v>31</v>
      </c>
      <c r="BI543" s="2" t="str">
        <f>AG649</f>
        <v>Yes</v>
      </c>
      <c r="BJ543" s="2"/>
      <c r="BK543" s="2"/>
      <c r="BL543" s="2"/>
      <c r="BM543" s="2"/>
      <c r="BN543" s="2"/>
    </row>
    <row r="544" spans="1:66" ht="13.2" customHeight="1">
      <c r="A544" s="1234" t="s">
        <v>1382</v>
      </c>
      <c r="B544" s="1234"/>
      <c r="C544" s="1234"/>
      <c r="D544" s="1234"/>
      <c r="E544" s="1234"/>
      <c r="F544" s="1234"/>
      <c r="G544" s="1234"/>
      <c r="H544" s="1234"/>
      <c r="I544" s="1234"/>
      <c r="J544" s="1234"/>
      <c r="K544" s="1234"/>
      <c r="L544" s="1234"/>
      <c r="M544" s="1234"/>
      <c r="N544" s="1234"/>
      <c r="O544" s="1234"/>
      <c r="P544" s="1234"/>
      <c r="Q544" s="1234"/>
      <c r="R544" s="1234"/>
      <c r="S544" s="1234"/>
      <c r="T544" s="1234"/>
      <c r="U544" s="1234"/>
      <c r="V544" s="1234"/>
      <c r="W544" s="1234"/>
      <c r="X544" s="1234"/>
      <c r="Y544" s="1234"/>
      <c r="Z544" s="1234"/>
      <c r="AA544" s="1234"/>
      <c r="AB544" s="1234"/>
      <c r="AC544" s="1234"/>
      <c r="AD544" s="1234"/>
      <c r="AE544" s="1234"/>
      <c r="AF544" s="1234"/>
      <c r="AG544" s="1234"/>
      <c r="AH544" s="1234"/>
      <c r="AI544" s="1234"/>
      <c r="AJ544" s="1234"/>
      <c r="AK544" s="1234"/>
      <c r="AL544" s="1234"/>
      <c r="AM544" s="1234"/>
      <c r="AN544" s="1234"/>
      <c r="AO544" s="1234"/>
      <c r="AP544" s="1234"/>
      <c r="AQ544" s="1234"/>
      <c r="AR544" s="1234"/>
      <c r="AS544" s="1234"/>
      <c r="AT544" s="1234"/>
      <c r="AU544" s="710"/>
      <c r="AV544" s="710"/>
      <c r="AW544" s="710"/>
      <c r="AX544" s="710"/>
      <c r="AY544" s="710"/>
      <c r="BB544" s="2"/>
      <c r="BC544" s="2"/>
      <c r="BD544" s="2"/>
      <c r="BE544" s="2"/>
      <c r="BF544" s="2"/>
      <c r="BG544" s="2"/>
      <c r="BH544" s="2"/>
      <c r="BI544" s="2"/>
      <c r="BJ544" s="2"/>
      <c r="BK544" s="2"/>
      <c r="BL544" s="2"/>
      <c r="BM544" s="2"/>
      <c r="BN544" s="2"/>
    </row>
    <row r="545" spans="1:61" ht="13.2" customHeight="1">
      <c r="A545" s="1234"/>
      <c r="B545" s="1234"/>
      <c r="C545" s="1234"/>
      <c r="D545" s="1234"/>
      <c r="E545" s="1234"/>
      <c r="F545" s="1234"/>
      <c r="G545" s="1234"/>
      <c r="H545" s="1234"/>
      <c r="I545" s="1234"/>
      <c r="J545" s="1234"/>
      <c r="K545" s="1234"/>
      <c r="L545" s="1234"/>
      <c r="M545" s="1234"/>
      <c r="N545" s="1234"/>
      <c r="O545" s="1234"/>
      <c r="P545" s="1234"/>
      <c r="Q545" s="1234"/>
      <c r="R545" s="1234"/>
      <c r="S545" s="1234"/>
      <c r="T545" s="1234"/>
      <c r="U545" s="1234"/>
      <c r="V545" s="1234"/>
      <c r="W545" s="1234"/>
      <c r="X545" s="1234"/>
      <c r="Y545" s="1234"/>
      <c r="Z545" s="1234"/>
      <c r="AA545" s="1234"/>
      <c r="AB545" s="1234"/>
      <c r="AC545" s="1234"/>
      <c r="AD545" s="1234"/>
      <c r="AE545" s="1234"/>
      <c r="AF545" s="1234"/>
      <c r="AG545" s="1234"/>
      <c r="AH545" s="1234"/>
      <c r="AI545" s="1234"/>
      <c r="AJ545" s="1234"/>
      <c r="AK545" s="1234"/>
      <c r="AL545" s="1234"/>
      <c r="AM545" s="1234"/>
      <c r="AN545" s="1234"/>
      <c r="AO545" s="1234"/>
      <c r="AP545" s="1234"/>
      <c r="AQ545" s="1234"/>
      <c r="AR545" s="1234"/>
      <c r="AS545" s="1234"/>
      <c r="AT545" s="1234"/>
      <c r="BB545" s="2"/>
      <c r="BC545" s="2"/>
      <c r="BD545" s="2"/>
      <c r="BE545" s="2"/>
      <c r="BF545" s="2"/>
      <c r="BG545" s="2"/>
      <c r="BH545" s="2"/>
      <c r="BI545" s="2"/>
    </row>
    <row r="546" spans="1:61" ht="13.2" customHeight="1">
      <c r="BB546" s="2"/>
      <c r="BC546" s="2"/>
      <c r="BD546" s="2"/>
      <c r="BE546" s="2"/>
      <c r="BF546" s="2"/>
      <c r="BG546" s="2"/>
      <c r="BH546" s="2"/>
      <c r="BI546" s="2"/>
    </row>
    <row r="547" spans="1:61" ht="13.2" customHeight="1">
      <c r="A547" s="1" t="s">
        <v>871</v>
      </c>
      <c r="B547" s="1"/>
      <c r="C547" s="1" t="s">
        <v>172</v>
      </c>
      <c r="BB547" s="2"/>
      <c r="BC547" s="2"/>
      <c r="BD547" s="2"/>
      <c r="BE547" s="2"/>
      <c r="BF547" s="2"/>
      <c r="BG547" s="2"/>
      <c r="BH547" s="2"/>
      <c r="BI547" s="2"/>
    </row>
    <row r="548" spans="1:61" ht="13.2" customHeight="1">
      <c r="A548" s="1"/>
      <c r="B548" s="1"/>
      <c r="C548" s="1"/>
      <c r="BB548" s="2"/>
      <c r="BC548" s="2"/>
      <c r="BD548" s="2"/>
      <c r="BE548" s="2"/>
      <c r="BF548" s="2"/>
      <c r="BG548" s="2"/>
      <c r="BH548" s="2"/>
      <c r="BI548" s="2"/>
    </row>
    <row r="549" spans="1:61" ht="13.2" customHeight="1">
      <c r="A549" s="1"/>
      <c r="B549" s="1"/>
      <c r="C549" s="1"/>
      <c r="D549" s="1" t="s">
        <v>1383</v>
      </c>
      <c r="AC549" s="57"/>
      <c r="BB549" s="2"/>
      <c r="BC549" s="2"/>
      <c r="BD549" s="2"/>
      <c r="BE549" s="2"/>
      <c r="BF549" s="2"/>
      <c r="BG549" s="2"/>
      <c r="BH549" s="2"/>
      <c r="BI549" s="2"/>
    </row>
    <row r="550" spans="1:61" ht="13.2" customHeight="1">
      <c r="B550" s="363"/>
      <c r="BB550" s="2"/>
      <c r="BC550" s="2"/>
      <c r="BD550" s="2"/>
      <c r="BE550" s="2"/>
      <c r="BF550" s="2"/>
      <c r="BG550" s="2"/>
      <c r="BH550" s="2" t="s">
        <v>39</v>
      </c>
      <c r="BI550" s="2" t="str">
        <f>N657</f>
        <v>Yes</v>
      </c>
    </row>
    <row r="551" spans="1:61" ht="13.2" customHeight="1">
      <c r="B551" s="1351" t="s">
        <v>1384</v>
      </c>
      <c r="C551" s="1352"/>
      <c r="D551" s="1352"/>
      <c r="E551" s="1352"/>
      <c r="F551" s="1352"/>
      <c r="G551" s="1352"/>
      <c r="H551" s="1352"/>
      <c r="I551" s="1352"/>
      <c r="J551" s="1352"/>
      <c r="K551" s="1352"/>
      <c r="L551" s="1353"/>
      <c r="M551" s="1351" t="s">
        <v>1385</v>
      </c>
      <c r="N551" s="1352"/>
      <c r="O551" s="1352"/>
      <c r="P551" s="1353"/>
      <c r="Q551" s="1351" t="s">
        <v>1386</v>
      </c>
      <c r="R551" s="1352"/>
      <c r="S551" s="1353"/>
      <c r="T551" s="1351" t="s">
        <v>1387</v>
      </c>
      <c r="U551" s="1352"/>
      <c r="V551" s="1353"/>
      <c r="W551" s="1351" t="s">
        <v>1388</v>
      </c>
      <c r="X551" s="1352"/>
      <c r="Y551" s="1353"/>
      <c r="Z551" s="1351" t="s">
        <v>1389</v>
      </c>
      <c r="AA551" s="1352"/>
      <c r="AB551" s="1352"/>
      <c r="AC551" s="1352"/>
      <c r="AD551" s="1353"/>
      <c r="AE551" s="1351" t="s">
        <v>1390</v>
      </c>
      <c r="AF551" s="1352"/>
      <c r="AG551" s="1352"/>
      <c r="AH551" s="1353"/>
      <c r="AI551" s="1351" t="s">
        <v>1391</v>
      </c>
      <c r="AJ551" s="1352"/>
      <c r="AK551" s="1352"/>
      <c r="AL551" s="1353"/>
      <c r="AM551" s="1351" t="s">
        <v>1392</v>
      </c>
      <c r="AN551" s="1352"/>
      <c r="AO551" s="1352"/>
      <c r="AP551" s="1352"/>
      <c r="AQ551" s="1352"/>
      <c r="AR551" s="1352"/>
      <c r="AS551" s="1353"/>
      <c r="BB551" s="2"/>
      <c r="BC551" s="2"/>
      <c r="BD551" s="2"/>
      <c r="BE551" s="2"/>
      <c r="BF551" s="2"/>
      <c r="BG551" s="2"/>
      <c r="BH551" s="2" t="s">
        <v>82</v>
      </c>
      <c r="BI551" s="2" t="str">
        <f>AG657</f>
        <v>No</v>
      </c>
    </row>
    <row r="552" spans="1:61" ht="13.2" customHeight="1">
      <c r="B552" s="1354"/>
      <c r="C552" s="1355"/>
      <c r="D552" s="1355"/>
      <c r="E552" s="1355"/>
      <c r="F552" s="1355"/>
      <c r="G552" s="1355"/>
      <c r="H552" s="1355"/>
      <c r="I552" s="1355"/>
      <c r="J552" s="1355"/>
      <c r="K552" s="1355"/>
      <c r="L552" s="1356"/>
      <c r="M552" s="1354"/>
      <c r="N552" s="1355"/>
      <c r="O552" s="1355"/>
      <c r="P552" s="1356"/>
      <c r="Q552" s="1354"/>
      <c r="R552" s="1355"/>
      <c r="S552" s="1356"/>
      <c r="T552" s="1354"/>
      <c r="U552" s="1355"/>
      <c r="V552" s="1356"/>
      <c r="W552" s="1354"/>
      <c r="X552" s="1355"/>
      <c r="Y552" s="1356"/>
      <c r="Z552" s="1354"/>
      <c r="AA552" s="1355"/>
      <c r="AB552" s="1355"/>
      <c r="AC552" s="1355"/>
      <c r="AD552" s="1356"/>
      <c r="AE552" s="1354"/>
      <c r="AF552" s="1355"/>
      <c r="AG552" s="1355"/>
      <c r="AH552" s="1356"/>
      <c r="AI552" s="1354"/>
      <c r="AJ552" s="1355"/>
      <c r="AK552" s="1355"/>
      <c r="AL552" s="1356"/>
      <c r="AM552" s="1354"/>
      <c r="AN552" s="1355"/>
      <c r="AO552" s="1355"/>
      <c r="AP552" s="1355"/>
      <c r="AQ552" s="1355"/>
      <c r="AR552" s="1355"/>
      <c r="AS552" s="1356"/>
      <c r="AU552" s="929"/>
      <c r="BB552" s="2"/>
      <c r="BC552" s="2"/>
      <c r="BD552" s="2"/>
      <c r="BE552" s="2"/>
      <c r="BF552" s="2"/>
      <c r="BG552" s="2"/>
      <c r="BH552" s="2"/>
      <c r="BI552" s="2"/>
    </row>
    <row r="553" spans="1:61" ht="13.2" customHeight="1">
      <c r="B553" s="1357"/>
      <c r="C553" s="1358"/>
      <c r="D553" s="1358"/>
      <c r="E553" s="1358"/>
      <c r="F553" s="1358"/>
      <c r="G553" s="1358"/>
      <c r="H553" s="1358"/>
      <c r="I553" s="1358"/>
      <c r="J553" s="1358"/>
      <c r="K553" s="1358"/>
      <c r="L553" s="1359"/>
      <c r="M553" s="1357"/>
      <c r="N553" s="1358"/>
      <c r="O553" s="1358"/>
      <c r="P553" s="1359"/>
      <c r="Q553" s="1357"/>
      <c r="R553" s="1358"/>
      <c r="S553" s="1359"/>
      <c r="T553" s="1357"/>
      <c r="U553" s="1358"/>
      <c r="V553" s="1359"/>
      <c r="W553" s="1357"/>
      <c r="X553" s="1358"/>
      <c r="Y553" s="1359"/>
      <c r="Z553" s="1357"/>
      <c r="AA553" s="1358"/>
      <c r="AB553" s="1358"/>
      <c r="AC553" s="1358"/>
      <c r="AD553" s="1359"/>
      <c r="AE553" s="1357"/>
      <c r="AF553" s="1358"/>
      <c r="AG553" s="1358"/>
      <c r="AH553" s="1359"/>
      <c r="AI553" s="1357"/>
      <c r="AJ553" s="1358"/>
      <c r="AK553" s="1358"/>
      <c r="AL553" s="1359"/>
      <c r="AM553" s="1357"/>
      <c r="AN553" s="1358"/>
      <c r="AO553" s="1358"/>
      <c r="AP553" s="1358"/>
      <c r="AQ553" s="1358"/>
      <c r="AR553" s="1358"/>
      <c r="AS553" s="1359"/>
      <c r="AU553" s="929"/>
      <c r="BB553" s="2"/>
      <c r="BC553" s="2"/>
      <c r="BD553" s="2"/>
      <c r="BE553" s="2"/>
      <c r="BF553" s="2"/>
      <c r="BG553" s="2"/>
      <c r="BH553" s="2"/>
      <c r="BI553" s="2"/>
    </row>
    <row r="554" spans="1:61" ht="24.75" customHeight="1">
      <c r="B554" s="34" t="s">
        <v>18</v>
      </c>
      <c r="C554" s="1394" t="s">
        <v>1393</v>
      </c>
      <c r="D554" s="1394"/>
      <c r="E554" s="1394"/>
      <c r="F554" s="1394"/>
      <c r="G554" s="1394"/>
      <c r="H554" s="1394"/>
      <c r="I554" s="1394"/>
      <c r="J554" s="1394"/>
      <c r="K554" s="1394"/>
      <c r="L554" s="1394"/>
      <c r="M554" s="1394" t="s">
        <v>1367</v>
      </c>
      <c r="N554" s="1394"/>
      <c r="O554" s="1394"/>
      <c r="P554" s="1394"/>
      <c r="Q554" s="1380">
        <v>30</v>
      </c>
      <c r="R554" s="1380"/>
      <c r="S554" s="1381"/>
      <c r="T554" s="1379"/>
      <c r="U554" s="1380"/>
      <c r="V554" s="1381"/>
      <c r="W554" s="1376">
        <v>6.5000000000000002E-2</v>
      </c>
      <c r="X554" s="1377"/>
      <c r="Y554" s="1378"/>
      <c r="Z554" s="1385" t="s">
        <v>1394</v>
      </c>
      <c r="AA554" s="1385"/>
      <c r="AB554" s="1385"/>
      <c r="AC554" s="1385"/>
      <c r="AD554" s="1385"/>
      <c r="AE554" s="1367">
        <v>1</v>
      </c>
      <c r="AF554" s="1368"/>
      <c r="AG554" s="1368"/>
      <c r="AH554" s="1369"/>
      <c r="AI554" s="1391"/>
      <c r="AJ554" s="1392"/>
      <c r="AK554" s="1392"/>
      <c r="AL554" s="1393"/>
      <c r="AM554" s="1421">
        <v>37786055</v>
      </c>
      <c r="AN554" s="1422"/>
      <c r="AO554" s="1422"/>
      <c r="AP554" s="1422"/>
      <c r="AQ554" s="1422"/>
      <c r="AR554" s="1422"/>
      <c r="AS554" s="1423"/>
      <c r="AT554" s="930"/>
      <c r="AU554" s="929"/>
      <c r="BB554" s="2"/>
      <c r="BC554" s="2"/>
      <c r="BD554" s="2"/>
      <c r="BE554" s="2"/>
      <c r="BF554" s="2"/>
      <c r="BG554" s="2"/>
      <c r="BH554" s="2"/>
      <c r="BI554" s="2"/>
    </row>
    <row r="555" spans="1:61" ht="25.5" customHeight="1">
      <c r="B555" s="35" t="s">
        <v>31</v>
      </c>
      <c r="C555" s="1395" t="s">
        <v>1395</v>
      </c>
      <c r="D555" s="1395"/>
      <c r="E555" s="1395"/>
      <c r="F555" s="1395"/>
      <c r="G555" s="1395"/>
      <c r="H555" s="1395"/>
      <c r="I555" s="1395"/>
      <c r="J555" s="1395"/>
      <c r="K555" s="1395"/>
      <c r="L555" s="1395"/>
      <c r="M555" s="1394" t="s">
        <v>1366</v>
      </c>
      <c r="N555" s="1394"/>
      <c r="O555" s="1394"/>
      <c r="P555" s="1394"/>
      <c r="Q555" s="1379">
        <v>30</v>
      </c>
      <c r="R555" s="1380"/>
      <c r="S555" s="1381"/>
      <c r="T555" s="1379"/>
      <c r="U555" s="1380"/>
      <c r="V555" s="1381"/>
      <c r="W555" s="1376">
        <v>7.0000000000000007E-2</v>
      </c>
      <c r="X555" s="1377"/>
      <c r="Y555" s="1378"/>
      <c r="Z555" s="1385" t="s">
        <v>1394</v>
      </c>
      <c r="AA555" s="1385"/>
      <c r="AB555" s="1385"/>
      <c r="AC555" s="1385"/>
      <c r="AD555" s="1385"/>
      <c r="AE555" s="1367">
        <v>1</v>
      </c>
      <c r="AF555" s="1368"/>
      <c r="AG555" s="1368"/>
      <c r="AH555" s="1369"/>
      <c r="AI555" s="1391"/>
      <c r="AJ555" s="1392"/>
      <c r="AK555" s="1392"/>
      <c r="AL555" s="1393"/>
      <c r="AM555" s="1421">
        <v>10331889</v>
      </c>
      <c r="AN555" s="1422"/>
      <c r="AO555" s="1422"/>
      <c r="AP555" s="1422"/>
      <c r="AQ555" s="1422"/>
      <c r="AR555" s="1422"/>
      <c r="AS555" s="1423"/>
      <c r="AT555" s="930" t="str">
        <f>IF(AND(NOT(C554=""),C555="",NOT(C556="")),"!","")</f>
        <v/>
      </c>
      <c r="AU555" s="929"/>
      <c r="BB555" s="2"/>
      <c r="BC555" s="2"/>
      <c r="BD555" s="2"/>
      <c r="BE555" s="2"/>
      <c r="BF555" s="2"/>
      <c r="BG555" s="2"/>
      <c r="BH555" s="2"/>
      <c r="BI555" s="2"/>
    </row>
    <row r="556" spans="1:61" ht="21.75" customHeight="1">
      <c r="B556" s="35" t="s">
        <v>39</v>
      </c>
      <c r="C556" s="1395" t="s">
        <v>1396</v>
      </c>
      <c r="D556" s="1395"/>
      <c r="E556" s="1395"/>
      <c r="F556" s="1395"/>
      <c r="G556" s="1395"/>
      <c r="H556" s="1395"/>
      <c r="I556" s="1395"/>
      <c r="J556" s="1395"/>
      <c r="K556" s="1395"/>
      <c r="L556" s="1395"/>
      <c r="M556" s="1394" t="s">
        <v>1368</v>
      </c>
      <c r="N556" s="1394"/>
      <c r="O556" s="1394"/>
      <c r="P556" s="1394"/>
      <c r="Q556" s="1379">
        <v>30</v>
      </c>
      <c r="R556" s="1380"/>
      <c r="S556" s="1381"/>
      <c r="T556" s="1379"/>
      <c r="U556" s="1380"/>
      <c r="V556" s="1381"/>
      <c r="W556" s="1376">
        <v>6.5000000000000002E-2</v>
      </c>
      <c r="X556" s="1377"/>
      <c r="Y556" s="1378"/>
      <c r="Z556" s="1385" t="s">
        <v>1394</v>
      </c>
      <c r="AA556" s="1385"/>
      <c r="AB556" s="1385"/>
      <c r="AC556" s="1385"/>
      <c r="AD556" s="1385"/>
      <c r="AE556" s="1367">
        <v>1</v>
      </c>
      <c r="AF556" s="1368"/>
      <c r="AG556" s="1368"/>
      <c r="AH556" s="1369"/>
      <c r="AI556" s="1391"/>
      <c r="AJ556" s="1392"/>
      <c r="AK556" s="1392"/>
      <c r="AL556" s="1393"/>
      <c r="AM556" s="1421">
        <v>4000000</v>
      </c>
      <c r="AN556" s="1422"/>
      <c r="AO556" s="1422"/>
      <c r="AP556" s="1422"/>
      <c r="AQ556" s="1422"/>
      <c r="AR556" s="1422"/>
      <c r="AS556" s="1423"/>
      <c r="AT556" s="930" t="str">
        <f>IF(AND(NOT(C555=""),C556="",NOT(C557="")),"!","")</f>
        <v/>
      </c>
      <c r="AU556" s="929"/>
      <c r="BB556" s="2"/>
      <c r="BC556" s="2"/>
      <c r="BD556" s="2"/>
      <c r="BE556" s="2"/>
      <c r="BF556" s="2"/>
      <c r="BG556" s="2"/>
      <c r="BH556" s="2"/>
      <c r="BI556" s="2"/>
    </row>
    <row r="557" spans="1:61" ht="13.2" customHeight="1">
      <c r="B557" s="35" t="s">
        <v>82</v>
      </c>
      <c r="C557" s="1395" t="s">
        <v>1397</v>
      </c>
      <c r="D557" s="1395"/>
      <c r="E557" s="1395"/>
      <c r="F557" s="1395"/>
      <c r="G557" s="1395"/>
      <c r="H557" s="1395"/>
      <c r="I557" s="1395"/>
      <c r="J557" s="1395"/>
      <c r="K557" s="1395"/>
      <c r="L557" s="1395"/>
      <c r="M557" s="1394" t="s">
        <v>1354</v>
      </c>
      <c r="N557" s="1394"/>
      <c r="O557" s="1394"/>
      <c r="P557" s="1394"/>
      <c r="Q557" s="1379"/>
      <c r="R557" s="1380"/>
      <c r="S557" s="1381"/>
      <c r="T557" s="1379"/>
      <c r="U557" s="1380"/>
      <c r="V557" s="1381"/>
      <c r="W557" s="1376"/>
      <c r="X557" s="1377"/>
      <c r="Y557" s="1378"/>
      <c r="Z557" s="1385" t="s">
        <v>1028</v>
      </c>
      <c r="AA557" s="1385"/>
      <c r="AB557" s="1385"/>
      <c r="AC557" s="1385"/>
      <c r="AD557" s="1385"/>
      <c r="AE557" s="1367"/>
      <c r="AF557" s="1368"/>
      <c r="AG557" s="1368"/>
      <c r="AH557" s="1369"/>
      <c r="AI557" s="1391"/>
      <c r="AJ557" s="1392"/>
      <c r="AK557" s="1392"/>
      <c r="AL557" s="1393"/>
      <c r="AM557" s="1421">
        <v>8078933</v>
      </c>
      <c r="AN557" s="1422"/>
      <c r="AO557" s="1422"/>
      <c r="AP557" s="1422"/>
      <c r="AQ557" s="1422"/>
      <c r="AR557" s="1422"/>
      <c r="AS557" s="1423"/>
      <c r="AT557" s="930" t="str">
        <f>IF(AND(NOT(C556=""),C557="",NOT(C558="")),"!","")</f>
        <v/>
      </c>
      <c r="AU557" s="929"/>
      <c r="BB557" s="2"/>
      <c r="BC557" s="2"/>
      <c r="BD557" s="2"/>
      <c r="BE557" s="2"/>
      <c r="BF557" s="2"/>
      <c r="BG557" s="2"/>
      <c r="BH557" s="2"/>
      <c r="BI557" s="2"/>
    </row>
    <row r="558" spans="1:61" ht="13.2" customHeight="1">
      <c r="B558" s="35" t="s">
        <v>86</v>
      </c>
      <c r="C558" s="1395" t="s">
        <v>1398</v>
      </c>
      <c r="D558" s="1395"/>
      <c r="E558" s="1395"/>
      <c r="F558" s="1395"/>
      <c r="G558" s="1395"/>
      <c r="H558" s="1395"/>
      <c r="I558" s="1395"/>
      <c r="J558" s="1395"/>
      <c r="K558" s="1395"/>
      <c r="L558" s="1395"/>
      <c r="M558" s="1394" t="s">
        <v>1354</v>
      </c>
      <c r="N558" s="1394"/>
      <c r="O558" s="1394"/>
      <c r="P558" s="1394"/>
      <c r="Q558" s="1379"/>
      <c r="R558" s="1380"/>
      <c r="S558" s="1381"/>
      <c r="T558" s="1379"/>
      <c r="U558" s="1380"/>
      <c r="V558" s="1381"/>
      <c r="W558" s="1376"/>
      <c r="X558" s="1377"/>
      <c r="Y558" s="1378"/>
      <c r="Z558" s="1385" t="s">
        <v>1028</v>
      </c>
      <c r="AA558" s="1385"/>
      <c r="AB558" s="1385"/>
      <c r="AC558" s="1385"/>
      <c r="AD558" s="1385"/>
      <c r="AE558" s="1367"/>
      <c r="AF558" s="1368"/>
      <c r="AG558" s="1368"/>
      <c r="AH558" s="1369"/>
      <c r="AI558" s="1391"/>
      <c r="AJ558" s="1392"/>
      <c r="AK558" s="1392"/>
      <c r="AL558" s="1393"/>
      <c r="AM558" s="1421">
        <v>4161315</v>
      </c>
      <c r="AN558" s="1422"/>
      <c r="AO558" s="1422"/>
      <c r="AP558" s="1422"/>
      <c r="AQ558" s="1422"/>
      <c r="AR558" s="1422"/>
      <c r="AS558" s="1423"/>
      <c r="AT558" s="930" t="str">
        <f t="shared" ref="AT558:AT565" si="0">IF(AND(NOT(C557=""),C558="",NOT(C559="")),"!","")</f>
        <v/>
      </c>
      <c r="AU558" s="929"/>
      <c r="BB558" s="2"/>
      <c r="BC558" s="2"/>
      <c r="BD558" s="2"/>
      <c r="BE558" s="2"/>
      <c r="BF558" s="2"/>
      <c r="BG558" s="2"/>
      <c r="BH558" s="2" t="s">
        <v>86</v>
      </c>
      <c r="BI558" s="2" t="str">
        <f>N665</f>
        <v>No</v>
      </c>
    </row>
    <row r="559" spans="1:61" ht="13.2" customHeight="1">
      <c r="B559" s="35" t="s">
        <v>1399</v>
      </c>
      <c r="C559" s="1395" t="s">
        <v>2748</v>
      </c>
      <c r="D559" s="1395"/>
      <c r="E559" s="1395"/>
      <c r="F559" s="1395"/>
      <c r="G559" s="1395"/>
      <c r="H559" s="1395"/>
      <c r="I559" s="1395"/>
      <c r="J559" s="1395"/>
      <c r="K559" s="1395"/>
      <c r="L559" s="1395"/>
      <c r="M559" s="1394" t="s">
        <v>1370</v>
      </c>
      <c r="N559" s="1394"/>
      <c r="O559" s="1394"/>
      <c r="P559" s="1394"/>
      <c r="Q559" s="1379"/>
      <c r="R559" s="1380"/>
      <c r="S559" s="1381"/>
      <c r="T559" s="1379"/>
      <c r="U559" s="1380"/>
      <c r="V559" s="1381"/>
      <c r="W559" s="1376"/>
      <c r="X559" s="1377"/>
      <c r="Y559" s="1378"/>
      <c r="Z559" s="1385" t="s">
        <v>1028</v>
      </c>
      <c r="AA559" s="1385"/>
      <c r="AB559" s="1385"/>
      <c r="AC559" s="1385"/>
      <c r="AD559" s="1385"/>
      <c r="AE559" s="1367"/>
      <c r="AF559" s="1368"/>
      <c r="AG559" s="1368"/>
      <c r="AH559" s="1369"/>
      <c r="AI559" s="1391"/>
      <c r="AJ559" s="1392"/>
      <c r="AK559" s="1392"/>
      <c r="AL559" s="1393"/>
      <c r="AM559" s="1421">
        <v>3100000</v>
      </c>
      <c r="AN559" s="1422"/>
      <c r="AO559" s="1422"/>
      <c r="AP559" s="1422"/>
      <c r="AQ559" s="1422"/>
      <c r="AR559" s="1422"/>
      <c r="AS559" s="1423"/>
      <c r="AT559" s="930" t="str">
        <f t="shared" si="0"/>
        <v/>
      </c>
      <c r="AU559" s="929"/>
      <c r="BB559" s="2"/>
      <c r="BC559" s="2"/>
      <c r="BD559" s="2"/>
      <c r="BE559" s="2"/>
      <c r="BF559" s="2"/>
      <c r="BG559" s="2"/>
      <c r="BH559" s="2" t="s">
        <v>1399</v>
      </c>
      <c r="BI559" s="2" t="str">
        <f>AG665</f>
        <v>No</v>
      </c>
    </row>
    <row r="560" spans="1:61" ht="13.2" customHeight="1">
      <c r="B560" s="35" t="s">
        <v>1400</v>
      </c>
      <c r="C560" s="1395" t="s">
        <v>1401</v>
      </c>
      <c r="D560" s="1395"/>
      <c r="E560" s="1395"/>
      <c r="F560" s="1395"/>
      <c r="G560" s="1395"/>
      <c r="H560" s="1395"/>
      <c r="I560" s="1395"/>
      <c r="J560" s="1395"/>
      <c r="K560" s="1395"/>
      <c r="L560" s="1395"/>
      <c r="M560" s="1394" t="s">
        <v>1346</v>
      </c>
      <c r="N560" s="1394"/>
      <c r="O560" s="1394"/>
      <c r="P560" s="1394"/>
      <c r="Q560" s="1379"/>
      <c r="R560" s="1380"/>
      <c r="S560" s="1381"/>
      <c r="T560" s="1379"/>
      <c r="U560" s="1380"/>
      <c r="V560" s="1381"/>
      <c r="W560" s="1376"/>
      <c r="X560" s="1377"/>
      <c r="Y560" s="1378"/>
      <c r="Z560" s="1385" t="s">
        <v>1028</v>
      </c>
      <c r="AA560" s="1385"/>
      <c r="AB560" s="1385"/>
      <c r="AC560" s="1385"/>
      <c r="AD560" s="1385"/>
      <c r="AE560" s="1367"/>
      <c r="AF560" s="1368"/>
      <c r="AG560" s="1368"/>
      <c r="AH560" s="1369"/>
      <c r="AI560" s="1391"/>
      <c r="AJ560" s="1392"/>
      <c r="AK560" s="1392"/>
      <c r="AL560" s="1393"/>
      <c r="AM560" s="1421">
        <f>AO641-(AM554+AM555+AM556+AM557+AM558+AM559)</f>
        <v>9694970</v>
      </c>
      <c r="AN560" s="1422"/>
      <c r="AO560" s="1422"/>
      <c r="AP560" s="1422"/>
      <c r="AQ560" s="1422"/>
      <c r="AR560" s="1422"/>
      <c r="AS560" s="1423"/>
      <c r="AT560" s="930" t="str">
        <f t="shared" si="0"/>
        <v/>
      </c>
      <c r="AU560" s="929"/>
      <c r="BB560" s="2"/>
      <c r="BC560" s="2"/>
      <c r="BD560" s="2"/>
      <c r="BE560" s="2"/>
      <c r="BF560" s="2"/>
      <c r="BG560" s="2"/>
      <c r="BH560" s="2"/>
      <c r="BI560" s="2"/>
    </row>
    <row r="561" spans="1:61" ht="13.2" customHeight="1">
      <c r="B561" s="35" t="s">
        <v>1402</v>
      </c>
      <c r="C561" s="1395"/>
      <c r="D561" s="1395"/>
      <c r="E561" s="1395"/>
      <c r="F561" s="1395"/>
      <c r="G561" s="1395"/>
      <c r="H561" s="1395"/>
      <c r="I561" s="1395"/>
      <c r="J561" s="1395"/>
      <c r="K561" s="1395"/>
      <c r="L561" s="1395"/>
      <c r="M561" s="1394" t="s">
        <v>1028</v>
      </c>
      <c r="N561" s="1394"/>
      <c r="O561" s="1394"/>
      <c r="P561" s="1394"/>
      <c r="Q561" s="1379"/>
      <c r="R561" s="1380"/>
      <c r="S561" s="1381"/>
      <c r="T561" s="1379"/>
      <c r="U561" s="1380"/>
      <c r="V561" s="1381"/>
      <c r="W561" s="1376"/>
      <c r="X561" s="1377"/>
      <c r="Y561" s="1378"/>
      <c r="Z561" s="1385" t="s">
        <v>1028</v>
      </c>
      <c r="AA561" s="1385"/>
      <c r="AB561" s="1385"/>
      <c r="AC561" s="1385"/>
      <c r="AD561" s="1385"/>
      <c r="AE561" s="1367"/>
      <c r="AF561" s="1368"/>
      <c r="AG561" s="1368"/>
      <c r="AH561" s="1369"/>
      <c r="AI561" s="1391"/>
      <c r="AJ561" s="1392"/>
      <c r="AK561" s="1392"/>
      <c r="AL561" s="1393"/>
      <c r="AM561" s="1421"/>
      <c r="AN561" s="1422"/>
      <c r="AO561" s="1422"/>
      <c r="AP561" s="1422"/>
      <c r="AQ561" s="1422"/>
      <c r="AR561" s="1422"/>
      <c r="AS561" s="1423"/>
      <c r="AT561" s="930" t="str">
        <f t="shared" si="0"/>
        <v/>
      </c>
      <c r="AU561" s="929"/>
      <c r="BB561" s="2"/>
      <c r="BC561" s="2"/>
      <c r="BD561" s="2"/>
      <c r="BE561" s="2"/>
      <c r="BF561" s="2"/>
      <c r="BG561" s="2"/>
      <c r="BH561" s="2"/>
      <c r="BI561" s="2"/>
    </row>
    <row r="562" spans="1:61" ht="13.2" customHeight="1">
      <c r="B562" s="35" t="s">
        <v>1403</v>
      </c>
      <c r="C562" s="1395"/>
      <c r="D562" s="1395"/>
      <c r="E562" s="1395"/>
      <c r="F562" s="1395"/>
      <c r="G562" s="1395"/>
      <c r="H562" s="1395"/>
      <c r="I562" s="1395"/>
      <c r="J562" s="1395"/>
      <c r="K562" s="1395"/>
      <c r="L562" s="1395"/>
      <c r="M562" s="1394" t="s">
        <v>1028</v>
      </c>
      <c r="N562" s="1394"/>
      <c r="O562" s="1394"/>
      <c r="P562" s="1394"/>
      <c r="Q562" s="1379"/>
      <c r="R562" s="1380"/>
      <c r="S562" s="1381"/>
      <c r="T562" s="1379"/>
      <c r="U562" s="1380"/>
      <c r="V562" s="1381"/>
      <c r="W562" s="1376"/>
      <c r="X562" s="1377"/>
      <c r="Y562" s="1378"/>
      <c r="Z562" s="1385" t="s">
        <v>1028</v>
      </c>
      <c r="AA562" s="1385"/>
      <c r="AB562" s="1385"/>
      <c r="AC562" s="1385"/>
      <c r="AD562" s="1385"/>
      <c r="AE562" s="1367"/>
      <c r="AF562" s="1368"/>
      <c r="AG562" s="1368"/>
      <c r="AH562" s="1369"/>
      <c r="AI562" s="1391"/>
      <c r="AJ562" s="1392"/>
      <c r="AK562" s="1392"/>
      <c r="AL562" s="1393"/>
      <c r="AM562" s="1421"/>
      <c r="AN562" s="1422"/>
      <c r="AO562" s="1422"/>
      <c r="AP562" s="1422"/>
      <c r="AQ562" s="1422"/>
      <c r="AR562" s="1422"/>
      <c r="AS562" s="1423"/>
      <c r="AT562" s="930" t="str">
        <f t="shared" si="0"/>
        <v/>
      </c>
      <c r="AU562" s="929"/>
      <c r="BB562" s="2"/>
      <c r="BC562" s="2"/>
      <c r="BD562" s="2"/>
      <c r="BE562" s="2"/>
      <c r="BF562" s="2"/>
      <c r="BG562" s="2"/>
      <c r="BH562" s="2"/>
      <c r="BI562" s="2"/>
    </row>
    <row r="563" spans="1:61" ht="13.2" customHeight="1">
      <c r="B563" s="35" t="s">
        <v>1404</v>
      </c>
      <c r="C563" s="1395"/>
      <c r="D563" s="1395"/>
      <c r="E563" s="1395"/>
      <c r="F563" s="1395"/>
      <c r="G563" s="1395"/>
      <c r="H563" s="1395"/>
      <c r="I563" s="1395"/>
      <c r="J563" s="1395"/>
      <c r="K563" s="1395"/>
      <c r="L563" s="1395"/>
      <c r="M563" s="1394" t="s">
        <v>1028</v>
      </c>
      <c r="N563" s="1394"/>
      <c r="O563" s="1394"/>
      <c r="P563" s="1394"/>
      <c r="Q563" s="1379"/>
      <c r="R563" s="1380"/>
      <c r="S563" s="1381"/>
      <c r="T563" s="1379"/>
      <c r="U563" s="1380"/>
      <c r="V563" s="1381"/>
      <c r="W563" s="1376"/>
      <c r="X563" s="1377"/>
      <c r="Y563" s="1378"/>
      <c r="Z563" s="1385" t="s">
        <v>1028</v>
      </c>
      <c r="AA563" s="1385"/>
      <c r="AB563" s="1385"/>
      <c r="AC563" s="1385"/>
      <c r="AD563" s="1385"/>
      <c r="AE563" s="1367"/>
      <c r="AF563" s="1368"/>
      <c r="AG563" s="1368"/>
      <c r="AH563" s="1369"/>
      <c r="AI563" s="1391"/>
      <c r="AJ563" s="1392"/>
      <c r="AK563" s="1392"/>
      <c r="AL563" s="1393"/>
      <c r="AM563" s="1421"/>
      <c r="AN563" s="1422"/>
      <c r="AO563" s="1422"/>
      <c r="AP563" s="1422"/>
      <c r="AQ563" s="1422"/>
      <c r="AR563" s="1422"/>
      <c r="AS563" s="1423"/>
      <c r="AT563" s="930" t="str">
        <f t="shared" si="0"/>
        <v/>
      </c>
      <c r="BB563" s="2"/>
      <c r="BC563" s="2"/>
      <c r="BD563" s="2"/>
      <c r="BE563" s="2"/>
      <c r="BF563" s="2"/>
      <c r="BG563" s="2"/>
      <c r="BH563" s="2"/>
      <c r="BI563" s="2"/>
    </row>
    <row r="564" spans="1:61" ht="13.2" customHeight="1">
      <c r="B564" s="35" t="s">
        <v>1405</v>
      </c>
      <c r="C564" s="1395"/>
      <c r="D564" s="1395"/>
      <c r="E564" s="1395"/>
      <c r="F564" s="1395"/>
      <c r="G564" s="1395"/>
      <c r="H564" s="1395"/>
      <c r="I564" s="1395"/>
      <c r="J564" s="1395"/>
      <c r="K564" s="1395"/>
      <c r="L564" s="1395"/>
      <c r="M564" s="1394" t="s">
        <v>1028</v>
      </c>
      <c r="N564" s="1394"/>
      <c r="O564" s="1394"/>
      <c r="P564" s="1394"/>
      <c r="Q564" s="1379"/>
      <c r="R564" s="1380"/>
      <c r="S564" s="1381"/>
      <c r="T564" s="1379"/>
      <c r="U564" s="1380"/>
      <c r="V564" s="1381"/>
      <c r="W564" s="1376"/>
      <c r="X564" s="1377"/>
      <c r="Y564" s="1378"/>
      <c r="Z564" s="1385" t="s">
        <v>1028</v>
      </c>
      <c r="AA564" s="1385"/>
      <c r="AB564" s="1385"/>
      <c r="AC564" s="1385"/>
      <c r="AD564" s="1385"/>
      <c r="AE564" s="1367"/>
      <c r="AF564" s="1368"/>
      <c r="AG564" s="1368"/>
      <c r="AH564" s="1369"/>
      <c r="AI564" s="1391"/>
      <c r="AJ564" s="1392"/>
      <c r="AK564" s="1392"/>
      <c r="AL564" s="1393"/>
      <c r="AM564" s="1421"/>
      <c r="AN564" s="1422"/>
      <c r="AO564" s="1422"/>
      <c r="AP564" s="1422"/>
      <c r="AQ564" s="1422"/>
      <c r="AR564" s="1422"/>
      <c r="AS564" s="1423"/>
      <c r="AT564" s="930" t="str">
        <f t="shared" si="0"/>
        <v/>
      </c>
      <c r="BB564" s="2"/>
      <c r="BC564" s="2"/>
      <c r="BD564" s="2"/>
      <c r="BE564" s="2"/>
      <c r="BF564" s="2"/>
      <c r="BG564" s="2"/>
      <c r="BH564" s="2"/>
      <c r="BI564" s="2"/>
    </row>
    <row r="565" spans="1:61" ht="13.2" customHeight="1">
      <c r="B565" s="35" t="s">
        <v>1406</v>
      </c>
      <c r="C565" s="1395"/>
      <c r="D565" s="1395"/>
      <c r="E565" s="1395"/>
      <c r="F565" s="1395"/>
      <c r="G565" s="1395"/>
      <c r="H565" s="1395"/>
      <c r="I565" s="1395"/>
      <c r="J565" s="1395"/>
      <c r="K565" s="1395"/>
      <c r="L565" s="1395"/>
      <c r="M565" s="1394" t="s">
        <v>1028</v>
      </c>
      <c r="N565" s="1394"/>
      <c r="O565" s="1394"/>
      <c r="P565" s="1394"/>
      <c r="Q565" s="1379"/>
      <c r="R565" s="1380"/>
      <c r="S565" s="1381"/>
      <c r="T565" s="1379"/>
      <c r="U565" s="1380"/>
      <c r="V565" s="1381"/>
      <c r="W565" s="1376"/>
      <c r="X565" s="1377"/>
      <c r="Y565" s="1378"/>
      <c r="Z565" s="1385" t="s">
        <v>1028</v>
      </c>
      <c r="AA565" s="1385"/>
      <c r="AB565" s="1385"/>
      <c r="AC565" s="1385"/>
      <c r="AD565" s="1385"/>
      <c r="AE565" s="1367"/>
      <c r="AF565" s="1368"/>
      <c r="AG565" s="1368"/>
      <c r="AH565" s="1369"/>
      <c r="AI565" s="1391"/>
      <c r="AJ565" s="1392"/>
      <c r="AK565" s="1392"/>
      <c r="AL565" s="1393"/>
      <c r="AM565" s="1421"/>
      <c r="AN565" s="1422"/>
      <c r="AO565" s="1422"/>
      <c r="AP565" s="1422"/>
      <c r="AQ565" s="1422"/>
      <c r="AR565" s="1422"/>
      <c r="AS565" s="1423"/>
      <c r="AT565" s="930" t="str">
        <f t="shared" si="0"/>
        <v/>
      </c>
      <c r="BB565" s="2"/>
      <c r="BC565" s="2"/>
      <c r="BD565" s="2"/>
      <c r="BE565" s="2"/>
      <c r="BF565" s="2"/>
      <c r="BG565" s="2"/>
      <c r="BH565" s="2"/>
      <c r="BI565" s="2"/>
    </row>
    <row r="566" spans="1:61" ht="13.2" customHeight="1">
      <c r="B566" s="1363" t="s">
        <v>1407</v>
      </c>
      <c r="C566" s="1364"/>
      <c r="D566" s="1364"/>
      <c r="E566" s="1364"/>
      <c r="F566" s="1364"/>
      <c r="G566" s="1364"/>
      <c r="H566" s="1364"/>
      <c r="I566" s="1364"/>
      <c r="J566" s="1364"/>
      <c r="K566" s="1364"/>
      <c r="L566" s="1364"/>
      <c r="M566" s="1364"/>
      <c r="N566" s="1364"/>
      <c r="O566" s="1364"/>
      <c r="P566" s="1364"/>
      <c r="Q566" s="1364"/>
      <c r="R566" s="1364"/>
      <c r="S566" s="1364"/>
      <c r="T566" s="1364"/>
      <c r="U566" s="1365"/>
      <c r="V566" s="1364"/>
      <c r="W566" s="1364"/>
      <c r="X566" s="1364"/>
      <c r="Y566" s="1364"/>
      <c r="Z566" s="1364"/>
      <c r="AA566" s="1364"/>
      <c r="AB566" s="1364"/>
      <c r="AC566" s="1364"/>
      <c r="AD566" s="1364"/>
      <c r="AE566" s="1364"/>
      <c r="AF566" s="1364"/>
      <c r="AG566" s="1364"/>
      <c r="AH566" s="1364"/>
      <c r="AI566" s="1364"/>
      <c r="AJ566" s="1364"/>
      <c r="AK566" s="1364"/>
      <c r="AL566" s="1366"/>
      <c r="AM566" s="1428">
        <f>SUM(AM554:AS565)</f>
        <v>77153162</v>
      </c>
      <c r="AN566" s="1429"/>
      <c r="AO566" s="1429"/>
      <c r="AP566" s="1429"/>
      <c r="AQ566" s="1429"/>
      <c r="AR566" s="1429"/>
      <c r="AS566" s="1430"/>
      <c r="BB566" s="2"/>
      <c r="BC566" s="2"/>
      <c r="BD566" s="2"/>
      <c r="BE566" s="2"/>
      <c r="BF566" s="2"/>
      <c r="BG566" s="2"/>
      <c r="BH566" s="2" t="s">
        <v>1400</v>
      </c>
      <c r="BI566" s="2" t="str">
        <f>N673</f>
        <v>No</v>
      </c>
    </row>
    <row r="567" spans="1:61" ht="13.2"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1402</v>
      </c>
      <c r="BI567" s="2" t="str">
        <f>AG673</f>
        <v>No</v>
      </c>
    </row>
    <row r="568" spans="1:61" ht="13.2" customHeight="1">
      <c r="A568" s="36" t="s">
        <v>18</v>
      </c>
      <c r="B568" t="s">
        <v>1408</v>
      </c>
      <c r="G568" s="1439" t="str">
        <f>C554</f>
        <v>CitiBank Construction Loan (Tax- Exempt)</v>
      </c>
      <c r="H568" s="1439"/>
      <c r="I568" s="1439"/>
      <c r="J568" s="1439"/>
      <c r="K568" s="1439"/>
      <c r="L568" s="1439"/>
      <c r="M568" s="1439"/>
      <c r="N568" s="1439"/>
      <c r="O568" s="1439"/>
      <c r="P568" s="1439"/>
      <c r="Q568" s="1439"/>
      <c r="R568" s="1439"/>
      <c r="S568" s="6"/>
      <c r="T568" s="36" t="s">
        <v>31</v>
      </c>
      <c r="U568" t="s">
        <v>1408</v>
      </c>
      <c r="Z568" s="1439" t="str">
        <f>C555</f>
        <v>CitiBank Construction Loan (Taxable)</v>
      </c>
      <c r="AA568" s="1439"/>
      <c r="AB568" s="1439"/>
      <c r="AC568" s="1439"/>
      <c r="AD568" s="1439"/>
      <c r="AE568" s="1439"/>
      <c r="AF568" s="1439"/>
      <c r="AG568" s="1439"/>
      <c r="AH568" s="1439"/>
      <c r="AI568" s="1439"/>
      <c r="AJ568" s="1439"/>
      <c r="AK568" s="1439"/>
      <c r="BB568" s="2"/>
      <c r="BC568" s="2"/>
      <c r="BD568" s="2"/>
      <c r="BE568" s="2"/>
      <c r="BF568" s="2"/>
      <c r="BG568" s="2"/>
      <c r="BH568" s="2"/>
      <c r="BI568" s="2"/>
    </row>
    <row r="569" spans="1:61" ht="13.2" customHeight="1">
      <c r="A569" s="17"/>
      <c r="B569" t="s">
        <v>1063</v>
      </c>
      <c r="G569" s="1329" t="s">
        <v>1409</v>
      </c>
      <c r="H569" s="1329"/>
      <c r="I569" s="1329"/>
      <c r="J569" s="1329"/>
      <c r="K569" s="1329"/>
      <c r="L569" s="1329"/>
      <c r="M569" s="1329"/>
      <c r="N569" s="1329"/>
      <c r="O569" s="1329"/>
      <c r="P569" s="1329"/>
      <c r="Q569" s="1329"/>
      <c r="R569" s="1329"/>
      <c r="S569" s="6"/>
      <c r="T569" s="17"/>
      <c r="U569" t="s">
        <v>1063</v>
      </c>
      <c r="Z569" s="1362" t="s">
        <v>1409</v>
      </c>
      <c r="AA569" s="1362"/>
      <c r="AB569" s="1362"/>
      <c r="AC569" s="1362"/>
      <c r="AD569" s="1362"/>
      <c r="AE569" s="1362"/>
      <c r="AF569" s="1362"/>
      <c r="AG569" s="1362"/>
      <c r="AH569" s="1362"/>
      <c r="AI569" s="1362"/>
      <c r="AJ569" s="1362"/>
      <c r="AK569" s="1362"/>
      <c r="BB569" s="2"/>
      <c r="BC569" s="2"/>
      <c r="BD569" s="2"/>
      <c r="BE569" s="2"/>
      <c r="BF569" s="2"/>
      <c r="BG569" s="2"/>
      <c r="BH569" s="2"/>
      <c r="BI569" s="2"/>
    </row>
    <row r="570" spans="1:61" ht="13.2" customHeight="1">
      <c r="A570" s="17"/>
      <c r="B570" t="s">
        <v>931</v>
      </c>
      <c r="G570" s="1329" t="s">
        <v>1410</v>
      </c>
      <c r="H570" s="1329"/>
      <c r="I570" s="1329"/>
      <c r="J570" s="1329"/>
      <c r="K570" s="1329"/>
      <c r="L570" s="1329"/>
      <c r="M570" s="1329"/>
      <c r="N570" s="1329"/>
      <c r="O570" s="1329"/>
      <c r="P570" s="1329"/>
      <c r="Q570" s="1329"/>
      <c r="R570" s="1329"/>
      <c r="T570" s="17"/>
      <c r="U570" t="s">
        <v>931</v>
      </c>
      <c r="Z570" s="1329" t="s">
        <v>1410</v>
      </c>
      <c r="AA570" s="1329"/>
      <c r="AB570" s="1329"/>
      <c r="AC570" s="1329"/>
      <c r="AD570" s="1329"/>
      <c r="AE570" s="1329"/>
      <c r="AF570" s="1329"/>
      <c r="AG570" s="1329"/>
      <c r="AH570" s="1329"/>
      <c r="AI570" s="1329"/>
      <c r="AJ570" s="1329"/>
      <c r="AK570" s="1329"/>
      <c r="BB570" s="2"/>
      <c r="BC570" s="2"/>
      <c r="BD570" s="2"/>
      <c r="BE570" s="2"/>
      <c r="BF570" s="2"/>
      <c r="BG570" s="2"/>
      <c r="BH570" s="2"/>
      <c r="BI570" s="2"/>
    </row>
    <row r="571" spans="1:61" ht="13.2" customHeight="1">
      <c r="A571" s="17"/>
      <c r="B571" t="s">
        <v>1411</v>
      </c>
      <c r="G571" s="1329" t="s">
        <v>1412</v>
      </c>
      <c r="H571" s="1329"/>
      <c r="I571" s="1329"/>
      <c r="J571" s="1329"/>
      <c r="K571" s="1329"/>
      <c r="L571" s="1329"/>
      <c r="M571" s="1329"/>
      <c r="N571" s="1329"/>
      <c r="O571" s="1329"/>
      <c r="P571" s="1329"/>
      <c r="Q571" s="1329"/>
      <c r="R571" s="1329"/>
      <c r="S571" s="6"/>
      <c r="T571" s="17"/>
      <c r="U571" t="s">
        <v>1411</v>
      </c>
      <c r="Z571" s="1329" t="s">
        <v>1412</v>
      </c>
      <c r="AA571" s="1329"/>
      <c r="AB571" s="1329"/>
      <c r="AC571" s="1329"/>
      <c r="AD571" s="1329"/>
      <c r="AE571" s="1329"/>
      <c r="AF571" s="1329"/>
      <c r="AG571" s="1329"/>
      <c r="AH571" s="1329"/>
      <c r="AI571" s="1329"/>
      <c r="AJ571" s="1329"/>
      <c r="AK571" s="1329"/>
      <c r="BB571" s="2"/>
      <c r="BC571" s="2"/>
      <c r="BD571" s="2"/>
      <c r="BE571" s="2"/>
      <c r="BF571" s="2"/>
      <c r="BG571" s="2"/>
      <c r="BH571" s="2"/>
      <c r="BI571" s="2"/>
    </row>
    <row r="572" spans="1:61" ht="13.2" customHeight="1">
      <c r="A572" s="17"/>
      <c r="B572" t="s">
        <v>824</v>
      </c>
      <c r="G572" s="1165" t="s">
        <v>1413</v>
      </c>
      <c r="H572" s="1165"/>
      <c r="I572" s="1165"/>
      <c r="J572" s="1165"/>
      <c r="K572" s="1165"/>
      <c r="L572" s="1165"/>
      <c r="O572" s="819" t="s">
        <v>1070</v>
      </c>
      <c r="P572" s="1427"/>
      <c r="Q572" s="1427"/>
      <c r="R572" s="1427"/>
      <c r="S572" s="8"/>
      <c r="T572" s="17"/>
      <c r="U572" t="s">
        <v>824</v>
      </c>
      <c r="Z572" s="1443" t="str">
        <f>G572</f>
        <v>(212) 239-1914</v>
      </c>
      <c r="AA572" s="1443"/>
      <c r="AB572" s="1443"/>
      <c r="AC572" s="1443"/>
      <c r="AD572" s="1443"/>
      <c r="AE572" s="1443"/>
      <c r="AH572" s="819" t="s">
        <v>1070</v>
      </c>
      <c r="AI572" s="1427"/>
      <c r="AJ572" s="1427"/>
      <c r="AK572" s="1427"/>
      <c r="BB572" s="2"/>
      <c r="BC572" s="2"/>
      <c r="BD572" s="2"/>
      <c r="BE572" s="2"/>
      <c r="BF572" s="2"/>
      <c r="BG572" s="2"/>
      <c r="BH572" s="2"/>
      <c r="BI572" s="2"/>
    </row>
    <row r="573" spans="1:61" ht="13.2" customHeight="1">
      <c r="A573" s="17"/>
      <c r="B573" t="s">
        <v>1414</v>
      </c>
      <c r="H573" s="1362" t="s">
        <v>1415</v>
      </c>
      <c r="I573" s="1362"/>
      <c r="J573" s="1362"/>
      <c r="K573" s="1362"/>
      <c r="L573" s="1362"/>
      <c r="M573" s="1362"/>
      <c r="N573" s="1362"/>
      <c r="O573" s="1362"/>
      <c r="P573" s="1362"/>
      <c r="Q573" s="1362"/>
      <c r="R573" s="1362"/>
      <c r="S573" s="6"/>
      <c r="T573" s="17"/>
      <c r="U573" t="s">
        <v>1414</v>
      </c>
      <c r="AA573" s="1362" t="str">
        <f>H573</f>
        <v>Tax Exempt Bond/private</v>
      </c>
      <c r="AB573" s="1362"/>
      <c r="AC573" s="1362"/>
      <c r="AD573" s="1362"/>
      <c r="AE573" s="1362"/>
      <c r="AF573" s="1362"/>
      <c r="AG573" s="1362"/>
      <c r="AH573" s="1362"/>
      <c r="AI573" s="1362"/>
      <c r="AJ573" s="1362"/>
      <c r="AK573" s="1362"/>
      <c r="BB573" s="2"/>
      <c r="BC573" s="2"/>
      <c r="BD573" s="2"/>
      <c r="BE573" s="2"/>
      <c r="BF573" s="2"/>
      <c r="BG573" s="2"/>
      <c r="BH573" s="2"/>
      <c r="BI573" s="2"/>
    </row>
    <row r="574" spans="1:61" ht="13.2" customHeight="1">
      <c r="A574" s="17"/>
      <c r="B574" s="199" t="s">
        <v>1416</v>
      </c>
      <c r="H574" s="6"/>
      <c r="I574" s="6"/>
      <c r="J574" s="6"/>
      <c r="K574" s="6"/>
      <c r="L574" s="6"/>
      <c r="M574" s="1534"/>
      <c r="N574" s="1534"/>
      <c r="O574" s="1534"/>
      <c r="P574" s="1534"/>
      <c r="Q574" s="1534"/>
      <c r="R574" s="1534"/>
      <c r="S574" s="6"/>
      <c r="T574" s="17"/>
      <c r="U574" s="199" t="s">
        <v>1416</v>
      </c>
      <c r="AA574" s="6"/>
      <c r="AB574" s="6"/>
      <c r="AC574" s="6"/>
      <c r="AD574" s="6"/>
      <c r="AE574" s="6"/>
      <c r="AF574" s="1534"/>
      <c r="AG574" s="1534"/>
      <c r="AH574" s="1534"/>
      <c r="AI574" s="1534"/>
      <c r="AJ574" s="1534"/>
      <c r="AK574" s="1534"/>
      <c r="BB574" s="2"/>
      <c r="BC574" s="2"/>
      <c r="BD574" s="2"/>
      <c r="BE574" s="2"/>
      <c r="BF574" s="2"/>
      <c r="BG574" s="2"/>
      <c r="BH574" s="2"/>
      <c r="BI574" s="2"/>
    </row>
    <row r="575" spans="1:61" ht="13.2" customHeight="1">
      <c r="A575" s="17"/>
      <c r="B575" t="s">
        <v>1417</v>
      </c>
      <c r="N575" s="1370" t="s">
        <v>694</v>
      </c>
      <c r="O575" s="1370"/>
      <c r="T575" s="17"/>
      <c r="U575" t="s">
        <v>1417</v>
      </c>
      <c r="AG575" s="1370" t="s">
        <v>694</v>
      </c>
      <c r="AH575" s="1370"/>
      <c r="BB575" s="2"/>
      <c r="BC575" s="2"/>
      <c r="BD575" s="2"/>
      <c r="BE575" s="2"/>
      <c r="BF575" s="2"/>
      <c r="BG575" s="2"/>
      <c r="BH575" s="2"/>
      <c r="BI575" s="2"/>
    </row>
    <row r="576" spans="1:61" ht="13.2" customHeight="1">
      <c r="A576" s="17"/>
      <c r="T576" s="17"/>
      <c r="BB576" s="2"/>
      <c r="BC576" s="2"/>
      <c r="BD576" s="2"/>
      <c r="BE576" s="2"/>
      <c r="BF576" s="2"/>
      <c r="BG576" s="2"/>
      <c r="BH576" s="2"/>
      <c r="BI576" s="2"/>
    </row>
    <row r="577" spans="1:55" ht="13.2" customHeight="1">
      <c r="A577" s="36" t="s">
        <v>39</v>
      </c>
      <c r="B577" t="s">
        <v>1408</v>
      </c>
      <c r="G577" s="1439" t="str">
        <f>C556</f>
        <v>Recycled Bond Amount</v>
      </c>
      <c r="H577" s="1439"/>
      <c r="I577" s="1439"/>
      <c r="J577" s="1439"/>
      <c r="K577" s="1439"/>
      <c r="L577" s="1439"/>
      <c r="M577" s="1439"/>
      <c r="N577" s="1439"/>
      <c r="O577" s="1439"/>
      <c r="P577" s="1439"/>
      <c r="Q577" s="1439"/>
      <c r="R577" s="1439"/>
      <c r="T577" s="36" t="s">
        <v>82</v>
      </c>
      <c r="U577" t="s">
        <v>1408</v>
      </c>
      <c r="Z577" s="1439" t="str">
        <f>C557</f>
        <v>Federal LIHTC Equity</v>
      </c>
      <c r="AA577" s="1439"/>
      <c r="AB577" s="1439"/>
      <c r="AC577" s="1439"/>
      <c r="AD577" s="1439"/>
      <c r="AE577" s="1439"/>
      <c r="AF577" s="1439"/>
      <c r="AG577" s="1439"/>
      <c r="AH577" s="1439"/>
      <c r="AI577" s="1439"/>
      <c r="AJ577" s="1439"/>
      <c r="AK577" s="1439"/>
      <c r="BB577" s="2"/>
      <c r="BC577" s="2"/>
    </row>
    <row r="578" spans="1:55" ht="13.2" customHeight="1">
      <c r="A578" s="17"/>
      <c r="B578" t="s">
        <v>1063</v>
      </c>
      <c r="G578" s="1362" t="s">
        <v>1409</v>
      </c>
      <c r="H578" s="1362"/>
      <c r="I578" s="1362"/>
      <c r="J578" s="1362"/>
      <c r="K578" s="1362"/>
      <c r="L578" s="1362"/>
      <c r="M578" s="1362"/>
      <c r="N578" s="1362"/>
      <c r="O578" s="1362"/>
      <c r="P578" s="1362"/>
      <c r="Q578" s="1362"/>
      <c r="R578" s="1362"/>
      <c r="T578" s="17"/>
      <c r="U578" t="s">
        <v>1063</v>
      </c>
      <c r="Z578" s="1329" t="s">
        <v>1155</v>
      </c>
      <c r="AA578" s="1329"/>
      <c r="AB578" s="1329"/>
      <c r="AC578" s="1329"/>
      <c r="AD578" s="1329"/>
      <c r="AE578" s="1329"/>
      <c r="AF578" s="1329"/>
      <c r="AG578" s="1329"/>
      <c r="AH578" s="1329"/>
      <c r="AI578" s="1329"/>
      <c r="AJ578" s="1329"/>
      <c r="AK578" s="1329"/>
      <c r="BB578" s="2"/>
      <c r="BC578" s="2"/>
    </row>
    <row r="579" spans="1:55" ht="13.2" customHeight="1">
      <c r="A579" s="17"/>
      <c r="B579" t="s">
        <v>931</v>
      </c>
      <c r="G579" s="1329" t="s">
        <v>1410</v>
      </c>
      <c r="H579" s="1329"/>
      <c r="I579" s="1329"/>
      <c r="J579" s="1329"/>
      <c r="K579" s="1329"/>
      <c r="L579" s="1329"/>
      <c r="M579" s="1329"/>
      <c r="N579" s="1329"/>
      <c r="O579" s="1329"/>
      <c r="P579" s="1329"/>
      <c r="Q579" s="1329"/>
      <c r="R579" s="1329"/>
      <c r="T579" s="17"/>
      <c r="U579" t="s">
        <v>931</v>
      </c>
      <c r="Z579" s="1329" t="s">
        <v>1157</v>
      </c>
      <c r="AA579" s="1329"/>
      <c r="AB579" s="1329"/>
      <c r="AC579" s="1329"/>
      <c r="AD579" s="1329"/>
      <c r="AE579" s="1329"/>
      <c r="AF579" s="1329"/>
      <c r="AG579" s="1329"/>
      <c r="AH579" s="1329"/>
      <c r="AI579" s="1329"/>
      <c r="AJ579" s="1329"/>
      <c r="AK579" s="1329"/>
      <c r="BB579" s="2"/>
      <c r="BC579" s="2"/>
    </row>
    <row r="580" spans="1:55" ht="13.2" customHeight="1">
      <c r="A580" s="17"/>
      <c r="B580" t="s">
        <v>1411</v>
      </c>
      <c r="G580" s="1329" t="s">
        <v>1412</v>
      </c>
      <c r="H580" s="1329"/>
      <c r="I580" s="1329"/>
      <c r="J580" s="1329"/>
      <c r="K580" s="1329"/>
      <c r="L580" s="1329"/>
      <c r="M580" s="1329"/>
      <c r="N580" s="1329"/>
      <c r="O580" s="1329"/>
      <c r="P580" s="1329"/>
      <c r="Q580" s="1329"/>
      <c r="R580" s="1329"/>
      <c r="T580" s="17"/>
      <c r="U580" t="s">
        <v>1411</v>
      </c>
      <c r="Z580" s="1329" t="s">
        <v>1159</v>
      </c>
      <c r="AA580" s="1329"/>
      <c r="AB580" s="1329"/>
      <c r="AC580" s="1329"/>
      <c r="AD580" s="1329"/>
      <c r="AE580" s="1329"/>
      <c r="AF580" s="1329"/>
      <c r="AG580" s="1329"/>
      <c r="AH580" s="1329"/>
      <c r="AI580" s="1329"/>
      <c r="AJ580" s="1329"/>
      <c r="AK580" s="1329"/>
      <c r="BB580" s="2"/>
      <c r="BC580" s="2"/>
    </row>
    <row r="581" spans="1:55" ht="13.2" customHeight="1">
      <c r="A581" s="17"/>
      <c r="B581" t="s">
        <v>824</v>
      </c>
      <c r="G581" s="1443" t="str">
        <f>G572</f>
        <v>(212) 239-1914</v>
      </c>
      <c r="H581" s="1443"/>
      <c r="I581" s="1443"/>
      <c r="J581" s="1443"/>
      <c r="K581" s="1443"/>
      <c r="L581" s="1443"/>
      <c r="O581" s="819" t="s">
        <v>1070</v>
      </c>
      <c r="P581" s="1427"/>
      <c r="Q581" s="1427"/>
      <c r="R581" s="1427"/>
      <c r="T581" s="17"/>
      <c r="U581" t="s">
        <v>824</v>
      </c>
      <c r="Z581" s="1443" t="s">
        <v>1161</v>
      </c>
      <c r="AA581" s="1443"/>
      <c r="AB581" s="1443"/>
      <c r="AC581" s="1443"/>
      <c r="AD581" s="1443"/>
      <c r="AE581" s="1443"/>
      <c r="AH581" s="819" t="s">
        <v>1070</v>
      </c>
      <c r="AI581" s="1427"/>
      <c r="AJ581" s="1427"/>
      <c r="AK581" s="1427"/>
      <c r="BB581" s="2"/>
      <c r="BC581" s="2"/>
    </row>
    <row r="582" spans="1:55" ht="13.2" customHeight="1">
      <c r="A582" s="17"/>
      <c r="B582" t="s">
        <v>1414</v>
      </c>
      <c r="H582" s="1362" t="s">
        <v>1415</v>
      </c>
      <c r="I582" s="1362"/>
      <c r="J582" s="1362"/>
      <c r="K582" s="1362"/>
      <c r="L582" s="1362"/>
      <c r="M582" s="1362"/>
      <c r="N582" s="1362"/>
      <c r="O582" s="1362"/>
      <c r="P582" s="1362"/>
      <c r="Q582" s="1362"/>
      <c r="R582" s="1362"/>
      <c r="T582" s="17"/>
      <c r="U582" t="s">
        <v>1414</v>
      </c>
      <c r="AA582" s="1362" t="s">
        <v>1354</v>
      </c>
      <c r="AB582" s="1362"/>
      <c r="AC582" s="1362"/>
      <c r="AD582" s="1362"/>
      <c r="AE582" s="1362"/>
      <c r="AF582" s="1362"/>
      <c r="AG582" s="1362"/>
      <c r="AH582" s="1362"/>
      <c r="AI582" s="1362"/>
      <c r="AJ582" s="1362"/>
      <c r="AK582" s="1362"/>
      <c r="BB582" s="2"/>
      <c r="BC582" s="2"/>
    </row>
    <row r="583" spans="1:55" ht="13.2" customHeight="1">
      <c r="A583" s="17"/>
      <c r="B583" t="s">
        <v>1417</v>
      </c>
      <c r="N583" s="1370" t="s">
        <v>694</v>
      </c>
      <c r="O583" s="1370"/>
      <c r="T583" s="17"/>
      <c r="U583" t="s">
        <v>1417</v>
      </c>
      <c r="AG583" s="1370" t="s">
        <v>694</v>
      </c>
      <c r="AH583" s="1370"/>
      <c r="BB583" s="2"/>
      <c r="BC583" s="2"/>
    </row>
    <row r="584" spans="1:55" ht="13.2" customHeight="1">
      <c r="A584" s="17"/>
      <c r="T584" s="17"/>
      <c r="BB584" s="2"/>
      <c r="BC584" s="2"/>
    </row>
    <row r="585" spans="1:55" ht="13.2" customHeight="1">
      <c r="A585" s="36" t="s">
        <v>86</v>
      </c>
      <c r="B585" t="s">
        <v>1408</v>
      </c>
      <c r="G585" s="1439" t="str">
        <f>C558</f>
        <v>State LIHTC Equity</v>
      </c>
      <c r="H585" s="1439"/>
      <c r="I585" s="1439"/>
      <c r="J585" s="1439"/>
      <c r="K585" s="1439"/>
      <c r="L585" s="1439"/>
      <c r="M585" s="1439"/>
      <c r="N585" s="1439"/>
      <c r="O585" s="1439"/>
      <c r="P585" s="1439"/>
      <c r="Q585" s="1439"/>
      <c r="R585" s="1439"/>
      <c r="T585" s="36" t="s">
        <v>1399</v>
      </c>
      <c r="U585" t="s">
        <v>1408</v>
      </c>
      <c r="Z585" s="1439" t="str">
        <f>C559</f>
        <v>Safehold TI Allowance</v>
      </c>
      <c r="AA585" s="1439"/>
      <c r="AB585" s="1439"/>
      <c r="AC585" s="1439"/>
      <c r="AD585" s="1439"/>
      <c r="AE585" s="1439"/>
      <c r="AF585" s="1439"/>
      <c r="AG585" s="1439"/>
      <c r="AH585" s="1439"/>
      <c r="AI585" s="1439"/>
      <c r="AJ585" s="1439"/>
      <c r="AK585" s="1439"/>
      <c r="BB585" s="2"/>
      <c r="BC585" s="2"/>
    </row>
    <row r="586" spans="1:55" ht="13.2" customHeight="1">
      <c r="A586" s="17"/>
      <c r="B586" t="s">
        <v>1063</v>
      </c>
      <c r="G586" s="1362" t="s">
        <v>1155</v>
      </c>
      <c r="H586" s="1362"/>
      <c r="I586" s="1362"/>
      <c r="J586" s="1362"/>
      <c r="K586" s="1362"/>
      <c r="L586" s="1362"/>
      <c r="M586" s="1362"/>
      <c r="N586" s="1362"/>
      <c r="O586" s="1362"/>
      <c r="P586" s="1362"/>
      <c r="Q586" s="1362"/>
      <c r="R586" s="1362"/>
      <c r="T586" s="17"/>
      <c r="U586" t="s">
        <v>1063</v>
      </c>
      <c r="Z586" s="1362" t="s">
        <v>1418</v>
      </c>
      <c r="AA586" s="1362"/>
      <c r="AB586" s="1362"/>
      <c r="AC586" s="1362"/>
      <c r="AD586" s="1362"/>
      <c r="AE586" s="1362"/>
      <c r="AF586" s="1362"/>
      <c r="AG586" s="1362"/>
      <c r="AH586" s="1362"/>
      <c r="AI586" s="1362"/>
      <c r="AJ586" s="1362"/>
      <c r="AK586" s="1362"/>
      <c r="BB586" s="2"/>
      <c r="BC586" s="2"/>
    </row>
    <row r="587" spans="1:55" ht="13.2" customHeight="1">
      <c r="A587" s="17"/>
      <c r="B587" t="s">
        <v>931</v>
      </c>
      <c r="G587" s="1362" t="s">
        <v>1157</v>
      </c>
      <c r="H587" s="1362"/>
      <c r="I587" s="1362"/>
      <c r="J587" s="1362"/>
      <c r="K587" s="1362"/>
      <c r="L587" s="1362"/>
      <c r="M587" s="1362"/>
      <c r="N587" s="1362"/>
      <c r="O587" s="1362"/>
      <c r="P587" s="1362"/>
      <c r="Q587" s="1362"/>
      <c r="R587" s="1362"/>
      <c r="T587" s="17"/>
      <c r="U587" t="s">
        <v>931</v>
      </c>
      <c r="Z587" s="1329" t="s">
        <v>1419</v>
      </c>
      <c r="AA587" s="1329"/>
      <c r="AB587" s="1329"/>
      <c r="AC587" s="1329"/>
      <c r="AD587" s="1329"/>
      <c r="AE587" s="1329"/>
      <c r="AF587" s="1329"/>
      <c r="AG587" s="1329"/>
      <c r="AH587" s="1329"/>
      <c r="AI587" s="1329"/>
      <c r="AJ587" s="1329"/>
      <c r="AK587" s="1329"/>
      <c r="BB587" s="2"/>
      <c r="BC587" s="2"/>
    </row>
    <row r="588" spans="1:55" ht="13.2" customHeight="1">
      <c r="A588" s="17"/>
      <c r="B588" t="s">
        <v>1411</v>
      </c>
      <c r="G588" s="1362" t="s">
        <v>1159</v>
      </c>
      <c r="H588" s="1362"/>
      <c r="I588" s="1362"/>
      <c r="J588" s="1362"/>
      <c r="K588" s="1362"/>
      <c r="L588" s="1362"/>
      <c r="M588" s="1362"/>
      <c r="N588" s="1362"/>
      <c r="O588" s="1362"/>
      <c r="P588" s="1362"/>
      <c r="Q588" s="1362"/>
      <c r="R588" s="1362"/>
      <c r="T588" s="17"/>
      <c r="U588" t="s">
        <v>1411</v>
      </c>
      <c r="Z588" s="1329" t="s">
        <v>1420</v>
      </c>
      <c r="AA588" s="1329"/>
      <c r="AB588" s="1329"/>
      <c r="AC588" s="1329"/>
      <c r="AD588" s="1329"/>
      <c r="AE588" s="1329"/>
      <c r="AF588" s="1329"/>
      <c r="AG588" s="1329"/>
      <c r="AH588" s="1329"/>
      <c r="AI588" s="1329"/>
      <c r="AJ588" s="1329"/>
      <c r="AK588" s="1329"/>
    </row>
    <row r="589" spans="1:55" ht="13.2" customHeight="1">
      <c r="A589" s="17"/>
      <c r="B589" t="s">
        <v>824</v>
      </c>
      <c r="G589" s="1443" t="s">
        <v>1161</v>
      </c>
      <c r="H589" s="1443"/>
      <c r="I589" s="1443"/>
      <c r="J589" s="1443"/>
      <c r="K589" s="1443"/>
      <c r="L589" s="1443"/>
      <c r="O589" s="819" t="s">
        <v>1070</v>
      </c>
      <c r="P589" s="1427"/>
      <c r="Q589" s="1427"/>
      <c r="R589" s="1427"/>
      <c r="T589" s="17"/>
      <c r="U589" t="s">
        <v>824</v>
      </c>
      <c r="Z589" s="1443" t="s">
        <v>1421</v>
      </c>
      <c r="AA589" s="1443"/>
      <c r="AB589" s="1443"/>
      <c r="AC589" s="1443"/>
      <c r="AD589" s="1443"/>
      <c r="AE589" s="1443"/>
      <c r="AH589" s="819" t="s">
        <v>1070</v>
      </c>
      <c r="AI589" s="1427"/>
      <c r="AJ589" s="1427"/>
      <c r="AK589" s="1427"/>
      <c r="AZ589" s="2"/>
      <c r="BA589" s="2"/>
      <c r="BB589" s="2"/>
      <c r="BC589" s="2"/>
    </row>
    <row r="590" spans="1:55" ht="13.2" customHeight="1">
      <c r="A590" s="17"/>
      <c r="B590" t="s">
        <v>1414</v>
      </c>
      <c r="H590" s="1362" t="s">
        <v>1354</v>
      </c>
      <c r="I590" s="1362"/>
      <c r="J590" s="1362"/>
      <c r="K590" s="1362"/>
      <c r="L590" s="1362"/>
      <c r="M590" s="1362"/>
      <c r="N590" s="1362"/>
      <c r="O590" s="1362"/>
      <c r="P590" s="1362"/>
      <c r="Q590" s="1362"/>
      <c r="R590" s="1362"/>
      <c r="T590" s="17"/>
      <c r="U590" t="s">
        <v>1414</v>
      </c>
      <c r="AA590" s="1362" t="s">
        <v>1422</v>
      </c>
      <c r="AB590" s="1362"/>
      <c r="AC590" s="1362"/>
      <c r="AD590" s="1362"/>
      <c r="AE590" s="1362"/>
      <c r="AF590" s="1362"/>
      <c r="AG590" s="1362"/>
      <c r="AH590" s="1362"/>
      <c r="AI590" s="1362"/>
      <c r="AJ590" s="1362"/>
      <c r="AK590" s="1362"/>
      <c r="AZ590" s="2"/>
      <c r="BA590" s="2"/>
      <c r="BB590" s="2"/>
      <c r="BC590" s="2"/>
    </row>
    <row r="591" spans="1:55" ht="13.2" customHeight="1">
      <c r="A591" s="17"/>
      <c r="B591" t="s">
        <v>1417</v>
      </c>
      <c r="N591" s="1370" t="s">
        <v>694</v>
      </c>
      <c r="O591" s="1370"/>
      <c r="T591" s="17"/>
      <c r="U591" t="s">
        <v>1417</v>
      </c>
      <c r="AG591" s="1370" t="s">
        <v>694</v>
      </c>
      <c r="AH591" s="1370"/>
      <c r="AZ591" s="2"/>
      <c r="BA591" s="2"/>
      <c r="BB591" s="2"/>
      <c r="BC591" s="2"/>
    </row>
    <row r="592" spans="1:55" ht="13.2" customHeight="1">
      <c r="A592" s="17"/>
      <c r="T592" s="17"/>
      <c r="AZ592" s="2"/>
      <c r="BA592" s="2"/>
      <c r="BB592" s="2"/>
      <c r="BC592" s="2"/>
    </row>
    <row r="593" spans="1:55" ht="13.2" customHeight="1">
      <c r="A593" s="36" t="s">
        <v>1400</v>
      </c>
      <c r="B593" t="s">
        <v>1408</v>
      </c>
      <c r="G593" s="1439" t="str">
        <f>C560</f>
        <v>Deferred Costs</v>
      </c>
      <c r="H593" s="1439"/>
      <c r="I593" s="1439"/>
      <c r="J593" s="1439"/>
      <c r="K593" s="1439"/>
      <c r="L593" s="1439"/>
      <c r="M593" s="1439"/>
      <c r="N593" s="1439"/>
      <c r="O593" s="1439"/>
      <c r="P593" s="1439"/>
      <c r="Q593" s="1439"/>
      <c r="R593" s="1439"/>
      <c r="T593" s="36" t="s">
        <v>1402</v>
      </c>
      <c r="U593" t="s">
        <v>1408</v>
      </c>
      <c r="Z593" s="1439">
        <f>C561</f>
        <v>0</v>
      </c>
      <c r="AA593" s="1439"/>
      <c r="AB593" s="1439"/>
      <c r="AC593" s="1439"/>
      <c r="AD593" s="1439"/>
      <c r="AE593" s="1439"/>
      <c r="AF593" s="1439"/>
      <c r="AG593" s="1439"/>
      <c r="AH593" s="1439"/>
      <c r="AI593" s="1439"/>
      <c r="AJ593" s="1439"/>
      <c r="AK593" s="1439"/>
      <c r="AZ593" s="2"/>
      <c r="BA593" s="2"/>
      <c r="BB593" s="2"/>
      <c r="BC593" s="2"/>
    </row>
    <row r="594" spans="1:55" s="3" customFormat="1" ht="13.2" customHeight="1">
      <c r="A594" s="17"/>
      <c r="B594" t="s">
        <v>1063</v>
      </c>
      <c r="C594"/>
      <c r="D594"/>
      <c r="E594"/>
      <c r="F594"/>
      <c r="G594" s="1362" t="s">
        <v>1423</v>
      </c>
      <c r="H594" s="1362"/>
      <c r="I594" s="1362"/>
      <c r="J594" s="1362"/>
      <c r="K594" s="1362"/>
      <c r="L594" s="1362"/>
      <c r="M594" s="1362"/>
      <c r="N594" s="1362"/>
      <c r="O594" s="1362"/>
      <c r="P594" s="1362"/>
      <c r="Q594" s="1362"/>
      <c r="R594" s="1362"/>
      <c r="S594"/>
      <c r="T594" s="17"/>
      <c r="U594" t="s">
        <v>1063</v>
      </c>
      <c r="V594"/>
      <c r="W594"/>
      <c r="X594"/>
      <c r="Y594"/>
      <c r="Z594" s="1362"/>
      <c r="AA594" s="1362"/>
      <c r="AB594" s="1362"/>
      <c r="AC594" s="1362"/>
      <c r="AD594" s="1362"/>
      <c r="AE594" s="1362"/>
      <c r="AF594" s="1362"/>
      <c r="AG594" s="1362"/>
      <c r="AH594" s="1362"/>
      <c r="AI594" s="1362"/>
      <c r="AJ594" s="1362"/>
      <c r="AK594" s="1362"/>
      <c r="AL594"/>
      <c r="AM594"/>
      <c r="AN594"/>
      <c r="AO594"/>
      <c r="AP594"/>
      <c r="AQ594"/>
      <c r="AR594"/>
      <c r="AS594"/>
      <c r="AT594"/>
      <c r="AU594"/>
      <c r="AV594"/>
      <c r="AW594"/>
      <c r="AX594"/>
      <c r="AY594"/>
      <c r="AZ594" s="2"/>
      <c r="BA594" s="2"/>
      <c r="BB594" s="2"/>
      <c r="BC594" s="2"/>
    </row>
    <row r="595" spans="1:55" s="3" customFormat="1" ht="13.2" customHeight="1">
      <c r="A595" s="17"/>
      <c r="B595" t="s">
        <v>931</v>
      </c>
      <c r="C595"/>
      <c r="D595"/>
      <c r="E595"/>
      <c r="F595"/>
      <c r="G595" s="1362" t="s">
        <v>1424</v>
      </c>
      <c r="H595" s="1362"/>
      <c r="I595" s="1362"/>
      <c r="J595" s="1362"/>
      <c r="K595" s="1362"/>
      <c r="L595" s="1362"/>
      <c r="M595" s="1362"/>
      <c r="N595" s="1362"/>
      <c r="O595" s="1362"/>
      <c r="P595" s="1362"/>
      <c r="Q595" s="1362"/>
      <c r="R595" s="1362"/>
      <c r="S595"/>
      <c r="T595" s="17"/>
      <c r="U595" t="s">
        <v>931</v>
      </c>
      <c r="V595"/>
      <c r="W595"/>
      <c r="X595"/>
      <c r="Y595"/>
      <c r="Z595" s="1329"/>
      <c r="AA595" s="1329"/>
      <c r="AB595" s="1329"/>
      <c r="AC595" s="1329"/>
      <c r="AD595" s="1329"/>
      <c r="AE595" s="1329"/>
      <c r="AF595" s="1329"/>
      <c r="AG595" s="1329"/>
      <c r="AH595" s="1329"/>
      <c r="AI595" s="1329"/>
      <c r="AJ595" s="1329"/>
      <c r="AK595" s="1329"/>
      <c r="AL595"/>
      <c r="AM595"/>
      <c r="AN595"/>
      <c r="AO595"/>
      <c r="AP595"/>
      <c r="AQ595"/>
      <c r="AR595"/>
      <c r="AS595"/>
      <c r="AT595"/>
      <c r="AU595"/>
      <c r="AV595"/>
      <c r="AW595"/>
      <c r="AX595"/>
      <c r="AY595"/>
      <c r="AZ595" s="2"/>
      <c r="BA595" s="2"/>
      <c r="BB595" s="2"/>
      <c r="BC595" s="2"/>
    </row>
    <row r="596" spans="1:55" s="3" customFormat="1" ht="13.2" customHeight="1">
      <c r="A596" s="17"/>
      <c r="B596" t="s">
        <v>1411</v>
      </c>
      <c r="C596"/>
      <c r="D596"/>
      <c r="E596"/>
      <c r="F596"/>
      <c r="G596" s="1362" t="s">
        <v>1097</v>
      </c>
      <c r="H596" s="1362"/>
      <c r="I596" s="1362"/>
      <c r="J596" s="1362"/>
      <c r="K596" s="1362"/>
      <c r="L596" s="1362"/>
      <c r="M596" s="1362"/>
      <c r="N596" s="1362"/>
      <c r="O596" s="1362"/>
      <c r="P596" s="1362"/>
      <c r="Q596" s="1362"/>
      <c r="R596" s="1362"/>
      <c r="S596"/>
      <c r="T596" s="17"/>
      <c r="U596" t="s">
        <v>1411</v>
      </c>
      <c r="V596"/>
      <c r="W596"/>
      <c r="X596"/>
      <c r="Y596"/>
      <c r="Z596" s="1329"/>
      <c r="AA596" s="1329"/>
      <c r="AB596" s="1329"/>
      <c r="AC596" s="1329"/>
      <c r="AD596" s="1329"/>
      <c r="AE596" s="1329"/>
      <c r="AF596" s="1329"/>
      <c r="AG596" s="1329"/>
      <c r="AH596" s="1329"/>
      <c r="AI596" s="1329"/>
      <c r="AJ596" s="1329"/>
      <c r="AK596" s="1329"/>
      <c r="AL596"/>
      <c r="AM596"/>
      <c r="AN596"/>
      <c r="AO596"/>
      <c r="AP596"/>
      <c r="AQ596"/>
      <c r="AR596"/>
      <c r="AS596"/>
      <c r="AT596"/>
      <c r="AU596"/>
      <c r="AV596"/>
      <c r="AW596"/>
      <c r="AX596"/>
      <c r="AY596"/>
      <c r="AZ596" s="2"/>
      <c r="BA596" s="2"/>
      <c r="BB596" s="2"/>
      <c r="BC596" s="2"/>
    </row>
    <row r="597" spans="1:55" s="3" customFormat="1" ht="13.2" customHeight="1">
      <c r="A597" s="17"/>
      <c r="B597" t="s">
        <v>824</v>
      </c>
      <c r="C597"/>
      <c r="D597"/>
      <c r="E597"/>
      <c r="F597"/>
      <c r="G597" s="1443" t="s">
        <v>1098</v>
      </c>
      <c r="H597" s="1443"/>
      <c r="I597" s="1443"/>
      <c r="J597" s="1443"/>
      <c r="K597" s="1443"/>
      <c r="L597" s="1443"/>
      <c r="M597"/>
      <c r="N597"/>
      <c r="O597" s="819" t="s">
        <v>1070</v>
      </c>
      <c r="P597" s="1427"/>
      <c r="Q597" s="1427"/>
      <c r="R597" s="1427"/>
      <c r="S597"/>
      <c r="T597" s="17"/>
      <c r="U597" t="s">
        <v>824</v>
      </c>
      <c r="V597"/>
      <c r="W597"/>
      <c r="X597"/>
      <c r="Y597"/>
      <c r="Z597" s="1443"/>
      <c r="AA597" s="1443"/>
      <c r="AB597" s="1443"/>
      <c r="AC597" s="1443"/>
      <c r="AD597" s="1443"/>
      <c r="AE597" s="1443"/>
      <c r="AF597"/>
      <c r="AG597"/>
      <c r="AH597" s="819" t="s">
        <v>1070</v>
      </c>
      <c r="AI597" s="1427"/>
      <c r="AJ597" s="1427"/>
      <c r="AK597" s="1427"/>
      <c r="AL597"/>
      <c r="AM597"/>
      <c r="AN597"/>
      <c r="AO597"/>
      <c r="AP597"/>
      <c r="AQ597"/>
      <c r="AR597"/>
      <c r="AS597"/>
      <c r="AT597"/>
      <c r="AU597"/>
      <c r="AV597"/>
      <c r="AW597"/>
      <c r="AX597"/>
      <c r="AY597"/>
      <c r="AZ597" s="2"/>
      <c r="BA597" s="2"/>
      <c r="BB597" s="2"/>
      <c r="BC597" s="2"/>
    </row>
    <row r="598" spans="1:55" s="3" customFormat="1" ht="13.2" customHeight="1">
      <c r="A598" s="17"/>
      <c r="B598" t="s">
        <v>1414</v>
      </c>
      <c r="C598"/>
      <c r="D598"/>
      <c r="E598"/>
      <c r="F598"/>
      <c r="G598"/>
      <c r="H598" s="1362" t="s">
        <v>1425</v>
      </c>
      <c r="I598" s="1362"/>
      <c r="J598" s="1362"/>
      <c r="K598" s="1362"/>
      <c r="L598" s="1362"/>
      <c r="M598" s="1362"/>
      <c r="N598" s="1362"/>
      <c r="O598" s="1362"/>
      <c r="P598" s="1362"/>
      <c r="Q598" s="1362"/>
      <c r="R598" s="1362"/>
      <c r="S598"/>
      <c r="T598" s="17"/>
      <c r="U598" t="s">
        <v>1414</v>
      </c>
      <c r="V598"/>
      <c r="W598"/>
      <c r="X598"/>
      <c r="Y598"/>
      <c r="Z598"/>
      <c r="AA598" s="1362"/>
      <c r="AB598" s="1362"/>
      <c r="AC598" s="1362"/>
      <c r="AD598" s="1362"/>
      <c r="AE598" s="1362"/>
      <c r="AF598" s="1362"/>
      <c r="AG598" s="1362"/>
      <c r="AH598" s="1362"/>
      <c r="AI598" s="1362"/>
      <c r="AJ598" s="1362"/>
      <c r="AK598" s="1362"/>
      <c r="AL598"/>
      <c r="AM598"/>
      <c r="AN598"/>
      <c r="AO598"/>
      <c r="AP598"/>
      <c r="AQ598"/>
      <c r="AR598"/>
      <c r="AS598"/>
      <c r="AT598"/>
      <c r="AU598"/>
      <c r="AV598"/>
      <c r="AW598"/>
      <c r="AX598"/>
      <c r="AY598"/>
      <c r="AZ598" s="2"/>
      <c r="BA598" s="2"/>
      <c r="BB598" s="2"/>
      <c r="BC598" s="2"/>
    </row>
    <row r="599" spans="1:55" ht="13.2" customHeight="1">
      <c r="A599" s="17"/>
      <c r="B599" t="s">
        <v>1417</v>
      </c>
      <c r="N599" s="1370" t="s">
        <v>694</v>
      </c>
      <c r="O599" s="1370"/>
      <c r="T599" s="17"/>
      <c r="U599" t="s">
        <v>1417</v>
      </c>
      <c r="AG599" s="1370" t="s">
        <v>844</v>
      </c>
      <c r="AH599" s="1370"/>
      <c r="BB599" s="2"/>
      <c r="BC599" s="2"/>
    </row>
    <row r="600" spans="1:55" ht="13.2" customHeight="1">
      <c r="A600" s="17"/>
      <c r="T600" s="17"/>
      <c r="BB600" s="2"/>
      <c r="BC600" s="2"/>
    </row>
    <row r="601" spans="1:55" ht="13.2" customHeight="1">
      <c r="A601" s="36" t="s">
        <v>1403</v>
      </c>
      <c r="B601" t="s">
        <v>1408</v>
      </c>
      <c r="G601" s="1439">
        <f>C562</f>
        <v>0</v>
      </c>
      <c r="H601" s="1439"/>
      <c r="I601" s="1439"/>
      <c r="J601" s="1439"/>
      <c r="K601" s="1439"/>
      <c r="L601" s="1439"/>
      <c r="M601" s="1439"/>
      <c r="N601" s="1439"/>
      <c r="O601" s="1439"/>
      <c r="P601" s="1439"/>
      <c r="Q601" s="1439"/>
      <c r="R601" s="1439"/>
      <c r="T601" s="36" t="s">
        <v>1404</v>
      </c>
      <c r="U601" t="s">
        <v>1408</v>
      </c>
      <c r="Z601" s="1439">
        <f>C563</f>
        <v>0</v>
      </c>
      <c r="AA601" s="1439"/>
      <c r="AB601" s="1439"/>
      <c r="AC601" s="1439"/>
      <c r="AD601" s="1439"/>
      <c r="AE601" s="1439"/>
      <c r="AF601" s="1439"/>
      <c r="AG601" s="1439"/>
      <c r="AH601" s="1439"/>
      <c r="AI601" s="1439"/>
      <c r="AJ601" s="1439"/>
      <c r="AK601" s="1439"/>
      <c r="BB601" s="2"/>
      <c r="BC601" s="2"/>
    </row>
    <row r="602" spans="1:55" ht="13.2" customHeight="1">
      <c r="A602" s="17"/>
      <c r="B602" t="s">
        <v>1063</v>
      </c>
      <c r="G602" s="1362"/>
      <c r="H602" s="1362"/>
      <c r="I602" s="1362"/>
      <c r="J602" s="1362"/>
      <c r="K602" s="1362"/>
      <c r="L602" s="1362"/>
      <c r="M602" s="1362"/>
      <c r="N602" s="1362"/>
      <c r="O602" s="1362"/>
      <c r="P602" s="1362"/>
      <c r="Q602" s="1362"/>
      <c r="R602" s="1362"/>
      <c r="T602" s="17"/>
      <c r="U602" t="s">
        <v>1063</v>
      </c>
      <c r="Z602" s="1362"/>
      <c r="AA602" s="1362"/>
      <c r="AB602" s="1362"/>
      <c r="AC602" s="1362"/>
      <c r="AD602" s="1362"/>
      <c r="AE602" s="1362"/>
      <c r="AF602" s="1362"/>
      <c r="AG602" s="1362"/>
      <c r="AH602" s="1362"/>
      <c r="AI602" s="1362"/>
      <c r="AJ602" s="1362"/>
      <c r="AK602" s="1362"/>
      <c r="AZ602" s="2"/>
      <c r="BA602" s="2"/>
      <c r="BB602" s="2"/>
      <c r="BC602" s="2"/>
    </row>
    <row r="603" spans="1:55" ht="13.2" customHeight="1">
      <c r="A603" s="17"/>
      <c r="B603" t="s">
        <v>931</v>
      </c>
      <c r="G603" s="1362"/>
      <c r="H603" s="1362"/>
      <c r="I603" s="1362"/>
      <c r="J603" s="1362"/>
      <c r="K603" s="1362"/>
      <c r="L603" s="1362"/>
      <c r="M603" s="1362"/>
      <c r="N603" s="1362"/>
      <c r="O603" s="1362"/>
      <c r="P603" s="1362"/>
      <c r="Q603" s="1362"/>
      <c r="R603" s="1362"/>
      <c r="T603" s="17"/>
      <c r="U603" t="s">
        <v>931</v>
      </c>
      <c r="Z603" s="1329"/>
      <c r="AA603" s="1329"/>
      <c r="AB603" s="1329"/>
      <c r="AC603" s="1329"/>
      <c r="AD603" s="1329"/>
      <c r="AE603" s="1329"/>
      <c r="AF603" s="1329"/>
      <c r="AG603" s="1329"/>
      <c r="AH603" s="1329"/>
      <c r="AI603" s="1329"/>
      <c r="AJ603" s="1329"/>
      <c r="AK603" s="1329"/>
      <c r="AZ603" s="2"/>
      <c r="BA603" s="2"/>
      <c r="BB603" s="2"/>
      <c r="BC603" s="2"/>
    </row>
    <row r="604" spans="1:55" ht="13.2" customHeight="1">
      <c r="A604" s="17"/>
      <c r="B604" t="s">
        <v>1411</v>
      </c>
      <c r="G604" s="1362"/>
      <c r="H604" s="1362"/>
      <c r="I604" s="1362"/>
      <c r="J604" s="1362"/>
      <c r="K604" s="1362"/>
      <c r="L604" s="1362"/>
      <c r="M604" s="1362"/>
      <c r="N604" s="1362"/>
      <c r="O604" s="1362"/>
      <c r="P604" s="1362"/>
      <c r="Q604" s="1362"/>
      <c r="R604" s="1362"/>
      <c r="T604" s="17"/>
      <c r="U604" t="s">
        <v>1411</v>
      </c>
      <c r="Z604" s="1329"/>
      <c r="AA604" s="1329"/>
      <c r="AB604" s="1329"/>
      <c r="AC604" s="1329"/>
      <c r="AD604" s="1329"/>
      <c r="AE604" s="1329"/>
      <c r="AF604" s="1329"/>
      <c r="AG604" s="1329"/>
      <c r="AH604" s="1329"/>
      <c r="AI604" s="1329"/>
      <c r="AJ604" s="1329"/>
      <c r="AK604" s="1329"/>
      <c r="AZ604" s="2"/>
      <c r="BA604" s="2"/>
      <c r="BB604" s="2"/>
      <c r="BC604" s="2"/>
    </row>
    <row r="605" spans="1:55" s="3" customFormat="1" ht="13.2" customHeight="1">
      <c r="A605" s="17"/>
      <c r="B605" t="s">
        <v>824</v>
      </c>
      <c r="C605"/>
      <c r="D605"/>
      <c r="E605"/>
      <c r="F605"/>
      <c r="G605" s="1443"/>
      <c r="H605" s="1443"/>
      <c r="I605" s="1443"/>
      <c r="J605" s="1443"/>
      <c r="K605" s="1443"/>
      <c r="L605" s="1443"/>
      <c r="M605"/>
      <c r="N605"/>
      <c r="O605" s="819" t="s">
        <v>1070</v>
      </c>
      <c r="P605" s="1427"/>
      <c r="Q605" s="1427"/>
      <c r="R605" s="1427"/>
      <c r="S605"/>
      <c r="T605" s="17"/>
      <c r="U605" t="s">
        <v>824</v>
      </c>
      <c r="V605"/>
      <c r="W605"/>
      <c r="X605"/>
      <c r="Y605"/>
      <c r="Z605" s="1443"/>
      <c r="AA605" s="1443"/>
      <c r="AB605" s="1443"/>
      <c r="AC605" s="1443"/>
      <c r="AD605" s="1443"/>
      <c r="AE605" s="1443"/>
      <c r="AF605"/>
      <c r="AG605"/>
      <c r="AH605" s="819" t="s">
        <v>1070</v>
      </c>
      <c r="AI605" s="1427"/>
      <c r="AJ605" s="1427"/>
      <c r="AK605" s="1427"/>
      <c r="AL605"/>
      <c r="AM605"/>
      <c r="AN605"/>
      <c r="AO605"/>
      <c r="AP605"/>
      <c r="AQ605"/>
      <c r="AR605"/>
      <c r="AS605"/>
      <c r="AT605"/>
      <c r="AU605"/>
      <c r="AV605"/>
      <c r="AW605"/>
      <c r="AX605"/>
      <c r="AY605"/>
      <c r="AZ605" s="2"/>
      <c r="BA605" s="2"/>
      <c r="BB605" s="2"/>
      <c r="BC605" s="2"/>
    </row>
    <row r="606" spans="1:55" s="3" customFormat="1" ht="13.2" customHeight="1">
      <c r="A606" s="17"/>
      <c r="B606" t="s">
        <v>1414</v>
      </c>
      <c r="C606"/>
      <c r="D606"/>
      <c r="E606"/>
      <c r="F606"/>
      <c r="G606"/>
      <c r="H606" s="1362"/>
      <c r="I606" s="1362"/>
      <c r="J606" s="1362"/>
      <c r="K606" s="1362"/>
      <c r="L606" s="1362"/>
      <c r="M606" s="1362"/>
      <c r="N606" s="1362"/>
      <c r="O606" s="1362"/>
      <c r="P606" s="1362"/>
      <c r="Q606" s="1362"/>
      <c r="R606" s="1362"/>
      <c r="S606"/>
      <c r="T606" s="17"/>
      <c r="U606" t="s">
        <v>1414</v>
      </c>
      <c r="V606"/>
      <c r="W606"/>
      <c r="X606"/>
      <c r="Y606"/>
      <c r="Z606"/>
      <c r="AA606" s="1362"/>
      <c r="AB606" s="1362"/>
      <c r="AC606" s="1362"/>
      <c r="AD606" s="1362"/>
      <c r="AE606" s="1362"/>
      <c r="AF606" s="1362"/>
      <c r="AG606" s="1362"/>
      <c r="AH606" s="1362"/>
      <c r="AI606" s="1362"/>
      <c r="AJ606" s="1362"/>
      <c r="AK606" s="1362"/>
      <c r="AL606"/>
      <c r="AM606"/>
      <c r="AN606"/>
      <c r="AO606"/>
      <c r="AP606"/>
      <c r="AQ606"/>
      <c r="AR606"/>
      <c r="AS606"/>
      <c r="AT606"/>
      <c r="AU606"/>
      <c r="AV606"/>
      <c r="AW606"/>
      <c r="AX606"/>
      <c r="AY606"/>
      <c r="AZ606" s="2"/>
      <c r="BA606" s="2"/>
      <c r="BB606" s="2"/>
      <c r="BC606" s="2"/>
    </row>
    <row r="607" spans="1:55" s="3" customFormat="1" ht="13.2" customHeight="1">
      <c r="A607" s="17"/>
      <c r="B607" t="s">
        <v>1417</v>
      </c>
      <c r="C607"/>
      <c r="D607"/>
      <c r="E607"/>
      <c r="F607"/>
      <c r="G607"/>
      <c r="H607"/>
      <c r="I607"/>
      <c r="J607"/>
      <c r="K607"/>
      <c r="L607"/>
      <c r="M607"/>
      <c r="N607" s="1370" t="s">
        <v>844</v>
      </c>
      <c r="O607" s="1370"/>
      <c r="P607"/>
      <c r="Q607"/>
      <c r="R607"/>
      <c r="S607"/>
      <c r="T607" s="17"/>
      <c r="U607" t="s">
        <v>1417</v>
      </c>
      <c r="V607"/>
      <c r="W607"/>
      <c r="X607"/>
      <c r="Y607"/>
      <c r="Z607"/>
      <c r="AA607"/>
      <c r="AB607"/>
      <c r="AC607"/>
      <c r="AD607"/>
      <c r="AE607"/>
      <c r="AF607"/>
      <c r="AG607" s="1370" t="s">
        <v>844</v>
      </c>
      <c r="AH607" s="1370"/>
      <c r="AI607"/>
      <c r="AJ607"/>
      <c r="AK607"/>
      <c r="AL607"/>
      <c r="AM607"/>
      <c r="AN607"/>
      <c r="AO607"/>
      <c r="AP607"/>
      <c r="AQ607"/>
      <c r="AR607"/>
      <c r="AS607"/>
      <c r="AT607"/>
      <c r="AU607"/>
      <c r="AV607"/>
      <c r="AW607"/>
      <c r="AX607"/>
      <c r="AY607"/>
      <c r="AZ607" s="2"/>
      <c r="BA607" s="2"/>
      <c r="BB607" s="2"/>
      <c r="BC607" s="2"/>
    </row>
    <row r="608" spans="1:55" ht="13.2" customHeight="1">
      <c r="A608" s="17"/>
      <c r="T608" s="17"/>
      <c r="AZ608" s="2"/>
      <c r="BA608" s="2"/>
      <c r="BB608" s="2"/>
      <c r="BC608" s="2"/>
    </row>
    <row r="609" spans="1:55" ht="13.2" customHeight="1">
      <c r="A609" s="36" t="s">
        <v>1405</v>
      </c>
      <c r="B609" t="s">
        <v>1408</v>
      </c>
      <c r="G609" s="1439">
        <f>C564</f>
        <v>0</v>
      </c>
      <c r="H609" s="1439"/>
      <c r="I609" s="1439"/>
      <c r="J609" s="1439"/>
      <c r="K609" s="1439"/>
      <c r="L609" s="1439"/>
      <c r="M609" s="1439"/>
      <c r="N609" s="1439"/>
      <c r="O609" s="1439"/>
      <c r="P609" s="1439"/>
      <c r="Q609" s="1439"/>
      <c r="R609" s="1439"/>
      <c r="T609" s="36" t="s">
        <v>1406</v>
      </c>
      <c r="U609" t="s">
        <v>1408</v>
      </c>
      <c r="Z609" s="1439">
        <f>C565</f>
        <v>0</v>
      </c>
      <c r="AA609" s="1439"/>
      <c r="AB609" s="1439"/>
      <c r="AC609" s="1439"/>
      <c r="AD609" s="1439"/>
      <c r="AE609" s="1439"/>
      <c r="AF609" s="1439"/>
      <c r="AG609" s="1439"/>
      <c r="AH609" s="1439"/>
      <c r="AI609" s="1439"/>
      <c r="AJ609" s="1439"/>
      <c r="AK609" s="1439"/>
      <c r="AZ609" s="2"/>
      <c r="BA609" s="2"/>
      <c r="BB609" s="2"/>
      <c r="BC609" s="2"/>
    </row>
    <row r="610" spans="1:55" ht="13.2" customHeight="1">
      <c r="B610" t="s">
        <v>1063</v>
      </c>
      <c r="G610" s="1362"/>
      <c r="H610" s="1362"/>
      <c r="I610" s="1362"/>
      <c r="J610" s="1362"/>
      <c r="K610" s="1362"/>
      <c r="L610" s="1362"/>
      <c r="M610" s="1362"/>
      <c r="N610" s="1362"/>
      <c r="O610" s="1362"/>
      <c r="P610" s="1362"/>
      <c r="Q610" s="1362"/>
      <c r="R610" s="1362"/>
      <c r="U610" t="s">
        <v>1063</v>
      </c>
      <c r="Z610" s="1362"/>
      <c r="AA610" s="1362"/>
      <c r="AB610" s="1362"/>
      <c r="AC610" s="1362"/>
      <c r="AD610" s="1362"/>
      <c r="AE610" s="1362"/>
      <c r="AF610" s="1362"/>
      <c r="AG610" s="1362"/>
      <c r="AH610" s="1362"/>
      <c r="AI610" s="1362"/>
      <c r="AJ610" s="1362"/>
      <c r="AK610" s="1362"/>
      <c r="AZ610" s="2"/>
      <c r="BA610" s="2"/>
      <c r="BB610" s="2"/>
      <c r="BC610" s="2"/>
    </row>
    <row r="611" spans="1:55" ht="13.2" customHeight="1">
      <c r="B611" t="s">
        <v>931</v>
      </c>
      <c r="G611" s="1362"/>
      <c r="H611" s="1362"/>
      <c r="I611" s="1362"/>
      <c r="J611" s="1362"/>
      <c r="K611" s="1362"/>
      <c r="L611" s="1362"/>
      <c r="M611" s="1362"/>
      <c r="N611" s="1362"/>
      <c r="O611" s="1362"/>
      <c r="P611" s="1362"/>
      <c r="Q611" s="1362"/>
      <c r="R611" s="1362"/>
      <c r="U611" t="s">
        <v>931</v>
      </c>
      <c r="Z611" s="1329"/>
      <c r="AA611" s="1329"/>
      <c r="AB611" s="1329"/>
      <c r="AC611" s="1329"/>
      <c r="AD611" s="1329"/>
      <c r="AE611" s="1329"/>
      <c r="AF611" s="1329"/>
      <c r="AG611" s="1329"/>
      <c r="AH611" s="1329"/>
      <c r="AI611" s="1329"/>
      <c r="AJ611" s="1329"/>
      <c r="AK611" s="1329"/>
      <c r="AZ611" s="2"/>
      <c r="BA611" s="2"/>
      <c r="BB611" s="2"/>
      <c r="BC611" s="2"/>
    </row>
    <row r="612" spans="1:55" ht="13.2" customHeight="1">
      <c r="B612" t="s">
        <v>1411</v>
      </c>
      <c r="G612" s="1362"/>
      <c r="H612" s="1362"/>
      <c r="I612" s="1362"/>
      <c r="J612" s="1362"/>
      <c r="K612" s="1362"/>
      <c r="L612" s="1362"/>
      <c r="M612" s="1362"/>
      <c r="N612" s="1362"/>
      <c r="O612" s="1362"/>
      <c r="P612" s="1362"/>
      <c r="Q612" s="1362"/>
      <c r="R612" s="1362"/>
      <c r="U612" t="s">
        <v>1411</v>
      </c>
      <c r="Z612" s="1329"/>
      <c r="AA612" s="1329"/>
      <c r="AB612" s="1329"/>
      <c r="AC612" s="1329"/>
      <c r="AD612" s="1329"/>
      <c r="AE612" s="1329"/>
      <c r="AF612" s="1329"/>
      <c r="AG612" s="1329"/>
      <c r="AH612" s="1329"/>
      <c r="AI612" s="1329"/>
      <c r="AJ612" s="1329"/>
      <c r="AK612" s="1329"/>
      <c r="AZ612" s="2"/>
      <c r="BA612" s="2"/>
      <c r="BB612" s="2"/>
      <c r="BC612" s="2"/>
    </row>
    <row r="613" spans="1:55" ht="13.2" customHeight="1">
      <c r="B613" t="s">
        <v>824</v>
      </c>
      <c r="G613" s="1443"/>
      <c r="H613" s="1443"/>
      <c r="I613" s="1443"/>
      <c r="J613" s="1443"/>
      <c r="K613" s="1443"/>
      <c r="L613" s="1443"/>
      <c r="O613" s="819" t="s">
        <v>1070</v>
      </c>
      <c r="P613" s="1427"/>
      <c r="Q613" s="1427"/>
      <c r="R613" s="1427"/>
      <c r="U613" t="s">
        <v>824</v>
      </c>
      <c r="Z613" s="1443"/>
      <c r="AA613" s="1443"/>
      <c r="AB613" s="1443"/>
      <c r="AC613" s="1443"/>
      <c r="AD613" s="1443"/>
      <c r="AE613" s="1443"/>
      <c r="AH613" s="819" t="s">
        <v>1070</v>
      </c>
      <c r="AI613" s="1427"/>
      <c r="AJ613" s="1427"/>
      <c r="AK613" s="1427"/>
      <c r="AZ613" s="2"/>
      <c r="BA613" s="2"/>
      <c r="BB613" s="2"/>
      <c r="BC613" s="2"/>
    </row>
    <row r="614" spans="1:55" ht="13.2" customHeight="1">
      <c r="B614" t="s">
        <v>1414</v>
      </c>
      <c r="H614" s="1362"/>
      <c r="I614" s="1362"/>
      <c r="J614" s="1362"/>
      <c r="K614" s="1362"/>
      <c r="L614" s="1362"/>
      <c r="M614" s="1362"/>
      <c r="N614" s="1362"/>
      <c r="O614" s="1362"/>
      <c r="P614" s="1362"/>
      <c r="Q614" s="1362"/>
      <c r="R614" s="1362"/>
      <c r="U614" t="s">
        <v>1414</v>
      </c>
      <c r="AA614" s="1362"/>
      <c r="AB614" s="1362"/>
      <c r="AC614" s="1362"/>
      <c r="AD614" s="1362"/>
      <c r="AE614" s="1362"/>
      <c r="AF614" s="1362"/>
      <c r="AG614" s="1362"/>
      <c r="AH614" s="1362"/>
      <c r="AI614" s="1362"/>
      <c r="AJ614" s="1362"/>
      <c r="AK614" s="1362"/>
      <c r="AU614" s="710"/>
      <c r="AV614" s="710"/>
      <c r="AW614" s="710"/>
      <c r="AX614" s="710"/>
      <c r="AY614" s="710"/>
      <c r="AZ614" s="2"/>
      <c r="BA614" s="2"/>
      <c r="BB614" s="2"/>
      <c r="BC614" s="2"/>
    </row>
    <row r="615" spans="1:55" ht="13.2" customHeight="1">
      <c r="B615" t="s">
        <v>1417</v>
      </c>
      <c r="N615" s="1370" t="s">
        <v>844</v>
      </c>
      <c r="O615" s="1370"/>
      <c r="U615" t="s">
        <v>1417</v>
      </c>
      <c r="AG615" s="1370" t="s">
        <v>844</v>
      </c>
      <c r="AH615" s="1370"/>
      <c r="AU615" s="710"/>
      <c r="AV615" s="710"/>
      <c r="AW615" s="710"/>
      <c r="AX615" s="710"/>
      <c r="AY615" s="710"/>
      <c r="AZ615" s="2"/>
      <c r="BA615" s="2"/>
      <c r="BB615" s="2"/>
      <c r="BC615" s="2"/>
    </row>
    <row r="616" spans="1:55" ht="13.2" customHeight="1">
      <c r="AZ616" s="2"/>
      <c r="BA616" s="2"/>
      <c r="BB616" s="2"/>
      <c r="BC616" s="2"/>
    </row>
    <row r="617" spans="1:55" ht="13.2" customHeight="1">
      <c r="A617" s="1234" t="s">
        <v>1426</v>
      </c>
      <c r="B617" s="1234"/>
      <c r="C617" s="1234"/>
      <c r="D617" s="1234"/>
      <c r="E617" s="1234"/>
      <c r="F617" s="1234"/>
      <c r="G617" s="1234"/>
      <c r="H617" s="1234"/>
      <c r="I617" s="1234"/>
      <c r="J617" s="1234"/>
      <c r="K617" s="1234"/>
      <c r="L617" s="1234"/>
      <c r="M617" s="1234"/>
      <c r="N617" s="1234"/>
      <c r="O617" s="1234"/>
      <c r="P617" s="1234"/>
      <c r="Q617" s="1234"/>
      <c r="R617" s="1234"/>
      <c r="S617" s="1234"/>
      <c r="T617" s="1234"/>
      <c r="U617" s="1234"/>
      <c r="V617" s="1234"/>
      <c r="W617" s="1234"/>
      <c r="X617" s="1234"/>
      <c r="Y617" s="1234"/>
      <c r="Z617" s="1234"/>
      <c r="AA617" s="1234"/>
      <c r="AB617" s="1234"/>
      <c r="AC617" s="1234"/>
      <c r="AD617" s="1234"/>
      <c r="AE617" s="1234"/>
      <c r="AF617" s="1234"/>
      <c r="AG617" s="1234"/>
      <c r="AH617" s="1234"/>
      <c r="AI617" s="1234"/>
      <c r="AJ617" s="1234"/>
      <c r="AK617" s="1234"/>
      <c r="AL617" s="1234"/>
      <c r="AM617" s="1234"/>
      <c r="AN617" s="1234"/>
      <c r="AO617" s="1234"/>
      <c r="AP617" s="1234"/>
      <c r="AQ617" s="1234"/>
      <c r="AR617" s="1234"/>
      <c r="AS617" s="1234"/>
      <c r="AT617" s="1234"/>
      <c r="AZ617" s="2"/>
      <c r="BA617" s="2"/>
      <c r="BB617" s="2"/>
      <c r="BC617" s="2"/>
    </row>
    <row r="618" spans="1:55" ht="13.2" customHeight="1">
      <c r="A618" s="1234"/>
      <c r="B618" s="1234"/>
      <c r="C618" s="1234"/>
      <c r="D618" s="1234"/>
      <c r="E618" s="1234"/>
      <c r="F618" s="1234"/>
      <c r="G618" s="1234"/>
      <c r="H618" s="1234"/>
      <c r="I618" s="1234"/>
      <c r="J618" s="1234"/>
      <c r="K618" s="1234"/>
      <c r="L618" s="1234"/>
      <c r="M618" s="1234"/>
      <c r="N618" s="1234"/>
      <c r="O618" s="1234"/>
      <c r="P618" s="1234"/>
      <c r="Q618" s="1234"/>
      <c r="R618" s="1234"/>
      <c r="S618" s="1234"/>
      <c r="T618" s="1234"/>
      <c r="U618" s="1234"/>
      <c r="V618" s="1234"/>
      <c r="W618" s="1234"/>
      <c r="X618" s="1234"/>
      <c r="Y618" s="1234"/>
      <c r="Z618" s="1234"/>
      <c r="AA618" s="1234"/>
      <c r="AB618" s="1234"/>
      <c r="AC618" s="1234"/>
      <c r="AD618" s="1234"/>
      <c r="AE618" s="1234"/>
      <c r="AF618" s="1234"/>
      <c r="AG618" s="1234"/>
      <c r="AH618" s="1234"/>
      <c r="AI618" s="1234"/>
      <c r="AJ618" s="1234"/>
      <c r="AK618" s="1234"/>
      <c r="AL618" s="1234"/>
      <c r="AM618" s="1234"/>
      <c r="AN618" s="1234"/>
      <c r="AO618" s="1234"/>
      <c r="AP618" s="1234"/>
      <c r="AQ618" s="1234"/>
      <c r="AR618" s="1234"/>
      <c r="AS618" s="1234"/>
      <c r="AT618" s="1234"/>
      <c r="AZ618" s="2"/>
      <c r="BA618" s="2"/>
      <c r="BB618" s="2"/>
      <c r="BC618" s="2"/>
    </row>
    <row r="619" spans="1:55" ht="13.2" customHeight="1">
      <c r="AZ619" s="2"/>
      <c r="BA619" s="2"/>
      <c r="BB619" s="2"/>
      <c r="BC619" s="2"/>
    </row>
    <row r="620" spans="1:55" ht="13.2" customHeight="1">
      <c r="A620" s="1" t="s">
        <v>871</v>
      </c>
      <c r="B620" s="1"/>
      <c r="C620" s="1" t="s">
        <v>175</v>
      </c>
      <c r="AZ620" s="2"/>
      <c r="BA620" s="2"/>
      <c r="BB620" s="2"/>
      <c r="BC620" s="2"/>
    </row>
    <row r="621" spans="1:55" ht="13.2" customHeight="1">
      <c r="A621" s="1"/>
      <c r="B621" s="1"/>
      <c r="C621" s="1"/>
      <c r="AZ621" s="2"/>
      <c r="BA621" s="2"/>
      <c r="BB621" s="2"/>
      <c r="BC621" s="2"/>
    </row>
    <row r="622" spans="1:55" ht="13.2" customHeight="1">
      <c r="C622" s="1" t="s">
        <v>1383</v>
      </c>
      <c r="AZ622" s="2"/>
      <c r="BA622" s="2"/>
      <c r="BB622" s="2"/>
      <c r="BC622" s="2"/>
    </row>
    <row r="623" spans="1:55" ht="13.2" customHeight="1">
      <c r="B623" s="363"/>
      <c r="C623" s="1"/>
      <c r="AU623" s="2"/>
      <c r="AZ623" s="2"/>
      <c r="BA623" s="2"/>
      <c r="BB623" s="2"/>
      <c r="BC623" s="2"/>
    </row>
    <row r="624" spans="1:55" ht="13.2" customHeight="1">
      <c r="B624" s="1602" t="s">
        <v>1384</v>
      </c>
      <c r="C624" s="1602"/>
      <c r="D624" s="1602"/>
      <c r="E624" s="1602"/>
      <c r="F624" s="1602"/>
      <c r="G624" s="1602"/>
      <c r="H624" s="1602"/>
      <c r="I624" s="1602"/>
      <c r="J624" s="1602"/>
      <c r="K624" s="1602"/>
      <c r="L624" s="1602"/>
      <c r="M624" s="1607" t="s">
        <v>1385</v>
      </c>
      <c r="N624" s="1607"/>
      <c r="O624" s="1607"/>
      <c r="P624" s="1607"/>
      <c r="Q624" s="1607" t="s">
        <v>1427</v>
      </c>
      <c r="R624" s="1607"/>
      <c r="S624" s="1607"/>
      <c r="T624" s="1607" t="s">
        <v>1428</v>
      </c>
      <c r="U624" s="1607"/>
      <c r="V624" s="1607"/>
      <c r="W624" s="1603" t="s">
        <v>1388</v>
      </c>
      <c r="X624" s="1603"/>
      <c r="Y624" s="1603"/>
      <c r="Z624" s="1352" t="s">
        <v>1429</v>
      </c>
      <c r="AA624" s="1352"/>
      <c r="AB624" s="1353"/>
      <c r="AC624" s="1617" t="s">
        <v>1390</v>
      </c>
      <c r="AD624" s="1618"/>
      <c r="AE624" s="1619"/>
      <c r="AF624" s="1351" t="s">
        <v>1430</v>
      </c>
      <c r="AG624" s="1352"/>
      <c r="AH624" s="1352"/>
      <c r="AI624" s="1352"/>
      <c r="AJ624" s="1353"/>
      <c r="AK624" s="1608" t="s">
        <v>1431</v>
      </c>
      <c r="AL624" s="1609"/>
      <c r="AM624" s="1609"/>
      <c r="AN624" s="1610"/>
      <c r="AO624" s="1607" t="s">
        <v>1392</v>
      </c>
      <c r="AP624" s="1607"/>
      <c r="AQ624" s="1607"/>
      <c r="AR624" s="1607"/>
      <c r="AS624" s="1607"/>
      <c r="AU624" s="2"/>
      <c r="AZ624" s="2"/>
      <c r="BA624" s="2"/>
      <c r="BB624" s="2"/>
      <c r="BC624" s="2"/>
    </row>
    <row r="625" spans="2:157" ht="13.2" customHeight="1">
      <c r="B625" s="1602"/>
      <c r="C625" s="1602"/>
      <c r="D625" s="1602"/>
      <c r="E625" s="1602"/>
      <c r="F625" s="1602"/>
      <c r="G625" s="1602"/>
      <c r="H625" s="1602"/>
      <c r="I625" s="1602"/>
      <c r="J625" s="1602"/>
      <c r="K625" s="1602"/>
      <c r="L625" s="1602"/>
      <c r="M625" s="1607"/>
      <c r="N625" s="1607"/>
      <c r="O625" s="1607"/>
      <c r="P625" s="1607"/>
      <c r="Q625" s="1607"/>
      <c r="R625" s="1607"/>
      <c r="S625" s="1607"/>
      <c r="T625" s="1607"/>
      <c r="U625" s="1607"/>
      <c r="V625" s="1607"/>
      <c r="W625" s="1603"/>
      <c r="X625" s="1603"/>
      <c r="Y625" s="1603"/>
      <c r="Z625" s="1355"/>
      <c r="AA625" s="1355"/>
      <c r="AB625" s="1356"/>
      <c r="AC625" s="1620"/>
      <c r="AD625" s="1621"/>
      <c r="AE625" s="1622"/>
      <c r="AF625" s="1354"/>
      <c r="AG625" s="1355"/>
      <c r="AH625" s="1355"/>
      <c r="AI625" s="1355"/>
      <c r="AJ625" s="1356"/>
      <c r="AK625" s="1611"/>
      <c r="AL625" s="1612"/>
      <c r="AM625" s="1612"/>
      <c r="AN625" s="1613"/>
      <c r="AO625" s="1607"/>
      <c r="AP625" s="1607"/>
      <c r="AQ625" s="1607"/>
      <c r="AR625" s="1607"/>
      <c r="AS625" s="1607"/>
      <c r="AU625" s="2"/>
      <c r="AZ625" s="2"/>
      <c r="BA625" s="2"/>
      <c r="BB625" s="2"/>
      <c r="BC625" s="2"/>
      <c r="BD625" s="2"/>
    </row>
    <row r="626" spans="2:157" ht="13.2" customHeight="1">
      <c r="B626" s="1602"/>
      <c r="C626" s="1602"/>
      <c r="D626" s="1602"/>
      <c r="E626" s="1602"/>
      <c r="F626" s="1602"/>
      <c r="G626" s="1602"/>
      <c r="H626" s="1602"/>
      <c r="I626" s="1602"/>
      <c r="J626" s="1602"/>
      <c r="K626" s="1602"/>
      <c r="L626" s="1602"/>
      <c r="M626" s="1607"/>
      <c r="N626" s="1607"/>
      <c r="O626" s="1607"/>
      <c r="P626" s="1607"/>
      <c r="Q626" s="1607"/>
      <c r="R626" s="1607"/>
      <c r="S626" s="1607"/>
      <c r="T626" s="1607"/>
      <c r="U626" s="1607"/>
      <c r="V626" s="1607"/>
      <c r="W626" s="1603"/>
      <c r="X626" s="1603"/>
      <c r="Y626" s="1603"/>
      <c r="Z626" s="1358"/>
      <c r="AA626" s="1358"/>
      <c r="AB626" s="1359"/>
      <c r="AC626" s="1623"/>
      <c r="AD626" s="1624"/>
      <c r="AE626" s="1625"/>
      <c r="AF626" s="1357"/>
      <c r="AG626" s="1358"/>
      <c r="AH626" s="1358"/>
      <c r="AI626" s="1358"/>
      <c r="AJ626" s="1359"/>
      <c r="AK626" s="1614"/>
      <c r="AL626" s="1615"/>
      <c r="AM626" s="1615"/>
      <c r="AN626" s="1616"/>
      <c r="AO626" s="1607"/>
      <c r="AP626" s="1607"/>
      <c r="AQ626" s="1607"/>
      <c r="AR626" s="1607"/>
      <c r="AS626" s="1607"/>
      <c r="AT626" s="2"/>
      <c r="AU626" s="2"/>
      <c r="AZ626" s="2"/>
      <c r="BA626" s="2"/>
      <c r="BB626" s="2"/>
      <c r="BC626" s="2"/>
      <c r="BD626" s="2"/>
    </row>
    <row r="627" spans="2:157" ht="13.2" customHeight="1">
      <c r="B627" s="34" t="s">
        <v>18</v>
      </c>
      <c r="C627" s="1435" t="s">
        <v>1432</v>
      </c>
      <c r="D627" s="1435"/>
      <c r="E627" s="1435"/>
      <c r="F627" s="1435"/>
      <c r="G627" s="1435"/>
      <c r="H627" s="1435"/>
      <c r="I627" s="1435"/>
      <c r="J627" s="1435"/>
      <c r="K627" s="1435"/>
      <c r="L627" s="1435"/>
      <c r="M627" s="1448" t="s">
        <v>1360</v>
      </c>
      <c r="N627" s="1448"/>
      <c r="O627" s="1448"/>
      <c r="P627" s="1448"/>
      <c r="Q627" s="1463">
        <f>12*17</f>
        <v>204</v>
      </c>
      <c r="R627" s="1463"/>
      <c r="S627" s="1464"/>
      <c r="T627" s="1462">
        <f>12*40</f>
        <v>480</v>
      </c>
      <c r="U627" s="1463"/>
      <c r="V627" s="1464"/>
      <c r="W627" s="1436">
        <v>6.25E-2</v>
      </c>
      <c r="X627" s="1437"/>
      <c r="Y627" s="1438"/>
      <c r="Z627" s="1432" t="s">
        <v>1433</v>
      </c>
      <c r="AA627" s="1433"/>
      <c r="AB627" s="1434"/>
      <c r="AC627" s="1339"/>
      <c r="AD627" s="1340"/>
      <c r="AE627" s="1341"/>
      <c r="AF627" s="1445">
        <v>1316581</v>
      </c>
      <c r="AG627" s="1446"/>
      <c r="AH627" s="1446"/>
      <c r="AI627" s="1446"/>
      <c r="AJ627" s="1447"/>
      <c r="AK627" s="1440"/>
      <c r="AL627" s="1441"/>
      <c r="AM627" s="1441"/>
      <c r="AN627" s="1442"/>
      <c r="AO627" s="1573">
        <v>19324895</v>
      </c>
      <c r="AP627" s="1573"/>
      <c r="AQ627" s="1573"/>
      <c r="AR627" s="1573"/>
      <c r="AS627" s="1573"/>
      <c r="AT627" s="2"/>
      <c r="AU627" s="2"/>
      <c r="AZ627" s="2"/>
      <c r="BA627" s="2"/>
      <c r="BB627" s="2"/>
      <c r="BC627" s="2"/>
      <c r="BD627" s="2"/>
    </row>
    <row r="628" spans="2:157" ht="13.2" customHeight="1">
      <c r="B628" s="35" t="s">
        <v>31</v>
      </c>
      <c r="C628" s="1435" t="s">
        <v>2748</v>
      </c>
      <c r="D628" s="1435"/>
      <c r="E628" s="1435"/>
      <c r="F628" s="1435"/>
      <c r="G628" s="1435"/>
      <c r="H628" s="1435"/>
      <c r="I628" s="1435"/>
      <c r="J628" s="1435"/>
      <c r="K628" s="1435"/>
      <c r="L628" s="1435"/>
      <c r="M628" s="1448" t="s">
        <v>1370</v>
      </c>
      <c r="N628" s="1448"/>
      <c r="O628" s="1448"/>
      <c r="P628" s="1448"/>
      <c r="Q628" s="1462"/>
      <c r="R628" s="1463"/>
      <c r="S628" s="1464"/>
      <c r="T628" s="1462"/>
      <c r="U628" s="1463"/>
      <c r="V628" s="1464"/>
      <c r="W628" s="1436"/>
      <c r="X628" s="1437"/>
      <c r="Y628" s="1438"/>
      <c r="Z628" s="1432" t="s">
        <v>1434</v>
      </c>
      <c r="AA628" s="1433"/>
      <c r="AB628" s="1434"/>
      <c r="AC628" s="1339"/>
      <c r="AD628" s="1340"/>
      <c r="AE628" s="1341"/>
      <c r="AF628" s="1445"/>
      <c r="AG628" s="1446"/>
      <c r="AH628" s="1446"/>
      <c r="AI628" s="1446"/>
      <c r="AJ628" s="1447"/>
      <c r="AK628" s="1440"/>
      <c r="AL628" s="1441"/>
      <c r="AM628" s="1441"/>
      <c r="AN628" s="1442"/>
      <c r="AO628" s="1431">
        <v>3100000</v>
      </c>
      <c r="AP628" s="1302"/>
      <c r="AQ628" s="1302"/>
      <c r="AR628" s="1302"/>
      <c r="AS628" s="1303"/>
      <c r="AT628" s="930" t="str">
        <f>IF(AND(NOT(C627=""),C628="",NOT(C629="")),"!","")</f>
        <v/>
      </c>
      <c r="AU628" s="2"/>
      <c r="AZ628" s="2"/>
      <c r="BA628" s="2"/>
      <c r="BB628" s="2"/>
      <c r="BC628" s="2"/>
      <c r="BD628" s="2"/>
    </row>
    <row r="629" spans="2:157" ht="13.2" customHeight="1">
      <c r="B629" s="35" t="s">
        <v>39</v>
      </c>
      <c r="C629" s="1435" t="s">
        <v>1435</v>
      </c>
      <c r="D629" s="1435"/>
      <c r="E629" s="1435"/>
      <c r="F629" s="1435"/>
      <c r="G629" s="1435"/>
      <c r="H629" s="1435"/>
      <c r="I629" s="1435"/>
      <c r="J629" s="1435"/>
      <c r="K629" s="1435"/>
      <c r="L629" s="1435"/>
      <c r="M629" s="1448" t="s">
        <v>1348</v>
      </c>
      <c r="N629" s="1448"/>
      <c r="O629" s="1448"/>
      <c r="P629" s="1448"/>
      <c r="Q629" s="1462"/>
      <c r="R629" s="1463"/>
      <c r="S629" s="1464"/>
      <c r="T629" s="1462"/>
      <c r="U629" s="1463"/>
      <c r="V629" s="1464"/>
      <c r="W629" s="1436"/>
      <c r="X629" s="1437"/>
      <c r="Y629" s="1438"/>
      <c r="Z629" s="1432" t="s">
        <v>1436</v>
      </c>
      <c r="AA629" s="1433"/>
      <c r="AB629" s="1434"/>
      <c r="AC629" s="1339"/>
      <c r="AD629" s="1340"/>
      <c r="AE629" s="1341"/>
      <c r="AF629" s="1445"/>
      <c r="AG629" s="1446"/>
      <c r="AH629" s="1446"/>
      <c r="AI629" s="1446"/>
      <c r="AJ629" s="1447"/>
      <c r="AK629" s="1440"/>
      <c r="AL629" s="1441"/>
      <c r="AM629" s="1441"/>
      <c r="AN629" s="1442"/>
      <c r="AO629" s="1431">
        <v>5767273</v>
      </c>
      <c r="AP629" s="1302"/>
      <c r="AQ629" s="1302"/>
      <c r="AR629" s="1302"/>
      <c r="AS629" s="1303"/>
      <c r="AT629" s="930" t="str">
        <f t="shared" ref="AT629:AT638" si="1">IF(AND(NOT(C628=""),C629="",NOT(C630="")),"!","")</f>
        <v/>
      </c>
      <c r="AU629" s="2"/>
      <c r="AZ629" s="2"/>
      <c r="BA629" s="2"/>
      <c r="BB629" s="2"/>
      <c r="BC629" s="2"/>
      <c r="BD629" s="2"/>
    </row>
    <row r="630" spans="2:157" ht="13.2" customHeight="1">
      <c r="B630" s="35" t="s">
        <v>82</v>
      </c>
      <c r="C630" s="1435"/>
      <c r="D630" s="1435"/>
      <c r="E630" s="1435"/>
      <c r="F630" s="1435"/>
      <c r="G630" s="1435"/>
      <c r="H630" s="1435"/>
      <c r="I630" s="1435"/>
      <c r="J630" s="1435"/>
      <c r="K630" s="1435"/>
      <c r="L630" s="1435"/>
      <c r="M630" s="1448" t="s">
        <v>1028</v>
      </c>
      <c r="N630" s="1448"/>
      <c r="O630" s="1448"/>
      <c r="P630" s="1448"/>
      <c r="Q630" s="1462"/>
      <c r="R630" s="1463"/>
      <c r="S630" s="1464"/>
      <c r="T630" s="1462"/>
      <c r="U630" s="1463"/>
      <c r="V630" s="1464"/>
      <c r="W630" s="1436"/>
      <c r="X630" s="1437"/>
      <c r="Y630" s="1438"/>
      <c r="Z630" s="1432" t="s">
        <v>1028</v>
      </c>
      <c r="AA630" s="1433"/>
      <c r="AB630" s="1434"/>
      <c r="AC630" s="1339"/>
      <c r="AD630" s="1340"/>
      <c r="AE630" s="1341"/>
      <c r="AF630" s="1445"/>
      <c r="AG630" s="1446"/>
      <c r="AH630" s="1446"/>
      <c r="AI630" s="1446"/>
      <c r="AJ630" s="1447"/>
      <c r="AK630" s="1440"/>
      <c r="AL630" s="1441"/>
      <c r="AM630" s="1441"/>
      <c r="AN630" s="1442"/>
      <c r="AO630" s="1431"/>
      <c r="AP630" s="1302"/>
      <c r="AQ630" s="1302"/>
      <c r="AR630" s="1302"/>
      <c r="AS630" s="1303"/>
      <c r="AT630" s="930" t="str">
        <f t="shared" si="1"/>
        <v/>
      </c>
      <c r="AU630" s="2"/>
      <c r="AZ630" s="2"/>
      <c r="BA630" s="2"/>
      <c r="BB630" s="2"/>
      <c r="BC630" s="2"/>
      <c r="BD630" s="2"/>
    </row>
    <row r="631" spans="2:157" ht="13.2" customHeight="1">
      <c r="B631" s="35" t="s">
        <v>86</v>
      </c>
      <c r="C631" s="1435"/>
      <c r="D631" s="1435"/>
      <c r="E631" s="1435"/>
      <c r="F631" s="1435"/>
      <c r="G631" s="1435"/>
      <c r="H631" s="1435"/>
      <c r="I631" s="1435"/>
      <c r="J631" s="1435"/>
      <c r="K631" s="1435"/>
      <c r="L631" s="1435"/>
      <c r="M631" s="1448" t="s">
        <v>1028</v>
      </c>
      <c r="N631" s="1448"/>
      <c r="O631" s="1448"/>
      <c r="P631" s="1448"/>
      <c r="Q631" s="1462"/>
      <c r="R631" s="1463"/>
      <c r="S631" s="1464"/>
      <c r="T631" s="1462"/>
      <c r="U631" s="1463"/>
      <c r="V631" s="1464"/>
      <c r="W631" s="1436"/>
      <c r="X631" s="1437"/>
      <c r="Y631" s="1438"/>
      <c r="Z631" s="1432" t="s">
        <v>1028</v>
      </c>
      <c r="AA631" s="1433"/>
      <c r="AB631" s="1434"/>
      <c r="AC631" s="1339"/>
      <c r="AD631" s="1340"/>
      <c r="AE631" s="1341"/>
      <c r="AF631" s="1445"/>
      <c r="AG631" s="1446"/>
      <c r="AH631" s="1446"/>
      <c r="AI631" s="1446"/>
      <c r="AJ631" s="1447"/>
      <c r="AK631" s="1440"/>
      <c r="AL631" s="1441"/>
      <c r="AM631" s="1441"/>
      <c r="AN631" s="1442"/>
      <c r="AO631" s="1431"/>
      <c r="AP631" s="1302"/>
      <c r="AQ631" s="1302"/>
      <c r="AR631" s="1302"/>
      <c r="AS631" s="1303"/>
      <c r="AT631" s="930" t="str">
        <f t="shared" si="1"/>
        <v/>
      </c>
      <c r="AU631" s="2"/>
      <c r="AZ631" s="2"/>
      <c r="BA631" s="2"/>
      <c r="BB631" s="2"/>
      <c r="BC631" s="2"/>
      <c r="BD631" s="2"/>
    </row>
    <row r="632" spans="2:157" ht="13.2" customHeight="1">
      <c r="B632" s="35" t="s">
        <v>1399</v>
      </c>
      <c r="C632" s="1435"/>
      <c r="D632" s="1435"/>
      <c r="E632" s="1435"/>
      <c r="F632" s="1435"/>
      <c r="G632" s="1435"/>
      <c r="H632" s="1435"/>
      <c r="I632" s="1435"/>
      <c r="J632" s="1435"/>
      <c r="K632" s="1435"/>
      <c r="L632" s="1435"/>
      <c r="M632" s="1448" t="s">
        <v>1028</v>
      </c>
      <c r="N632" s="1448"/>
      <c r="O632" s="1448"/>
      <c r="P632" s="1448"/>
      <c r="Q632" s="1462"/>
      <c r="R632" s="1463"/>
      <c r="S632" s="1464"/>
      <c r="T632" s="1462"/>
      <c r="U632" s="1463"/>
      <c r="V632" s="1464"/>
      <c r="W632" s="1436"/>
      <c r="X632" s="1437"/>
      <c r="Y632" s="1438"/>
      <c r="Z632" s="1432" t="s">
        <v>1028</v>
      </c>
      <c r="AA632" s="1433"/>
      <c r="AB632" s="1434"/>
      <c r="AC632" s="1339"/>
      <c r="AD632" s="1340"/>
      <c r="AE632" s="1341"/>
      <c r="AF632" s="1445"/>
      <c r="AG632" s="1446"/>
      <c r="AH632" s="1446"/>
      <c r="AI632" s="1446"/>
      <c r="AJ632" s="1447"/>
      <c r="AK632" s="1440"/>
      <c r="AL632" s="1441"/>
      <c r="AM632" s="1441"/>
      <c r="AN632" s="1442"/>
      <c r="AO632" s="1431"/>
      <c r="AP632" s="1302"/>
      <c r="AQ632" s="1302"/>
      <c r="AR632" s="1302"/>
      <c r="AS632" s="1303"/>
      <c r="AT632" s="930" t="str">
        <f t="shared" si="1"/>
        <v/>
      </c>
      <c r="AU632" s="2"/>
      <c r="AZ632" s="2"/>
      <c r="BA632" s="2"/>
      <c r="BB632" s="2"/>
      <c r="BC632" s="2"/>
      <c r="BD632" s="2"/>
    </row>
    <row r="633" spans="2:157" ht="13.2" customHeight="1">
      <c r="B633" s="35" t="s">
        <v>1400</v>
      </c>
      <c r="C633" s="1435"/>
      <c r="D633" s="1435"/>
      <c r="E633" s="1435"/>
      <c r="F633" s="1435"/>
      <c r="G633" s="1435"/>
      <c r="H633" s="1435"/>
      <c r="I633" s="1435"/>
      <c r="J633" s="1435"/>
      <c r="K633" s="1435"/>
      <c r="L633" s="1435"/>
      <c r="M633" s="1448" t="s">
        <v>1028</v>
      </c>
      <c r="N633" s="1448"/>
      <c r="O633" s="1448"/>
      <c r="P633" s="1448"/>
      <c r="Q633" s="1462"/>
      <c r="R633" s="1463"/>
      <c r="S633" s="1464"/>
      <c r="T633" s="1462"/>
      <c r="U633" s="1463"/>
      <c r="V633" s="1464"/>
      <c r="W633" s="1436"/>
      <c r="X633" s="1437"/>
      <c r="Y633" s="1438"/>
      <c r="Z633" s="1432" t="s">
        <v>1028</v>
      </c>
      <c r="AA633" s="1433"/>
      <c r="AB633" s="1434"/>
      <c r="AC633" s="1339"/>
      <c r="AD633" s="1340"/>
      <c r="AE633" s="1341"/>
      <c r="AF633" s="1445"/>
      <c r="AG633" s="1446"/>
      <c r="AH633" s="1446"/>
      <c r="AI633" s="1446"/>
      <c r="AJ633" s="1447"/>
      <c r="AK633" s="1440"/>
      <c r="AL633" s="1441"/>
      <c r="AM633" s="1441"/>
      <c r="AN633" s="1442"/>
      <c r="AO633" s="1431"/>
      <c r="AP633" s="1302"/>
      <c r="AQ633" s="1302"/>
      <c r="AR633" s="1302"/>
      <c r="AS633" s="1303"/>
      <c r="AT633" s="930" t="str">
        <f t="shared" si="1"/>
        <v/>
      </c>
      <c r="AU633" s="2"/>
      <c r="AV633" s="2"/>
      <c r="AW633" s="2"/>
      <c r="AX633" s="2"/>
      <c r="AY633" s="2"/>
      <c r="AZ633" s="2"/>
      <c r="BA633" s="2"/>
      <c r="BB633" s="2"/>
      <c r="BC633" s="2"/>
      <c r="BD633" s="2"/>
    </row>
    <row r="634" spans="2:157" ht="13.2" customHeight="1">
      <c r="B634" s="35" t="s">
        <v>1402</v>
      </c>
      <c r="C634" s="1435"/>
      <c r="D634" s="1435"/>
      <c r="E634" s="1435"/>
      <c r="F634" s="1435"/>
      <c r="G634" s="1435"/>
      <c r="H634" s="1435"/>
      <c r="I634" s="1435"/>
      <c r="J634" s="1435"/>
      <c r="K634" s="1435"/>
      <c r="L634" s="1435"/>
      <c r="M634" s="1448" t="s">
        <v>1028</v>
      </c>
      <c r="N634" s="1448"/>
      <c r="O634" s="1448"/>
      <c r="P634" s="1448"/>
      <c r="Q634" s="1462"/>
      <c r="R634" s="1463"/>
      <c r="S634" s="1464"/>
      <c r="T634" s="1462"/>
      <c r="U634" s="1463"/>
      <c r="V634" s="1464"/>
      <c r="W634" s="1436"/>
      <c r="X634" s="1437"/>
      <c r="Y634" s="1438"/>
      <c r="Z634" s="1432" t="s">
        <v>1028</v>
      </c>
      <c r="AA634" s="1433"/>
      <c r="AB634" s="1434"/>
      <c r="AC634" s="1339"/>
      <c r="AD634" s="1340"/>
      <c r="AE634" s="1341"/>
      <c r="AF634" s="1445"/>
      <c r="AG634" s="1446"/>
      <c r="AH634" s="1446"/>
      <c r="AI634" s="1446"/>
      <c r="AJ634" s="1447"/>
      <c r="AK634" s="1440"/>
      <c r="AL634" s="1441"/>
      <c r="AM634" s="1441"/>
      <c r="AN634" s="1442"/>
      <c r="AO634" s="1431"/>
      <c r="AP634" s="1302"/>
      <c r="AQ634" s="1302"/>
      <c r="AR634" s="1302"/>
      <c r="AS634" s="1303"/>
      <c r="AT634" s="930" t="str">
        <f t="shared" si="1"/>
        <v/>
      </c>
      <c r="AU634" s="2"/>
      <c r="AV634" s="2"/>
      <c r="AW634" s="2"/>
      <c r="AX634" s="2"/>
      <c r="AY634" s="2"/>
      <c r="AZ634" s="2"/>
      <c r="BA634" s="2" t="s">
        <v>1028</v>
      </c>
      <c r="BB634" s="2"/>
      <c r="BC634" s="2"/>
      <c r="BD634" s="2"/>
    </row>
    <row r="635" spans="2:157" ht="13.2" customHeight="1">
      <c r="B635" s="35" t="s">
        <v>1403</v>
      </c>
      <c r="C635" s="1435"/>
      <c r="D635" s="1435"/>
      <c r="E635" s="1435"/>
      <c r="F635" s="1435"/>
      <c r="G635" s="1435"/>
      <c r="H635" s="1435"/>
      <c r="I635" s="1435"/>
      <c r="J635" s="1435"/>
      <c r="K635" s="1435"/>
      <c r="L635" s="1435"/>
      <c r="M635" s="1448" t="s">
        <v>1028</v>
      </c>
      <c r="N635" s="1448"/>
      <c r="O635" s="1448"/>
      <c r="P635" s="1448"/>
      <c r="Q635" s="1462"/>
      <c r="R635" s="1463"/>
      <c r="S635" s="1464"/>
      <c r="T635" s="1462"/>
      <c r="U635" s="1463"/>
      <c r="V635" s="1464"/>
      <c r="W635" s="1436"/>
      <c r="X635" s="1437"/>
      <c r="Y635" s="1438"/>
      <c r="Z635" s="1432" t="s">
        <v>1028</v>
      </c>
      <c r="AA635" s="1433"/>
      <c r="AB635" s="1434"/>
      <c r="AC635" s="1339"/>
      <c r="AD635" s="1340"/>
      <c r="AE635" s="1341"/>
      <c r="AF635" s="1445"/>
      <c r="AG635" s="1446"/>
      <c r="AH635" s="1446"/>
      <c r="AI635" s="1446"/>
      <c r="AJ635" s="1447"/>
      <c r="AK635" s="1440"/>
      <c r="AL635" s="1441"/>
      <c r="AM635" s="1441"/>
      <c r="AN635" s="1442"/>
      <c r="AO635" s="1431"/>
      <c r="AP635" s="1302"/>
      <c r="AQ635" s="1302"/>
      <c r="AR635" s="1302"/>
      <c r="AS635" s="1303"/>
      <c r="AT635" s="930" t="str">
        <f t="shared" si="1"/>
        <v/>
      </c>
      <c r="AU635" s="2"/>
      <c r="AV635" s="2"/>
      <c r="AW635" s="2"/>
      <c r="AX635" s="2"/>
      <c r="AY635" s="2"/>
      <c r="AZ635" s="2"/>
      <c r="BA635" s="2" t="s">
        <v>1436</v>
      </c>
      <c r="BB635" s="2"/>
      <c r="BC635" s="2"/>
      <c r="BD635" s="2"/>
      <c r="BE635" s="2"/>
      <c r="BF635" s="2"/>
      <c r="BG635" s="2"/>
      <c r="BH635" s="2"/>
      <c r="BI635" s="2"/>
      <c r="BJ635" s="2"/>
      <c r="BK635" s="2"/>
      <c r="BL635" s="2"/>
      <c r="BM635" s="2"/>
      <c r="CR635" s="1179"/>
      <c r="CS635" s="2"/>
      <c r="CT635" s="2"/>
      <c r="CU635" s="2"/>
      <c r="CV635" s="2"/>
      <c r="CW635" s="2"/>
      <c r="CX635" s="2"/>
      <c r="CY635" s="2"/>
      <c r="CZ635" s="2"/>
      <c r="DA635" s="2"/>
      <c r="DB635" s="2"/>
      <c r="DC635" s="2"/>
      <c r="DD635" s="2"/>
      <c r="DE635" s="2"/>
      <c r="DF635" s="2"/>
      <c r="DX635" s="1327" t="e">
        <f t="shared" ref="DX635:DX669" si="2">EZ718*(CP718/$CP$753)</f>
        <v>#VALUE!</v>
      </c>
      <c r="DY635" s="1327"/>
      <c r="DZ635" s="1327"/>
      <c r="EA635" s="1327"/>
      <c r="EB635" s="1327"/>
      <c r="EC635" s="1327">
        <f t="shared" ref="EC635:EC669" si="3">FE718*(CU718/$CU$753)</f>
        <v>1145.7777777777776</v>
      </c>
      <c r="ED635" s="1327"/>
      <c r="EE635" s="1327"/>
      <c r="EF635" s="1327"/>
      <c r="EG635" s="1327"/>
      <c r="EH635" s="1327" t="e">
        <f t="shared" ref="EH635:EH669" si="4">FJ718*(CZ718/$CZ$753)</f>
        <v>#VALUE!</v>
      </c>
      <c r="EI635" s="1327"/>
      <c r="EJ635" s="1327"/>
      <c r="EK635" s="1327"/>
      <c r="EL635" s="1327"/>
      <c r="EM635" s="1327" t="e">
        <f t="shared" ref="EM635:EM669" si="5">FO718*(DE718/$DE$753)</f>
        <v>#VALUE!</v>
      </c>
      <c r="EN635" s="1327"/>
      <c r="EO635" s="1327"/>
      <c r="EP635" s="1327"/>
      <c r="EQ635" s="1327"/>
      <c r="ER635" s="1327" t="e">
        <f t="shared" ref="ER635:ER669" si="6">FT718*(DJ718/$DJ$753)</f>
        <v>#VALUE!</v>
      </c>
      <c r="ES635" s="1327"/>
      <c r="ET635" s="1327"/>
      <c r="EU635" s="1327"/>
      <c r="EV635" s="1327"/>
      <c r="EW635" s="1327" t="e">
        <f t="shared" ref="EW635:EW669" si="7">FY718*(DO718/$DO$753)</f>
        <v>#VALUE!</v>
      </c>
      <c r="EX635" s="1327"/>
      <c r="EY635" s="1327"/>
      <c r="EZ635" s="1327"/>
      <c r="FA635" s="1327"/>
    </row>
    <row r="636" spans="2:157" ht="13.2" customHeight="1">
      <c r="B636" s="35" t="s">
        <v>1404</v>
      </c>
      <c r="C636" s="1435"/>
      <c r="D636" s="1435"/>
      <c r="E636" s="1435"/>
      <c r="F636" s="1435"/>
      <c r="G636" s="1435"/>
      <c r="H636" s="1435"/>
      <c r="I636" s="1435"/>
      <c r="J636" s="1435"/>
      <c r="K636" s="1435"/>
      <c r="L636" s="1435"/>
      <c r="M636" s="1448" t="s">
        <v>1028</v>
      </c>
      <c r="N636" s="1448"/>
      <c r="O636" s="1448"/>
      <c r="P636" s="1448"/>
      <c r="Q636" s="1462"/>
      <c r="R636" s="1463"/>
      <c r="S636" s="1464"/>
      <c r="T636" s="1462"/>
      <c r="U636" s="1463"/>
      <c r="V636" s="1464"/>
      <c r="W636" s="1436"/>
      <c r="X636" s="1437"/>
      <c r="Y636" s="1438"/>
      <c r="Z636" s="1432" t="s">
        <v>1028</v>
      </c>
      <c r="AA636" s="1433"/>
      <c r="AB636" s="1434"/>
      <c r="AC636" s="1339"/>
      <c r="AD636" s="1340"/>
      <c r="AE636" s="1341"/>
      <c r="AF636" s="1445"/>
      <c r="AG636" s="1446"/>
      <c r="AH636" s="1446"/>
      <c r="AI636" s="1446"/>
      <c r="AJ636" s="1447"/>
      <c r="AK636" s="1440"/>
      <c r="AL636" s="1441"/>
      <c r="AM636" s="1441"/>
      <c r="AN636" s="1442"/>
      <c r="AO636" s="1431"/>
      <c r="AP636" s="1302"/>
      <c r="AQ636" s="1302"/>
      <c r="AR636" s="1302"/>
      <c r="AS636" s="1303"/>
      <c r="AT636" s="930" t="str">
        <f t="shared" si="1"/>
        <v/>
      </c>
      <c r="AV636" s="2"/>
      <c r="AW636" s="2"/>
      <c r="AX636" s="2"/>
      <c r="AY636" s="2"/>
      <c r="AZ636" s="2"/>
      <c r="BA636" s="2" t="s">
        <v>1434</v>
      </c>
      <c r="BB636" s="2"/>
      <c r="BC636" s="2"/>
      <c r="BD636" s="2"/>
      <c r="BE636" s="2"/>
      <c r="BF636" s="2"/>
      <c r="BG636" s="2"/>
      <c r="BH636" s="2"/>
      <c r="BI636" s="2"/>
      <c r="BJ636" s="2"/>
      <c r="BK636" s="2"/>
      <c r="BL636" s="2"/>
      <c r="BM636" s="2"/>
      <c r="DA636" s="2"/>
      <c r="DB636" s="2"/>
      <c r="DC636" s="2"/>
      <c r="DD636" s="2"/>
      <c r="DE636" s="2"/>
      <c r="DF636" s="2"/>
      <c r="DX636" s="1327" t="e">
        <f t="shared" si="2"/>
        <v>#VALUE!</v>
      </c>
      <c r="DY636" s="1327"/>
      <c r="DZ636" s="1327"/>
      <c r="EA636" s="1327"/>
      <c r="EB636" s="1327"/>
      <c r="EC636" s="1327">
        <f t="shared" si="3"/>
        <v>733.66666666666663</v>
      </c>
      <c r="ED636" s="1327"/>
      <c r="EE636" s="1327"/>
      <c r="EF636" s="1327"/>
      <c r="EG636" s="1327"/>
      <c r="EH636" s="1327" t="e">
        <f t="shared" si="4"/>
        <v>#VALUE!</v>
      </c>
      <c r="EI636" s="1327"/>
      <c r="EJ636" s="1327"/>
      <c r="EK636" s="1327"/>
      <c r="EL636" s="1327"/>
      <c r="EM636" s="1327" t="e">
        <f t="shared" si="5"/>
        <v>#VALUE!</v>
      </c>
      <c r="EN636" s="1327"/>
      <c r="EO636" s="1327"/>
      <c r="EP636" s="1327"/>
      <c r="EQ636" s="1327"/>
      <c r="ER636" s="1327" t="e">
        <f t="shared" si="6"/>
        <v>#VALUE!</v>
      </c>
      <c r="ES636" s="1327"/>
      <c r="ET636" s="1327"/>
      <c r="EU636" s="1327"/>
      <c r="EV636" s="1327"/>
      <c r="EW636" s="1327" t="e">
        <f t="shared" si="7"/>
        <v>#VALUE!</v>
      </c>
      <c r="EX636" s="1327"/>
      <c r="EY636" s="1327"/>
      <c r="EZ636" s="1327"/>
      <c r="FA636" s="1327"/>
    </row>
    <row r="637" spans="2:157" ht="13.2" customHeight="1">
      <c r="B637" s="35" t="s">
        <v>1405</v>
      </c>
      <c r="C637" s="1435"/>
      <c r="D637" s="1435"/>
      <c r="E637" s="1435"/>
      <c r="F637" s="1435"/>
      <c r="G637" s="1435"/>
      <c r="H637" s="1435"/>
      <c r="I637" s="1435"/>
      <c r="J637" s="1435"/>
      <c r="K637" s="1435"/>
      <c r="L637" s="1435"/>
      <c r="M637" s="1448" t="s">
        <v>1028</v>
      </c>
      <c r="N637" s="1448"/>
      <c r="O637" s="1448"/>
      <c r="P637" s="1448"/>
      <c r="Q637" s="1462"/>
      <c r="R637" s="1463"/>
      <c r="S637" s="1464"/>
      <c r="T637" s="1462"/>
      <c r="U637" s="1463"/>
      <c r="V637" s="1464"/>
      <c r="W637" s="1436"/>
      <c r="X637" s="1437"/>
      <c r="Y637" s="1438"/>
      <c r="Z637" s="1432" t="s">
        <v>1028</v>
      </c>
      <c r="AA637" s="1433"/>
      <c r="AB637" s="1434"/>
      <c r="AC637" s="1339"/>
      <c r="AD637" s="1340"/>
      <c r="AE637" s="1341"/>
      <c r="AF637" s="1445"/>
      <c r="AG637" s="1446"/>
      <c r="AH637" s="1446"/>
      <c r="AI637" s="1446"/>
      <c r="AJ637" s="1447"/>
      <c r="AK637" s="1440"/>
      <c r="AL637" s="1441"/>
      <c r="AM637" s="1441"/>
      <c r="AN637" s="1442"/>
      <c r="AO637" s="1431"/>
      <c r="AP637" s="1302"/>
      <c r="AQ637" s="1302"/>
      <c r="AR637" s="1302"/>
      <c r="AS637" s="1303"/>
      <c r="AT637" s="930" t="str">
        <f t="shared" si="1"/>
        <v/>
      </c>
      <c r="AV637" s="2"/>
      <c r="AW637" s="2"/>
      <c r="AX637" s="2"/>
      <c r="AY637" s="2"/>
      <c r="AZ637" s="2"/>
      <c r="BA637" s="2" t="s">
        <v>1433</v>
      </c>
      <c r="BB637" s="2"/>
      <c r="BC637" s="2"/>
      <c r="BD637" s="2"/>
      <c r="BE637" s="2"/>
      <c r="BF637" s="2"/>
      <c r="BG637" s="2"/>
      <c r="BH637" s="2"/>
      <c r="BI637" s="2"/>
      <c r="BJ637" s="2"/>
      <c r="BK637" s="2"/>
      <c r="BL637" s="2"/>
      <c r="BM637" s="2"/>
      <c r="DA637" s="2"/>
      <c r="DB637" s="2"/>
      <c r="DC637" s="2"/>
      <c r="DD637" s="2"/>
      <c r="DE637" s="2"/>
      <c r="DF637" s="2"/>
      <c r="DX637" s="1327" t="e">
        <f t="shared" si="2"/>
        <v>#VALUE!</v>
      </c>
      <c r="DY637" s="1327"/>
      <c r="DZ637" s="1327"/>
      <c r="EA637" s="1327"/>
      <c r="EB637" s="1327"/>
      <c r="EC637" s="1327">
        <f t="shared" si="3"/>
        <v>202.77777777777777</v>
      </c>
      <c r="ED637" s="1327"/>
      <c r="EE637" s="1327"/>
      <c r="EF637" s="1327"/>
      <c r="EG637" s="1327"/>
      <c r="EH637" s="1327" t="e">
        <f t="shared" si="4"/>
        <v>#VALUE!</v>
      </c>
      <c r="EI637" s="1327"/>
      <c r="EJ637" s="1327"/>
      <c r="EK637" s="1327"/>
      <c r="EL637" s="1327"/>
      <c r="EM637" s="1327" t="e">
        <f t="shared" si="5"/>
        <v>#VALUE!</v>
      </c>
      <c r="EN637" s="1327"/>
      <c r="EO637" s="1327"/>
      <c r="EP637" s="1327"/>
      <c r="EQ637" s="1327"/>
      <c r="ER637" s="1327" t="e">
        <f t="shared" si="6"/>
        <v>#VALUE!</v>
      </c>
      <c r="ES637" s="1327"/>
      <c r="ET637" s="1327"/>
      <c r="EU637" s="1327"/>
      <c r="EV637" s="1327"/>
      <c r="EW637" s="1327" t="e">
        <f t="shared" si="7"/>
        <v>#VALUE!</v>
      </c>
      <c r="EX637" s="1327"/>
      <c r="EY637" s="1327"/>
      <c r="EZ637" s="1327"/>
      <c r="FA637" s="1327"/>
    </row>
    <row r="638" spans="2:157" ht="13.2" customHeight="1">
      <c r="B638" s="35" t="s">
        <v>1406</v>
      </c>
      <c r="C638" s="1435"/>
      <c r="D638" s="1435"/>
      <c r="E638" s="1435"/>
      <c r="F638" s="1435"/>
      <c r="G638" s="1435"/>
      <c r="H638" s="1435"/>
      <c r="I638" s="1435"/>
      <c r="J638" s="1435"/>
      <c r="K638" s="1435"/>
      <c r="L638" s="1435"/>
      <c r="M638" s="1448" t="s">
        <v>1028</v>
      </c>
      <c r="N638" s="1448"/>
      <c r="O638" s="1448"/>
      <c r="P638" s="1448"/>
      <c r="Q638" s="1462"/>
      <c r="R638" s="1463"/>
      <c r="S638" s="1464"/>
      <c r="T638" s="1462"/>
      <c r="U638" s="1463"/>
      <c r="V638" s="1464"/>
      <c r="W638" s="1436"/>
      <c r="X638" s="1437"/>
      <c r="Y638" s="1438"/>
      <c r="Z638" s="1432" t="s">
        <v>1028</v>
      </c>
      <c r="AA638" s="1433"/>
      <c r="AB638" s="1434"/>
      <c r="AC638" s="1339"/>
      <c r="AD638" s="1340"/>
      <c r="AE638" s="1341"/>
      <c r="AF638" s="1445"/>
      <c r="AG638" s="1446"/>
      <c r="AH638" s="1446"/>
      <c r="AI638" s="1446"/>
      <c r="AJ638" s="1447"/>
      <c r="AK638" s="1440"/>
      <c r="AL638" s="1441"/>
      <c r="AM638" s="1441"/>
      <c r="AN638" s="1442"/>
      <c r="AO638" s="1431"/>
      <c r="AP638" s="1302"/>
      <c r="AQ638" s="1302"/>
      <c r="AR638" s="1302"/>
      <c r="AS638" s="1303"/>
      <c r="AT638" s="930" t="str">
        <f t="shared" si="1"/>
        <v/>
      </c>
      <c r="AV638" s="2"/>
      <c r="AW638" s="2"/>
      <c r="AX638" s="2"/>
      <c r="AY638" s="2"/>
      <c r="AZ638" s="2"/>
      <c r="BA638" s="2" t="s">
        <v>1053</v>
      </c>
      <c r="BB638" s="2"/>
      <c r="BC638" s="2"/>
      <c r="BD638" s="2"/>
      <c r="BE638" s="2"/>
      <c r="BF638" s="2"/>
      <c r="BG638" s="2"/>
      <c r="BH638" s="2"/>
      <c r="BI638" s="2"/>
      <c r="BJ638" s="2"/>
      <c r="BK638" s="2"/>
      <c r="BL638" s="2"/>
      <c r="BM638" s="2"/>
      <c r="DA638" s="2"/>
      <c r="DB638" s="2"/>
      <c r="DC638" s="2"/>
      <c r="DD638" s="2"/>
      <c r="DE638" s="2"/>
      <c r="DF638" s="2"/>
      <c r="DX638" s="1327" t="e">
        <f t="shared" si="2"/>
        <v>#VALUE!</v>
      </c>
      <c r="DY638" s="1327"/>
      <c r="DZ638" s="1327"/>
      <c r="EA638" s="1327"/>
      <c r="EB638" s="1327"/>
      <c r="EC638" s="1327">
        <f t="shared" si="3"/>
        <v>119</v>
      </c>
      <c r="ED638" s="1327"/>
      <c r="EE638" s="1327"/>
      <c r="EF638" s="1327"/>
      <c r="EG638" s="1327"/>
      <c r="EH638" s="1327" t="e">
        <f t="shared" si="4"/>
        <v>#VALUE!</v>
      </c>
      <c r="EI638" s="1327"/>
      <c r="EJ638" s="1327"/>
      <c r="EK638" s="1327"/>
      <c r="EL638" s="1327"/>
      <c r="EM638" s="1327" t="e">
        <f t="shared" si="5"/>
        <v>#VALUE!</v>
      </c>
      <c r="EN638" s="1327"/>
      <c r="EO638" s="1327"/>
      <c r="EP638" s="1327"/>
      <c r="EQ638" s="1327"/>
      <c r="ER638" s="1327" t="e">
        <f t="shared" si="6"/>
        <v>#VALUE!</v>
      </c>
      <c r="ES638" s="1327"/>
      <c r="ET638" s="1327"/>
      <c r="EU638" s="1327"/>
      <c r="EV638" s="1327"/>
      <c r="EW638" s="1327" t="e">
        <f t="shared" si="7"/>
        <v>#VALUE!</v>
      </c>
      <c r="EX638" s="1327"/>
      <c r="EY638" s="1327"/>
      <c r="EZ638" s="1327"/>
      <c r="FA638" s="1327"/>
    </row>
    <row r="639" spans="2:157" ht="13.2" customHeight="1">
      <c r="B639" s="1363" t="s">
        <v>1437</v>
      </c>
      <c r="C639" s="1364"/>
      <c r="D639" s="1364"/>
      <c r="E639" s="1364"/>
      <c r="F639" s="1364"/>
      <c r="G639" s="1364"/>
      <c r="H639" s="1364"/>
      <c r="I639" s="1364"/>
      <c r="J639" s="1364"/>
      <c r="K639" s="1364"/>
      <c r="L639" s="1364"/>
      <c r="M639" s="1364"/>
      <c r="N639" s="1364"/>
      <c r="O639" s="1364"/>
      <c r="P639" s="1364"/>
      <c r="Q639" s="1364"/>
      <c r="R639" s="1364"/>
      <c r="S639" s="1364"/>
      <c r="T639" s="1364"/>
      <c r="U639" s="1364"/>
      <c r="V639" s="1364"/>
      <c r="W639" s="1364"/>
      <c r="X639" s="1364"/>
      <c r="Y639" s="1364"/>
      <c r="Z639" s="1364"/>
      <c r="AA639" s="1364"/>
      <c r="AB639" s="1364"/>
      <c r="AC639" s="1364"/>
      <c r="AD639" s="1364"/>
      <c r="AE639" s="1364"/>
      <c r="AF639" s="1364"/>
      <c r="AG639" s="1364"/>
      <c r="AH639" s="1364"/>
      <c r="AI639" s="1364"/>
      <c r="AJ639" s="1364"/>
      <c r="AK639" s="1364"/>
      <c r="AL639" s="1364"/>
      <c r="AM639" s="1364"/>
      <c r="AN639" s="1366"/>
      <c r="AO639" s="1428">
        <f>SUM(AO627:AR638)</f>
        <v>28192168</v>
      </c>
      <c r="AP639" s="1429"/>
      <c r="AQ639" s="1429"/>
      <c r="AR639" s="1429"/>
      <c r="AS639" s="1430"/>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327" t="e">
        <f t="shared" si="2"/>
        <v>#VALUE!</v>
      </c>
      <c r="DY639" s="1327"/>
      <c r="DZ639" s="1327"/>
      <c r="EA639" s="1327"/>
      <c r="EB639" s="1327"/>
      <c r="EC639" s="1327" t="e">
        <f t="shared" si="3"/>
        <v>#VALUE!</v>
      </c>
      <c r="ED639" s="1327"/>
      <c r="EE639" s="1327"/>
      <c r="EF639" s="1327"/>
      <c r="EG639" s="1327"/>
      <c r="EH639" s="1327">
        <f t="shared" si="4"/>
        <v>1322.1428571428571</v>
      </c>
      <c r="EI639" s="1327"/>
      <c r="EJ639" s="1327"/>
      <c r="EK639" s="1327"/>
      <c r="EL639" s="1327"/>
      <c r="EM639" s="1327" t="e">
        <f t="shared" si="5"/>
        <v>#VALUE!</v>
      </c>
      <c r="EN639" s="1327"/>
      <c r="EO639" s="1327"/>
      <c r="EP639" s="1327"/>
      <c r="EQ639" s="1327"/>
      <c r="ER639" s="1327" t="e">
        <f t="shared" si="6"/>
        <v>#VALUE!</v>
      </c>
      <c r="ES639" s="1327"/>
      <c r="ET639" s="1327"/>
      <c r="EU639" s="1327"/>
      <c r="EV639" s="1327"/>
      <c r="EW639" s="1327" t="e">
        <f t="shared" si="7"/>
        <v>#VALUE!</v>
      </c>
      <c r="EX639" s="1327"/>
      <c r="EY639" s="1327"/>
      <c r="EZ639" s="1327"/>
      <c r="FA639" s="1327"/>
    </row>
    <row r="640" spans="2:157" ht="13.2" customHeight="1">
      <c r="B640" s="1363" t="s">
        <v>1438</v>
      </c>
      <c r="C640" s="1364"/>
      <c r="D640" s="1364"/>
      <c r="E640" s="1364"/>
      <c r="F640" s="1364"/>
      <c r="G640" s="1364"/>
      <c r="H640" s="1364"/>
      <c r="I640" s="1364"/>
      <c r="J640" s="1364"/>
      <c r="K640" s="1364"/>
      <c r="L640" s="1364"/>
      <c r="M640" s="1364"/>
      <c r="N640" s="1364"/>
      <c r="O640" s="1364"/>
      <c r="P640" s="1364"/>
      <c r="Q640" s="1364"/>
      <c r="R640" s="1364"/>
      <c r="S640" s="1364"/>
      <c r="T640" s="1364"/>
      <c r="U640" s="1364"/>
      <c r="V640" s="1364"/>
      <c r="W640" s="1364"/>
      <c r="X640" s="1364"/>
      <c r="Y640" s="1364"/>
      <c r="Z640" s="1364"/>
      <c r="AA640" s="1364"/>
      <c r="AB640" s="1364"/>
      <c r="AC640" s="1364"/>
      <c r="AD640" s="1364"/>
      <c r="AE640" s="1364"/>
      <c r="AF640" s="1364"/>
      <c r="AG640" s="1364"/>
      <c r="AH640" s="1364"/>
      <c r="AI640" s="1364"/>
      <c r="AJ640" s="1364"/>
      <c r="AK640" s="1364"/>
      <c r="AL640" s="1364"/>
      <c r="AM640" s="1364"/>
      <c r="AN640" s="1366"/>
      <c r="AO640" s="1431">
        <f>32315733+16645261</f>
        <v>48960994</v>
      </c>
      <c r="AP640" s="1302"/>
      <c r="AQ640" s="1302"/>
      <c r="AR640" s="1302"/>
      <c r="AS640" s="1303"/>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327" t="e">
        <f t="shared" si="2"/>
        <v>#VALUE!</v>
      </c>
      <c r="DY640" s="1327"/>
      <c r="DZ640" s="1327"/>
      <c r="EA640" s="1327"/>
      <c r="EB640" s="1327"/>
      <c r="EC640" s="1327" t="e">
        <f t="shared" si="3"/>
        <v>#VALUE!</v>
      </c>
      <c r="ED640" s="1327"/>
      <c r="EE640" s="1327"/>
      <c r="EF640" s="1327"/>
      <c r="EG640" s="1327"/>
      <c r="EH640" s="1327">
        <f t="shared" si="4"/>
        <v>940.35714285714289</v>
      </c>
      <c r="EI640" s="1327"/>
      <c r="EJ640" s="1327"/>
      <c r="EK640" s="1327"/>
      <c r="EL640" s="1327"/>
      <c r="EM640" s="1327" t="e">
        <f t="shared" si="5"/>
        <v>#VALUE!</v>
      </c>
      <c r="EN640" s="1327"/>
      <c r="EO640" s="1327"/>
      <c r="EP640" s="1327"/>
      <c r="EQ640" s="1327"/>
      <c r="ER640" s="1327" t="e">
        <f t="shared" si="6"/>
        <v>#VALUE!</v>
      </c>
      <c r="ES640" s="1327"/>
      <c r="ET640" s="1327"/>
      <c r="EU640" s="1327"/>
      <c r="EV640" s="1327"/>
      <c r="EW640" s="1327" t="e">
        <f t="shared" si="7"/>
        <v>#VALUE!</v>
      </c>
      <c r="EX640" s="1327"/>
      <c r="EY640" s="1327"/>
      <c r="EZ640" s="1327"/>
      <c r="FA640" s="1327"/>
    </row>
    <row r="641" spans="1:157" ht="13.2" customHeight="1">
      <c r="B641" s="1767" t="s">
        <v>1439</v>
      </c>
      <c r="C641" s="1365"/>
      <c r="D641" s="1365"/>
      <c r="E641" s="1365"/>
      <c r="F641" s="1365"/>
      <c r="G641" s="1365"/>
      <c r="H641" s="1365"/>
      <c r="I641" s="1365"/>
      <c r="J641" s="1365"/>
      <c r="K641" s="1365"/>
      <c r="L641" s="1365"/>
      <c r="M641" s="1365"/>
      <c r="N641" s="1365"/>
      <c r="O641" s="1365"/>
      <c r="P641" s="1365"/>
      <c r="Q641" s="1365"/>
      <c r="R641" s="1365"/>
      <c r="S641" s="1365"/>
      <c r="T641" s="1365"/>
      <c r="U641" s="1365"/>
      <c r="V641" s="1365"/>
      <c r="W641" s="1365"/>
      <c r="X641" s="1365"/>
      <c r="Y641" s="1365"/>
      <c r="Z641" s="1365"/>
      <c r="AA641" s="1365"/>
      <c r="AB641" s="1365"/>
      <c r="AC641" s="1365"/>
      <c r="AD641" s="1365"/>
      <c r="AE641" s="1365"/>
      <c r="AF641" s="1365"/>
      <c r="AG641" s="1365"/>
      <c r="AH641" s="1365"/>
      <c r="AI641" s="1365"/>
      <c r="AJ641" s="1365"/>
      <c r="AK641" s="1365"/>
      <c r="AL641" s="1365"/>
      <c r="AM641" s="1365"/>
      <c r="AN641" s="1768"/>
      <c r="AO641" s="1428">
        <f>AO639+AO640</f>
        <v>77153162</v>
      </c>
      <c r="AP641" s="1429"/>
      <c r="AQ641" s="1429"/>
      <c r="AR641" s="1429"/>
      <c r="AS641" s="1430"/>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327" t="e">
        <f t="shared" si="2"/>
        <v>#VALUE!</v>
      </c>
      <c r="DY641" s="1327"/>
      <c r="DZ641" s="1327"/>
      <c r="EA641" s="1327"/>
      <c r="EB641" s="1327"/>
      <c r="EC641" s="1327" t="e">
        <f t="shared" si="3"/>
        <v>#VALUE!</v>
      </c>
      <c r="ED641" s="1327"/>
      <c r="EE641" s="1327"/>
      <c r="EF641" s="1327"/>
      <c r="EG641" s="1327"/>
      <c r="EH641" s="1327">
        <f t="shared" si="4"/>
        <v>233.67857142857142</v>
      </c>
      <c r="EI641" s="1327"/>
      <c r="EJ641" s="1327"/>
      <c r="EK641" s="1327"/>
      <c r="EL641" s="1327"/>
      <c r="EM641" s="1327" t="e">
        <f t="shared" si="5"/>
        <v>#VALUE!</v>
      </c>
      <c r="EN641" s="1327"/>
      <c r="EO641" s="1327"/>
      <c r="EP641" s="1327"/>
      <c r="EQ641" s="1327"/>
      <c r="ER641" s="1327" t="e">
        <f t="shared" si="6"/>
        <v>#VALUE!</v>
      </c>
      <c r="ES641" s="1327"/>
      <c r="ET641" s="1327"/>
      <c r="EU641" s="1327"/>
      <c r="EV641" s="1327"/>
      <c r="EW641" s="1327" t="e">
        <f t="shared" si="7"/>
        <v>#VALUE!</v>
      </c>
      <c r="EX641" s="1327"/>
      <c r="EY641" s="1327"/>
      <c r="EZ641" s="1327"/>
      <c r="FA641" s="1327"/>
    </row>
    <row r="642" spans="1:157" ht="13.2" customHeight="1">
      <c r="B642" s="363"/>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327" t="e">
        <f t="shared" si="2"/>
        <v>#VALUE!</v>
      </c>
      <c r="DY642" s="1327"/>
      <c r="DZ642" s="1327"/>
      <c r="EA642" s="1327"/>
      <c r="EB642" s="1327"/>
      <c r="EC642" s="1327" t="e">
        <f t="shared" si="3"/>
        <v>#VALUE!</v>
      </c>
      <c r="ED642" s="1327"/>
      <c r="EE642" s="1327"/>
      <c r="EF642" s="1327"/>
      <c r="EG642" s="1327"/>
      <c r="EH642" s="1327">
        <f t="shared" si="4"/>
        <v>136.71428571428569</v>
      </c>
      <c r="EI642" s="1327"/>
      <c r="EJ642" s="1327"/>
      <c r="EK642" s="1327"/>
      <c r="EL642" s="1327"/>
      <c r="EM642" s="1327" t="e">
        <f t="shared" si="5"/>
        <v>#VALUE!</v>
      </c>
      <c r="EN642" s="1327"/>
      <c r="EO642" s="1327"/>
      <c r="EP642" s="1327"/>
      <c r="EQ642" s="1327"/>
      <c r="ER642" s="1327" t="e">
        <f t="shared" si="6"/>
        <v>#VALUE!</v>
      </c>
      <c r="ES642" s="1327"/>
      <c r="ET642" s="1327"/>
      <c r="EU642" s="1327"/>
      <c r="EV642" s="1327"/>
      <c r="EW642" s="1327" t="e">
        <f t="shared" si="7"/>
        <v>#VALUE!</v>
      </c>
      <c r="EX642" s="1327"/>
      <c r="EY642" s="1327"/>
      <c r="EZ642" s="1327"/>
      <c r="FA642" s="1327"/>
    </row>
    <row r="643" spans="1:157" ht="13.2" customHeight="1">
      <c r="A643" s="36" t="s">
        <v>18</v>
      </c>
      <c r="B643" t="s">
        <v>1408</v>
      </c>
      <c r="G643" s="1439" t="str">
        <f>C627</f>
        <v>Permanent Loan- Citibank</v>
      </c>
      <c r="H643" s="1439"/>
      <c r="I643" s="1439"/>
      <c r="J643" s="1439"/>
      <c r="K643" s="1439"/>
      <c r="L643" s="1439"/>
      <c r="M643" s="1439"/>
      <c r="N643" s="1439"/>
      <c r="O643" s="1439"/>
      <c r="P643" s="1439"/>
      <c r="Q643" s="1439"/>
      <c r="R643" s="1439"/>
      <c r="S643" s="6"/>
      <c r="T643" s="36" t="s">
        <v>31</v>
      </c>
      <c r="U643" t="s">
        <v>1408</v>
      </c>
      <c r="Z643" s="1439" t="str">
        <f>C628</f>
        <v>Safehold TI Allowance</v>
      </c>
      <c r="AA643" s="1439"/>
      <c r="AB643" s="1439"/>
      <c r="AC643" s="1439"/>
      <c r="AD643" s="1439"/>
      <c r="AE643" s="1439"/>
      <c r="AF643" s="1439"/>
      <c r="AG643" s="1439"/>
      <c r="AH643" s="1439"/>
      <c r="AI643" s="1439"/>
      <c r="AJ643" s="1439"/>
      <c r="AK643" s="1439"/>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27" t="e">
        <f t="shared" si="2"/>
        <v>#VALUE!</v>
      </c>
      <c r="DY643" s="1327"/>
      <c r="DZ643" s="1327"/>
      <c r="EA643" s="1327"/>
      <c r="EB643" s="1327"/>
      <c r="EC643" s="1327" t="e">
        <f t="shared" si="3"/>
        <v>#VALUE!</v>
      </c>
      <c r="ED643" s="1327"/>
      <c r="EE643" s="1327"/>
      <c r="EF643" s="1327"/>
      <c r="EG643" s="1327"/>
      <c r="EH643" s="1327" t="e">
        <f t="shared" si="4"/>
        <v>#VALUE!</v>
      </c>
      <c r="EI643" s="1327"/>
      <c r="EJ643" s="1327"/>
      <c r="EK643" s="1327"/>
      <c r="EL643" s="1327"/>
      <c r="EM643" s="1327">
        <f t="shared" si="5"/>
        <v>1623.7714285714285</v>
      </c>
      <c r="EN643" s="1327"/>
      <c r="EO643" s="1327"/>
      <c r="EP643" s="1327"/>
      <c r="EQ643" s="1327"/>
      <c r="ER643" s="1327" t="e">
        <f t="shared" si="6"/>
        <v>#VALUE!</v>
      </c>
      <c r="ES643" s="1327"/>
      <c r="ET643" s="1327"/>
      <c r="EU643" s="1327"/>
      <c r="EV643" s="1327"/>
      <c r="EW643" s="1327" t="e">
        <f t="shared" si="7"/>
        <v>#VALUE!</v>
      </c>
      <c r="EX643" s="1327"/>
      <c r="EY643" s="1327"/>
      <c r="EZ643" s="1327"/>
      <c r="FA643" s="1327"/>
    </row>
    <row r="644" spans="1:157" ht="13.2" customHeight="1">
      <c r="A644" s="17"/>
      <c r="B644" t="s">
        <v>1063</v>
      </c>
      <c r="G644" s="1362" t="s">
        <v>1409</v>
      </c>
      <c r="H644" s="1362"/>
      <c r="I644" s="1362"/>
      <c r="J644" s="1362"/>
      <c r="K644" s="1362"/>
      <c r="L644" s="1362"/>
      <c r="M644" s="1362"/>
      <c r="N644" s="1362"/>
      <c r="O644" s="1362"/>
      <c r="P644" s="1362"/>
      <c r="Q644" s="1362"/>
      <c r="R644" s="1362"/>
      <c r="S644" s="6"/>
      <c r="T644" s="17"/>
      <c r="U644" t="s">
        <v>1063</v>
      </c>
      <c r="Z644" s="1362" t="s">
        <v>1418</v>
      </c>
      <c r="AA644" s="1362"/>
      <c r="AB644" s="1362"/>
      <c r="AC644" s="1362"/>
      <c r="AD644" s="1362"/>
      <c r="AE644" s="1362"/>
      <c r="AF644" s="1362"/>
      <c r="AG644" s="1362"/>
      <c r="AH644" s="1362"/>
      <c r="AI644" s="1362"/>
      <c r="AJ644" s="1362"/>
      <c r="AK644" s="1362"/>
      <c r="AV644" s="2"/>
      <c r="AW644" s="2"/>
      <c r="AX644" s="2"/>
      <c r="AY644" s="2"/>
      <c r="AZ644" s="2"/>
      <c r="BA644" s="2"/>
      <c r="BB644" s="2"/>
      <c r="BC644" s="2"/>
      <c r="BD644" s="2"/>
      <c r="BE644" s="2"/>
      <c r="BF644" s="2"/>
      <c r="BG644" s="2"/>
      <c r="BH644" s="2"/>
      <c r="BI644" s="2"/>
      <c r="BJ644" s="2"/>
      <c r="BK644" s="2"/>
      <c r="BL644" s="2"/>
      <c r="BM644" s="2"/>
      <c r="DX644" s="1327" t="e">
        <f t="shared" si="2"/>
        <v>#VALUE!</v>
      </c>
      <c r="DY644" s="1327"/>
      <c r="DZ644" s="1327"/>
      <c r="EA644" s="1327"/>
      <c r="EB644" s="1327"/>
      <c r="EC644" s="1327" t="e">
        <f t="shared" si="3"/>
        <v>#VALUE!</v>
      </c>
      <c r="ED644" s="1327"/>
      <c r="EE644" s="1327"/>
      <c r="EF644" s="1327"/>
      <c r="EG644" s="1327"/>
      <c r="EH644" s="1327" t="e">
        <f t="shared" si="4"/>
        <v>#VALUE!</v>
      </c>
      <c r="EI644" s="1327"/>
      <c r="EJ644" s="1327"/>
      <c r="EK644" s="1327"/>
      <c r="EL644" s="1327"/>
      <c r="EM644" s="1327">
        <f t="shared" si="5"/>
        <v>952.28571428571422</v>
      </c>
      <c r="EN644" s="1327"/>
      <c r="EO644" s="1327"/>
      <c r="EP644" s="1327"/>
      <c r="EQ644" s="1327"/>
      <c r="ER644" s="1327" t="e">
        <f t="shared" si="6"/>
        <v>#VALUE!</v>
      </c>
      <c r="ES644" s="1327"/>
      <c r="ET644" s="1327"/>
      <c r="EU644" s="1327"/>
      <c r="EV644" s="1327"/>
      <c r="EW644" s="1327" t="e">
        <f t="shared" si="7"/>
        <v>#VALUE!</v>
      </c>
      <c r="EX644" s="1327"/>
      <c r="EY644" s="1327"/>
      <c r="EZ644" s="1327"/>
      <c r="FA644" s="1327"/>
    </row>
    <row r="645" spans="1:157" ht="13.2" customHeight="1">
      <c r="A645" s="17"/>
      <c r="B645" t="s">
        <v>931</v>
      </c>
      <c r="G645" s="1362" t="s">
        <v>1410</v>
      </c>
      <c r="H645" s="1362"/>
      <c r="I645" s="1362"/>
      <c r="J645" s="1362"/>
      <c r="K645" s="1362"/>
      <c r="L645" s="1362"/>
      <c r="M645" s="1362"/>
      <c r="N645" s="1362"/>
      <c r="O645" s="1362"/>
      <c r="P645" s="1362"/>
      <c r="Q645" s="1362"/>
      <c r="R645" s="1362"/>
      <c r="T645" s="17"/>
      <c r="U645" t="s">
        <v>931</v>
      </c>
      <c r="Z645" s="1329" t="s">
        <v>1419</v>
      </c>
      <c r="AA645" s="1329"/>
      <c r="AB645" s="1329"/>
      <c r="AC645" s="1329"/>
      <c r="AD645" s="1329"/>
      <c r="AE645" s="1329"/>
      <c r="AF645" s="1329"/>
      <c r="AG645" s="1329"/>
      <c r="AH645" s="1329"/>
      <c r="AI645" s="1329"/>
      <c r="AJ645" s="1329"/>
      <c r="AK645" s="1329"/>
      <c r="AV645" s="2"/>
      <c r="AW645" s="2"/>
      <c r="AX645" s="2"/>
      <c r="AY645" s="2"/>
      <c r="AZ645" s="2"/>
      <c r="BA645" s="2"/>
      <c r="BB645" s="2"/>
      <c r="BC645" s="2"/>
      <c r="BD645" s="2"/>
      <c r="BE645" s="2"/>
      <c r="BF645" s="2"/>
      <c r="BG645" s="2"/>
      <c r="BH645" s="2"/>
      <c r="BI645" s="2"/>
      <c r="BJ645" s="2"/>
      <c r="BK645" s="2"/>
      <c r="BL645" s="2"/>
      <c r="BM645" s="2"/>
      <c r="DX645" s="1327" t="e">
        <f t="shared" si="2"/>
        <v>#VALUE!</v>
      </c>
      <c r="DY645" s="1327"/>
      <c r="DZ645" s="1327"/>
      <c r="EA645" s="1327"/>
      <c r="EB645" s="1327"/>
      <c r="EC645" s="1327" t="e">
        <f t="shared" si="3"/>
        <v>#VALUE!</v>
      </c>
      <c r="ED645" s="1327"/>
      <c r="EE645" s="1327"/>
      <c r="EF645" s="1327"/>
      <c r="EG645" s="1327"/>
      <c r="EH645" s="1327" t="e">
        <f t="shared" si="4"/>
        <v>#VALUE!</v>
      </c>
      <c r="EI645" s="1327"/>
      <c r="EJ645" s="1327"/>
      <c r="EK645" s="1327"/>
      <c r="EL645" s="1327"/>
      <c r="EM645" s="1327">
        <f t="shared" si="5"/>
        <v>286.62857142857143</v>
      </c>
      <c r="EN645" s="1327"/>
      <c r="EO645" s="1327"/>
      <c r="EP645" s="1327"/>
      <c r="EQ645" s="1327"/>
      <c r="ER645" s="1327" t="e">
        <f t="shared" si="6"/>
        <v>#VALUE!</v>
      </c>
      <c r="ES645" s="1327"/>
      <c r="ET645" s="1327"/>
      <c r="EU645" s="1327"/>
      <c r="EV645" s="1327"/>
      <c r="EW645" s="1327" t="e">
        <f t="shared" si="7"/>
        <v>#VALUE!</v>
      </c>
      <c r="EX645" s="1327"/>
      <c r="EY645" s="1327"/>
      <c r="EZ645" s="1327"/>
      <c r="FA645" s="1327"/>
    </row>
    <row r="646" spans="1:157" ht="13.2" customHeight="1">
      <c r="A646" s="17"/>
      <c r="B646" t="s">
        <v>1411</v>
      </c>
      <c r="G646" s="1362" t="s">
        <v>1412</v>
      </c>
      <c r="H646" s="1362"/>
      <c r="I646" s="1362"/>
      <c r="J646" s="1362"/>
      <c r="K646" s="1362"/>
      <c r="L646" s="1362"/>
      <c r="M646" s="1362"/>
      <c r="N646" s="1362"/>
      <c r="O646" s="1362"/>
      <c r="P646" s="1362"/>
      <c r="Q646" s="1362"/>
      <c r="R646" s="1362"/>
      <c r="S646" s="6"/>
      <c r="T646" s="17"/>
      <c r="U646" t="s">
        <v>1411</v>
      </c>
      <c r="Z646" s="1329" t="s">
        <v>1420</v>
      </c>
      <c r="AA646" s="1329"/>
      <c r="AB646" s="1329"/>
      <c r="AC646" s="1329"/>
      <c r="AD646" s="1329"/>
      <c r="AE646" s="1329"/>
      <c r="AF646" s="1329"/>
      <c r="AG646" s="1329"/>
      <c r="AH646" s="1329"/>
      <c r="AI646" s="1329"/>
      <c r="AJ646" s="1329"/>
      <c r="AK646" s="1329"/>
      <c r="AZ646" s="2"/>
      <c r="BA646" s="2"/>
      <c r="BB646" s="2"/>
      <c r="BC646" s="2"/>
      <c r="BD646" s="2"/>
      <c r="BE646" s="2"/>
      <c r="BF646" s="2"/>
      <c r="BG646" s="2"/>
      <c r="BH646" s="2"/>
      <c r="BI646" s="2"/>
      <c r="BJ646" s="2"/>
      <c r="BK646" s="2"/>
      <c r="BL646" s="2"/>
      <c r="BM646" s="2"/>
      <c r="DX646" s="1327" t="e">
        <f t="shared" si="2"/>
        <v>#VALUE!</v>
      </c>
      <c r="DY646" s="1327"/>
      <c r="DZ646" s="1327"/>
      <c r="EA646" s="1327"/>
      <c r="EB646" s="1327"/>
      <c r="EC646" s="1327" t="e">
        <f t="shared" si="3"/>
        <v>#VALUE!</v>
      </c>
      <c r="ED646" s="1327"/>
      <c r="EE646" s="1327"/>
      <c r="EF646" s="1327"/>
      <c r="EG646" s="1327"/>
      <c r="EH646" s="1327" t="e">
        <f t="shared" si="4"/>
        <v>#VALUE!</v>
      </c>
      <c r="EI646" s="1327"/>
      <c r="EJ646" s="1327"/>
      <c r="EK646" s="1327"/>
      <c r="EL646" s="1327"/>
      <c r="EM646" s="1327">
        <f t="shared" si="5"/>
        <v>167.2</v>
      </c>
      <c r="EN646" s="1327"/>
      <c r="EO646" s="1327"/>
      <c r="EP646" s="1327"/>
      <c r="EQ646" s="1327"/>
      <c r="ER646" s="1327" t="e">
        <f t="shared" si="6"/>
        <v>#VALUE!</v>
      </c>
      <c r="ES646" s="1327"/>
      <c r="ET646" s="1327"/>
      <c r="EU646" s="1327"/>
      <c r="EV646" s="1327"/>
      <c r="EW646" s="1327" t="e">
        <f t="shared" si="7"/>
        <v>#VALUE!</v>
      </c>
      <c r="EX646" s="1327"/>
      <c r="EY646" s="1327"/>
      <c r="EZ646" s="1327"/>
      <c r="FA646" s="1327"/>
    </row>
    <row r="647" spans="1:157" ht="13.2" customHeight="1">
      <c r="A647" s="17"/>
      <c r="B647" t="s">
        <v>824</v>
      </c>
      <c r="G647" s="1443">
        <v>2122391914</v>
      </c>
      <c r="H647" s="1443"/>
      <c r="I647" s="1443"/>
      <c r="J647" s="1443"/>
      <c r="K647" s="1443"/>
      <c r="L647" s="1443"/>
      <c r="O647" s="819" t="s">
        <v>1070</v>
      </c>
      <c r="P647" s="1427"/>
      <c r="Q647" s="1427"/>
      <c r="R647" s="1427"/>
      <c r="S647" s="8"/>
      <c r="T647" s="17"/>
      <c r="U647" t="s">
        <v>824</v>
      </c>
      <c r="Z647" s="1443" t="s">
        <v>1421</v>
      </c>
      <c r="AA647" s="1443"/>
      <c r="AB647" s="1443"/>
      <c r="AC647" s="1443"/>
      <c r="AD647" s="1443"/>
      <c r="AE647" s="1443"/>
      <c r="AH647" s="819" t="s">
        <v>1070</v>
      </c>
      <c r="AI647" s="1427"/>
      <c r="AJ647" s="1427"/>
      <c r="AK647" s="1427"/>
      <c r="AZ647" s="2"/>
      <c r="BA647" s="2"/>
      <c r="BB647" s="2"/>
      <c r="BC647" s="2"/>
      <c r="BD647" s="2"/>
      <c r="BE647" s="2"/>
      <c r="BF647" s="2"/>
      <c r="BG647" s="2"/>
      <c r="BH647" s="2"/>
      <c r="BI647" s="2"/>
      <c r="BJ647" s="2"/>
      <c r="BK647" s="2"/>
      <c r="BL647" s="2"/>
      <c r="BM647" s="2"/>
      <c r="DX647" s="1327" t="e">
        <f t="shared" si="2"/>
        <v>#VALUE!</v>
      </c>
      <c r="DY647" s="1327"/>
      <c r="DZ647" s="1327"/>
      <c r="EA647" s="1327"/>
      <c r="EB647" s="1327"/>
      <c r="EC647" s="1327" t="e">
        <f t="shared" si="3"/>
        <v>#VALUE!</v>
      </c>
      <c r="ED647" s="1327"/>
      <c r="EE647" s="1327"/>
      <c r="EF647" s="1327"/>
      <c r="EG647" s="1327"/>
      <c r="EH647" s="1327" t="e">
        <f t="shared" si="4"/>
        <v>#VALUE!</v>
      </c>
      <c r="EI647" s="1327"/>
      <c r="EJ647" s="1327"/>
      <c r="EK647" s="1327"/>
      <c r="EL647" s="1327"/>
      <c r="EM647" s="1327" t="e">
        <f t="shared" si="5"/>
        <v>#VALUE!</v>
      </c>
      <c r="EN647" s="1327"/>
      <c r="EO647" s="1327"/>
      <c r="EP647" s="1327"/>
      <c r="EQ647" s="1327"/>
      <c r="ER647" s="1327" t="e">
        <f t="shared" si="6"/>
        <v>#VALUE!</v>
      </c>
      <c r="ES647" s="1327"/>
      <c r="ET647" s="1327"/>
      <c r="EU647" s="1327"/>
      <c r="EV647" s="1327"/>
      <c r="EW647" s="1327" t="e">
        <f t="shared" si="7"/>
        <v>#VALUE!</v>
      </c>
      <c r="EX647" s="1327"/>
      <c r="EY647" s="1327"/>
      <c r="EZ647" s="1327"/>
      <c r="FA647" s="1327"/>
    </row>
    <row r="648" spans="1:157" ht="13.2" customHeight="1">
      <c r="A648" s="17"/>
      <c r="B648" t="s">
        <v>1414</v>
      </c>
      <c r="H648" s="1362" t="s">
        <v>1360</v>
      </c>
      <c r="I648" s="1362"/>
      <c r="J648" s="1362"/>
      <c r="K648" s="1362"/>
      <c r="L648" s="1362"/>
      <c r="M648" s="1362"/>
      <c r="N648" s="1362"/>
      <c r="O648" s="1362"/>
      <c r="P648" s="1362"/>
      <c r="Q648" s="1362"/>
      <c r="R648" s="1362"/>
      <c r="S648" s="6"/>
      <c r="T648" s="17"/>
      <c r="U648" t="s">
        <v>1414</v>
      </c>
      <c r="AA648" s="1362" t="s">
        <v>1422</v>
      </c>
      <c r="AB648" s="1362"/>
      <c r="AC648" s="1362"/>
      <c r="AD648" s="1362"/>
      <c r="AE648" s="1362"/>
      <c r="AF648" s="1362"/>
      <c r="AG648" s="1362"/>
      <c r="AH648" s="1362"/>
      <c r="AI648" s="1362"/>
      <c r="AJ648" s="1362"/>
      <c r="AK648" s="1362"/>
      <c r="AZ648" s="2"/>
      <c r="BA648" s="2"/>
      <c r="BB648" s="2"/>
      <c r="BC648" s="2"/>
      <c r="BD648" s="2"/>
      <c r="BE648" s="2"/>
      <c r="BF648" s="2"/>
      <c r="BG648" s="2"/>
      <c r="BH648" s="2"/>
      <c r="BI648" s="2"/>
      <c r="BJ648" s="2"/>
      <c r="BK648" s="2"/>
      <c r="BL648" s="2"/>
      <c r="BM648" s="2"/>
      <c r="DX648" s="1327" t="e">
        <f t="shared" si="2"/>
        <v>#VALUE!</v>
      </c>
      <c r="DY648" s="1327"/>
      <c r="DZ648" s="1327"/>
      <c r="EA648" s="1327"/>
      <c r="EB648" s="1327"/>
      <c r="EC648" s="1327" t="e">
        <f t="shared" si="3"/>
        <v>#VALUE!</v>
      </c>
      <c r="ED648" s="1327"/>
      <c r="EE648" s="1327"/>
      <c r="EF648" s="1327"/>
      <c r="EG648" s="1327"/>
      <c r="EH648" s="1327" t="e">
        <f t="shared" si="4"/>
        <v>#VALUE!</v>
      </c>
      <c r="EI648" s="1327"/>
      <c r="EJ648" s="1327"/>
      <c r="EK648" s="1327"/>
      <c r="EL648" s="1327"/>
      <c r="EM648" s="1327" t="e">
        <f t="shared" si="5"/>
        <v>#VALUE!</v>
      </c>
      <c r="EN648" s="1327"/>
      <c r="EO648" s="1327"/>
      <c r="EP648" s="1327"/>
      <c r="EQ648" s="1327"/>
      <c r="ER648" s="1327" t="e">
        <f t="shared" si="6"/>
        <v>#VALUE!</v>
      </c>
      <c r="ES648" s="1327"/>
      <c r="ET648" s="1327"/>
      <c r="EU648" s="1327"/>
      <c r="EV648" s="1327"/>
      <c r="EW648" s="1327" t="e">
        <f t="shared" si="7"/>
        <v>#VALUE!</v>
      </c>
      <c r="EX648" s="1327"/>
      <c r="EY648" s="1327"/>
      <c r="EZ648" s="1327"/>
      <c r="FA648" s="1327"/>
    </row>
    <row r="649" spans="1:157" ht="13.2" customHeight="1">
      <c r="A649" s="17"/>
      <c r="B649" t="s">
        <v>1417</v>
      </c>
      <c r="N649" s="1370" t="s">
        <v>694</v>
      </c>
      <c r="O649" s="1370"/>
      <c r="T649" s="17"/>
      <c r="U649" t="s">
        <v>1417</v>
      </c>
      <c r="AG649" s="1370" t="s">
        <v>694</v>
      </c>
      <c r="AH649" s="1370"/>
      <c r="AZ649" s="2"/>
      <c r="BA649" s="2"/>
      <c r="BB649" s="2"/>
      <c r="BC649" s="2"/>
      <c r="BD649" s="2"/>
      <c r="BE649" s="2"/>
      <c r="BF649" s="2"/>
      <c r="BG649" s="2"/>
      <c r="BH649" s="2"/>
      <c r="BI649" s="2"/>
      <c r="BJ649" s="2"/>
      <c r="BK649" s="2"/>
      <c r="BL649" s="2"/>
      <c r="BM649" s="2"/>
      <c r="DX649" s="1327" t="e">
        <f t="shared" si="2"/>
        <v>#VALUE!</v>
      </c>
      <c r="DY649" s="1327"/>
      <c r="DZ649" s="1327"/>
      <c r="EA649" s="1327"/>
      <c r="EB649" s="1327"/>
      <c r="EC649" s="1327" t="e">
        <f t="shared" si="3"/>
        <v>#VALUE!</v>
      </c>
      <c r="ED649" s="1327"/>
      <c r="EE649" s="1327"/>
      <c r="EF649" s="1327"/>
      <c r="EG649" s="1327"/>
      <c r="EH649" s="1327" t="e">
        <f t="shared" si="4"/>
        <v>#VALUE!</v>
      </c>
      <c r="EI649" s="1327"/>
      <c r="EJ649" s="1327"/>
      <c r="EK649" s="1327"/>
      <c r="EL649" s="1327"/>
      <c r="EM649" s="1327" t="e">
        <f t="shared" si="5"/>
        <v>#VALUE!</v>
      </c>
      <c r="EN649" s="1327"/>
      <c r="EO649" s="1327"/>
      <c r="EP649" s="1327"/>
      <c r="EQ649" s="1327"/>
      <c r="ER649" s="1327" t="e">
        <f t="shared" si="6"/>
        <v>#VALUE!</v>
      </c>
      <c r="ES649" s="1327"/>
      <c r="ET649" s="1327"/>
      <c r="EU649" s="1327"/>
      <c r="EV649" s="1327"/>
      <c r="EW649" s="1327" t="e">
        <f t="shared" si="7"/>
        <v>#VALUE!</v>
      </c>
      <c r="EX649" s="1327"/>
      <c r="EY649" s="1327"/>
      <c r="EZ649" s="1327"/>
      <c r="FA649" s="1327"/>
    </row>
    <row r="650" spans="1:157" ht="13.2" customHeight="1">
      <c r="A650" s="17"/>
      <c r="T650" s="17"/>
      <c r="AZ650" s="2"/>
      <c r="BA650" s="2"/>
      <c r="BB650" s="2"/>
      <c r="BC650" s="2"/>
      <c r="BD650" s="2"/>
      <c r="BE650" s="2"/>
      <c r="BF650" s="2"/>
      <c r="BG650" s="2"/>
      <c r="BH650" s="2"/>
      <c r="BI650" s="2"/>
      <c r="BJ650" s="2"/>
      <c r="BK650" s="2"/>
      <c r="BL650" s="2"/>
      <c r="BM650" s="2"/>
      <c r="DX650" s="1327" t="e">
        <f t="shared" si="2"/>
        <v>#VALUE!</v>
      </c>
      <c r="DY650" s="1327"/>
      <c r="DZ650" s="1327"/>
      <c r="EA650" s="1327"/>
      <c r="EB650" s="1327"/>
      <c r="EC650" s="1327" t="e">
        <f t="shared" si="3"/>
        <v>#VALUE!</v>
      </c>
      <c r="ED650" s="1327"/>
      <c r="EE650" s="1327"/>
      <c r="EF650" s="1327"/>
      <c r="EG650" s="1327"/>
      <c r="EH650" s="1327" t="e">
        <f t="shared" si="4"/>
        <v>#VALUE!</v>
      </c>
      <c r="EI650" s="1327"/>
      <c r="EJ650" s="1327"/>
      <c r="EK650" s="1327"/>
      <c r="EL650" s="1327"/>
      <c r="EM650" s="1327" t="e">
        <f t="shared" si="5"/>
        <v>#VALUE!</v>
      </c>
      <c r="EN650" s="1327"/>
      <c r="EO650" s="1327"/>
      <c r="EP650" s="1327"/>
      <c r="EQ650" s="1327"/>
      <c r="ER650" s="1327" t="e">
        <f t="shared" si="6"/>
        <v>#VALUE!</v>
      </c>
      <c r="ES650" s="1327"/>
      <c r="ET650" s="1327"/>
      <c r="EU650" s="1327"/>
      <c r="EV650" s="1327"/>
      <c r="EW650" s="1327" t="e">
        <f t="shared" si="7"/>
        <v>#VALUE!</v>
      </c>
      <c r="EX650" s="1327"/>
      <c r="EY650" s="1327"/>
      <c r="EZ650" s="1327"/>
      <c r="FA650" s="1327"/>
    </row>
    <row r="651" spans="1:157" ht="13.2" customHeight="1">
      <c r="A651" s="36" t="s">
        <v>39</v>
      </c>
      <c r="B651" t="s">
        <v>1408</v>
      </c>
      <c r="G651" s="1439" t="str">
        <f>C629</f>
        <v>Deferred Developer Fee</v>
      </c>
      <c r="H651" s="1439"/>
      <c r="I651" s="1439"/>
      <c r="J651" s="1439"/>
      <c r="K651" s="1439"/>
      <c r="L651" s="1439"/>
      <c r="M651" s="1439"/>
      <c r="N651" s="1439"/>
      <c r="O651" s="1439"/>
      <c r="P651" s="1439"/>
      <c r="Q651" s="1439"/>
      <c r="R651" s="1439"/>
      <c r="T651" s="36" t="s">
        <v>82</v>
      </c>
      <c r="U651" t="s">
        <v>1408</v>
      </c>
      <c r="Z651" s="1439">
        <f>C630</f>
        <v>0</v>
      </c>
      <c r="AA651" s="1439"/>
      <c r="AB651" s="1439"/>
      <c r="AC651" s="1439"/>
      <c r="AD651" s="1439"/>
      <c r="AE651" s="1439"/>
      <c r="AF651" s="1439"/>
      <c r="AG651" s="1439"/>
      <c r="AH651" s="1439"/>
      <c r="AI651" s="1439"/>
      <c r="AJ651" s="1439"/>
      <c r="AK651" s="1439"/>
      <c r="AZ651" s="2"/>
      <c r="BA651" s="2"/>
      <c r="BB651" s="2"/>
      <c r="BC651" s="2"/>
      <c r="BD651" s="2"/>
      <c r="BE651" s="2"/>
      <c r="BF651" s="2"/>
      <c r="BG651" s="2"/>
      <c r="BH651" s="2"/>
      <c r="BI651" s="2"/>
      <c r="BJ651" s="2"/>
      <c r="BK651" s="2"/>
      <c r="BL651" s="2"/>
      <c r="BM651" s="2"/>
      <c r="DX651" s="1327" t="e">
        <f t="shared" si="2"/>
        <v>#VALUE!</v>
      </c>
      <c r="DY651" s="1327"/>
      <c r="DZ651" s="1327"/>
      <c r="EA651" s="1327"/>
      <c r="EB651" s="1327"/>
      <c r="EC651" s="1327" t="e">
        <f t="shared" si="3"/>
        <v>#VALUE!</v>
      </c>
      <c r="ED651" s="1327"/>
      <c r="EE651" s="1327"/>
      <c r="EF651" s="1327"/>
      <c r="EG651" s="1327"/>
      <c r="EH651" s="1327" t="e">
        <f t="shared" si="4"/>
        <v>#VALUE!</v>
      </c>
      <c r="EI651" s="1327"/>
      <c r="EJ651" s="1327"/>
      <c r="EK651" s="1327"/>
      <c r="EL651" s="1327"/>
      <c r="EM651" s="1327" t="e">
        <f t="shared" si="5"/>
        <v>#VALUE!</v>
      </c>
      <c r="EN651" s="1327"/>
      <c r="EO651" s="1327"/>
      <c r="EP651" s="1327"/>
      <c r="EQ651" s="1327"/>
      <c r="ER651" s="1327" t="e">
        <f t="shared" si="6"/>
        <v>#VALUE!</v>
      </c>
      <c r="ES651" s="1327"/>
      <c r="ET651" s="1327"/>
      <c r="EU651" s="1327"/>
      <c r="EV651" s="1327"/>
      <c r="EW651" s="1327" t="e">
        <f t="shared" si="7"/>
        <v>#VALUE!</v>
      </c>
      <c r="EX651" s="1327"/>
      <c r="EY651" s="1327"/>
      <c r="EZ651" s="1327"/>
      <c r="FA651" s="1327"/>
    </row>
    <row r="652" spans="1:157" ht="13.2" customHeight="1">
      <c r="A652" s="17"/>
      <c r="B652" t="s">
        <v>1063</v>
      </c>
      <c r="G652" s="1362" t="str">
        <f>G594</f>
        <v>122 East 42nd St, STE 1903</v>
      </c>
      <c r="H652" s="1362"/>
      <c r="I652" s="1362"/>
      <c r="J652" s="1362"/>
      <c r="K652" s="1362"/>
      <c r="L652" s="1362"/>
      <c r="M652" s="1362"/>
      <c r="N652" s="1362"/>
      <c r="O652" s="1362"/>
      <c r="P652" s="1362"/>
      <c r="Q652" s="1362"/>
      <c r="R652" s="1362"/>
      <c r="T652" s="17"/>
      <c r="U652" t="s">
        <v>1063</v>
      </c>
      <c r="Z652" s="1362"/>
      <c r="AA652" s="1362"/>
      <c r="AB652" s="1362"/>
      <c r="AC652" s="1362"/>
      <c r="AD652" s="1362"/>
      <c r="AE652" s="1362"/>
      <c r="AF652" s="1362"/>
      <c r="AG652" s="1362"/>
      <c r="AH652" s="1362"/>
      <c r="AI652" s="1362"/>
      <c r="AJ652" s="1362"/>
      <c r="AK652" s="1362"/>
      <c r="AZ652" s="2"/>
      <c r="BA652" s="2"/>
      <c r="BB652" s="2"/>
      <c r="BC652" s="2"/>
      <c r="BD652" s="2"/>
      <c r="BE652" s="2"/>
      <c r="BF652" s="2"/>
      <c r="BG652" s="2"/>
      <c r="BH652" s="2"/>
      <c r="BI652" s="2"/>
      <c r="BJ652" s="2"/>
      <c r="BK652" s="2"/>
      <c r="BL652" s="2"/>
      <c r="BM652" s="2"/>
      <c r="DX652" s="1327" t="e">
        <f t="shared" si="2"/>
        <v>#VALUE!</v>
      </c>
      <c r="DY652" s="1327"/>
      <c r="DZ652" s="1327"/>
      <c r="EA652" s="1327"/>
      <c r="EB652" s="1327"/>
      <c r="EC652" s="1327" t="e">
        <f t="shared" si="3"/>
        <v>#VALUE!</v>
      </c>
      <c r="ED652" s="1327"/>
      <c r="EE652" s="1327"/>
      <c r="EF652" s="1327"/>
      <c r="EG652" s="1327"/>
      <c r="EH652" s="1327" t="e">
        <f t="shared" si="4"/>
        <v>#VALUE!</v>
      </c>
      <c r="EI652" s="1327"/>
      <c r="EJ652" s="1327"/>
      <c r="EK652" s="1327"/>
      <c r="EL652" s="1327"/>
      <c r="EM652" s="1327" t="e">
        <f t="shared" si="5"/>
        <v>#VALUE!</v>
      </c>
      <c r="EN652" s="1327"/>
      <c r="EO652" s="1327"/>
      <c r="EP652" s="1327"/>
      <c r="EQ652" s="1327"/>
      <c r="ER652" s="1327" t="e">
        <f t="shared" si="6"/>
        <v>#VALUE!</v>
      </c>
      <c r="ES652" s="1327"/>
      <c r="ET652" s="1327"/>
      <c r="EU652" s="1327"/>
      <c r="EV652" s="1327"/>
      <c r="EW652" s="1327" t="e">
        <f t="shared" si="7"/>
        <v>#VALUE!</v>
      </c>
      <c r="EX652" s="1327"/>
      <c r="EY652" s="1327"/>
      <c r="EZ652" s="1327"/>
      <c r="FA652" s="1327"/>
    </row>
    <row r="653" spans="1:157" ht="13.2" customHeight="1">
      <c r="A653" s="17"/>
      <c r="B653" t="s">
        <v>931</v>
      </c>
      <c r="G653" s="1329" t="s">
        <v>1424</v>
      </c>
      <c r="H653" s="1329"/>
      <c r="I653" s="1329"/>
      <c r="J653" s="1329"/>
      <c r="K653" s="1329"/>
      <c r="L653" s="1329"/>
      <c r="M653" s="1329"/>
      <c r="N653" s="1329"/>
      <c r="O653" s="1329"/>
      <c r="P653" s="1329"/>
      <c r="Q653" s="1329"/>
      <c r="R653" s="1329"/>
      <c r="T653" s="17"/>
      <c r="U653" t="s">
        <v>931</v>
      </c>
      <c r="Z653" s="1329"/>
      <c r="AA653" s="1329"/>
      <c r="AB653" s="1329"/>
      <c r="AC653" s="1329"/>
      <c r="AD653" s="1329"/>
      <c r="AE653" s="1329"/>
      <c r="AF653" s="1329"/>
      <c r="AG653" s="1329"/>
      <c r="AH653" s="1329"/>
      <c r="AI653" s="1329"/>
      <c r="AJ653" s="1329"/>
      <c r="AK653" s="1329"/>
      <c r="AZ653" s="2"/>
      <c r="BA653" s="2"/>
      <c r="BB653" s="2"/>
      <c r="BC653" s="2"/>
      <c r="BD653" s="2"/>
      <c r="BE653" s="2"/>
      <c r="BF653" s="2"/>
      <c r="BG653" s="2"/>
      <c r="BH653" s="2"/>
      <c r="BI653" s="2"/>
      <c r="BJ653" s="2"/>
      <c r="BK653" s="2"/>
      <c r="BL653" s="2"/>
      <c r="BM653" s="2"/>
      <c r="DX653" s="1327" t="e">
        <f t="shared" si="2"/>
        <v>#VALUE!</v>
      </c>
      <c r="DY653" s="1327"/>
      <c r="DZ653" s="1327"/>
      <c r="EA653" s="1327"/>
      <c r="EB653" s="1327"/>
      <c r="EC653" s="1327" t="e">
        <f t="shared" si="3"/>
        <v>#VALUE!</v>
      </c>
      <c r="ED653" s="1327"/>
      <c r="EE653" s="1327"/>
      <c r="EF653" s="1327"/>
      <c r="EG653" s="1327"/>
      <c r="EH653" s="1327" t="e">
        <f t="shared" si="4"/>
        <v>#VALUE!</v>
      </c>
      <c r="EI653" s="1327"/>
      <c r="EJ653" s="1327"/>
      <c r="EK653" s="1327"/>
      <c r="EL653" s="1327"/>
      <c r="EM653" s="1327" t="e">
        <f t="shared" si="5"/>
        <v>#VALUE!</v>
      </c>
      <c r="EN653" s="1327"/>
      <c r="EO653" s="1327"/>
      <c r="EP653" s="1327"/>
      <c r="EQ653" s="1327"/>
      <c r="ER653" s="1327" t="e">
        <f t="shared" si="6"/>
        <v>#VALUE!</v>
      </c>
      <c r="ES653" s="1327"/>
      <c r="ET653" s="1327"/>
      <c r="EU653" s="1327"/>
      <c r="EV653" s="1327"/>
      <c r="EW653" s="1327" t="e">
        <f t="shared" si="7"/>
        <v>#VALUE!</v>
      </c>
      <c r="EX653" s="1327"/>
      <c r="EY653" s="1327"/>
      <c r="EZ653" s="1327"/>
      <c r="FA653" s="1327"/>
    </row>
    <row r="654" spans="1:157" ht="13.2" customHeight="1">
      <c r="A654" s="17"/>
      <c r="B654" t="s">
        <v>1411</v>
      </c>
      <c r="G654" s="1329" t="s">
        <v>1097</v>
      </c>
      <c r="H654" s="1329"/>
      <c r="I654" s="1329"/>
      <c r="J654" s="1329"/>
      <c r="K654" s="1329"/>
      <c r="L654" s="1329"/>
      <c r="M654" s="1329"/>
      <c r="N654" s="1329"/>
      <c r="O654" s="1329"/>
      <c r="P654" s="1329"/>
      <c r="Q654" s="1329"/>
      <c r="R654" s="1329"/>
      <c r="T654" s="17"/>
      <c r="U654" t="s">
        <v>1411</v>
      </c>
      <c r="Z654" s="1329"/>
      <c r="AA654" s="1329"/>
      <c r="AB654" s="1329"/>
      <c r="AC654" s="1329"/>
      <c r="AD654" s="1329"/>
      <c r="AE654" s="1329"/>
      <c r="AF654" s="1329"/>
      <c r="AG654" s="1329"/>
      <c r="AH654" s="1329"/>
      <c r="AI654" s="1329"/>
      <c r="AJ654" s="1329"/>
      <c r="AK654" s="1329"/>
      <c r="AZ654" s="2"/>
      <c r="BA654" s="2"/>
      <c r="BB654" s="2"/>
      <c r="BC654" s="2"/>
      <c r="BD654" s="2"/>
      <c r="BE654" s="2"/>
      <c r="BF654" s="2"/>
      <c r="BG654" s="2"/>
      <c r="BH654" s="2"/>
      <c r="BI654" s="2"/>
      <c r="BJ654" s="2"/>
      <c r="BK654" s="2"/>
      <c r="BL654" s="2"/>
      <c r="BM654" s="2"/>
      <c r="DX654" s="1327" t="e">
        <f t="shared" si="2"/>
        <v>#VALUE!</v>
      </c>
      <c r="DY654" s="1327"/>
      <c r="DZ654" s="1327"/>
      <c r="EA654" s="1327"/>
      <c r="EB654" s="1327"/>
      <c r="EC654" s="1327" t="e">
        <f t="shared" si="3"/>
        <v>#VALUE!</v>
      </c>
      <c r="ED654" s="1327"/>
      <c r="EE654" s="1327"/>
      <c r="EF654" s="1327"/>
      <c r="EG654" s="1327"/>
      <c r="EH654" s="1327" t="e">
        <f t="shared" si="4"/>
        <v>#VALUE!</v>
      </c>
      <c r="EI654" s="1327"/>
      <c r="EJ654" s="1327"/>
      <c r="EK654" s="1327"/>
      <c r="EL654" s="1327"/>
      <c r="EM654" s="1327" t="e">
        <f t="shared" si="5"/>
        <v>#VALUE!</v>
      </c>
      <c r="EN654" s="1327"/>
      <c r="EO654" s="1327"/>
      <c r="EP654" s="1327"/>
      <c r="EQ654" s="1327"/>
      <c r="ER654" s="1327" t="e">
        <f t="shared" si="6"/>
        <v>#VALUE!</v>
      </c>
      <c r="ES654" s="1327"/>
      <c r="ET654" s="1327"/>
      <c r="EU654" s="1327"/>
      <c r="EV654" s="1327"/>
      <c r="EW654" s="1327" t="e">
        <f t="shared" si="7"/>
        <v>#VALUE!</v>
      </c>
      <c r="EX654" s="1327"/>
      <c r="EY654" s="1327"/>
      <c r="EZ654" s="1327"/>
      <c r="FA654" s="1327"/>
    </row>
    <row r="655" spans="1:157" ht="13.2" customHeight="1">
      <c r="A655" s="17"/>
      <c r="B655" t="s">
        <v>824</v>
      </c>
      <c r="G655" s="1443" t="s">
        <v>1098</v>
      </c>
      <c r="H655" s="1443"/>
      <c r="I655" s="1443"/>
      <c r="J655" s="1443"/>
      <c r="K655" s="1443"/>
      <c r="L655" s="1443"/>
      <c r="O655" s="819" t="s">
        <v>1070</v>
      </c>
      <c r="P655" s="1427"/>
      <c r="Q655" s="1427"/>
      <c r="R655" s="1427"/>
      <c r="T655" s="17"/>
      <c r="U655" t="s">
        <v>824</v>
      </c>
      <c r="Z655" s="1443"/>
      <c r="AA655" s="1443"/>
      <c r="AB655" s="1443"/>
      <c r="AC655" s="1443"/>
      <c r="AD655" s="1443"/>
      <c r="AE655" s="1443"/>
      <c r="AH655" s="819" t="s">
        <v>1070</v>
      </c>
      <c r="AI655" s="1427"/>
      <c r="AJ655" s="1427"/>
      <c r="AK655" s="1427"/>
      <c r="AZ655" s="2"/>
      <c r="BA655" s="2"/>
      <c r="BB655" s="2"/>
      <c r="BC655" s="2"/>
      <c r="BD655" s="2"/>
      <c r="BE655" s="2"/>
      <c r="BF655" s="2"/>
      <c r="BG655" s="2"/>
      <c r="BH655" s="2"/>
      <c r="BI655" s="2"/>
      <c r="BJ655" s="2"/>
      <c r="BK655" s="2"/>
      <c r="BL655" s="2"/>
      <c r="BM655" s="2"/>
      <c r="DX655" s="1327" t="e">
        <f t="shared" si="2"/>
        <v>#VALUE!</v>
      </c>
      <c r="DY655" s="1327"/>
      <c r="DZ655" s="1327"/>
      <c r="EA655" s="1327"/>
      <c r="EB655" s="1327"/>
      <c r="EC655" s="1327" t="e">
        <f t="shared" si="3"/>
        <v>#VALUE!</v>
      </c>
      <c r="ED655" s="1327"/>
      <c r="EE655" s="1327"/>
      <c r="EF655" s="1327"/>
      <c r="EG655" s="1327"/>
      <c r="EH655" s="1327" t="e">
        <f t="shared" si="4"/>
        <v>#VALUE!</v>
      </c>
      <c r="EI655" s="1327"/>
      <c r="EJ655" s="1327"/>
      <c r="EK655" s="1327"/>
      <c r="EL655" s="1327"/>
      <c r="EM655" s="1327" t="e">
        <f t="shared" si="5"/>
        <v>#VALUE!</v>
      </c>
      <c r="EN655" s="1327"/>
      <c r="EO655" s="1327"/>
      <c r="EP655" s="1327"/>
      <c r="EQ655" s="1327"/>
      <c r="ER655" s="1327" t="e">
        <f t="shared" si="6"/>
        <v>#VALUE!</v>
      </c>
      <c r="ES655" s="1327"/>
      <c r="ET655" s="1327"/>
      <c r="EU655" s="1327"/>
      <c r="EV655" s="1327"/>
      <c r="EW655" s="1327" t="e">
        <f t="shared" si="7"/>
        <v>#VALUE!</v>
      </c>
      <c r="EX655" s="1327"/>
      <c r="EY655" s="1327"/>
      <c r="EZ655" s="1327"/>
      <c r="FA655" s="1327"/>
    </row>
    <row r="656" spans="1:157" ht="13.2" customHeight="1">
      <c r="A656" s="17"/>
      <c r="B656" t="s">
        <v>1414</v>
      </c>
      <c r="H656" s="1362" t="s">
        <v>1425</v>
      </c>
      <c r="I656" s="1362"/>
      <c r="J656" s="1362"/>
      <c r="K656" s="1362"/>
      <c r="L656" s="1362"/>
      <c r="M656" s="1362"/>
      <c r="N656" s="1362"/>
      <c r="O656" s="1362"/>
      <c r="P656" s="1362"/>
      <c r="Q656" s="1362"/>
      <c r="R656" s="1362"/>
      <c r="T656" s="17"/>
      <c r="U656" t="s">
        <v>1414</v>
      </c>
      <c r="AA656" s="1362"/>
      <c r="AB656" s="1362"/>
      <c r="AC656" s="1362"/>
      <c r="AD656" s="1362"/>
      <c r="AE656" s="1362"/>
      <c r="AF656" s="1362"/>
      <c r="AG656" s="1362"/>
      <c r="AH656" s="1362"/>
      <c r="AI656" s="1362"/>
      <c r="AJ656" s="1362"/>
      <c r="AK656" s="1362"/>
      <c r="AZ656" s="2"/>
      <c r="BA656" s="2"/>
      <c r="BB656" s="2"/>
      <c r="BC656" s="2"/>
      <c r="BD656" s="2"/>
      <c r="BE656" s="2"/>
      <c r="BF656" s="2"/>
      <c r="BG656" s="2"/>
      <c r="BH656" s="2"/>
      <c r="BI656" s="2"/>
      <c r="BJ656" s="2"/>
      <c r="BK656" s="2"/>
      <c r="BL656" s="2"/>
      <c r="BM656" s="2"/>
      <c r="DX656" s="1327" t="e">
        <f t="shared" si="2"/>
        <v>#VALUE!</v>
      </c>
      <c r="DY656" s="1327"/>
      <c r="DZ656" s="1327"/>
      <c r="EA656" s="1327"/>
      <c r="EB656" s="1327"/>
      <c r="EC656" s="1327" t="e">
        <f t="shared" si="3"/>
        <v>#VALUE!</v>
      </c>
      <c r="ED656" s="1327"/>
      <c r="EE656" s="1327"/>
      <c r="EF656" s="1327"/>
      <c r="EG656" s="1327"/>
      <c r="EH656" s="1327" t="e">
        <f t="shared" si="4"/>
        <v>#VALUE!</v>
      </c>
      <c r="EI656" s="1327"/>
      <c r="EJ656" s="1327"/>
      <c r="EK656" s="1327"/>
      <c r="EL656" s="1327"/>
      <c r="EM656" s="1327" t="e">
        <f t="shared" si="5"/>
        <v>#VALUE!</v>
      </c>
      <c r="EN656" s="1327"/>
      <c r="EO656" s="1327"/>
      <c r="EP656" s="1327"/>
      <c r="EQ656" s="1327"/>
      <c r="ER656" s="1327" t="e">
        <f t="shared" si="6"/>
        <v>#VALUE!</v>
      </c>
      <c r="ES656" s="1327"/>
      <c r="ET656" s="1327"/>
      <c r="EU656" s="1327"/>
      <c r="EV656" s="1327"/>
      <c r="EW656" s="1327" t="e">
        <f t="shared" si="7"/>
        <v>#VALUE!</v>
      </c>
      <c r="EX656" s="1327"/>
      <c r="EY656" s="1327"/>
      <c r="EZ656" s="1327"/>
      <c r="FA656" s="1327"/>
    </row>
    <row r="657" spans="1:157" ht="13.2" customHeight="1">
      <c r="A657" s="17"/>
      <c r="B657" t="s">
        <v>1417</v>
      </c>
      <c r="N657" s="1370" t="s">
        <v>694</v>
      </c>
      <c r="O657" s="1370"/>
      <c r="T657" s="17"/>
      <c r="U657" t="s">
        <v>1417</v>
      </c>
      <c r="AG657" s="1370" t="s">
        <v>844</v>
      </c>
      <c r="AH657" s="1370"/>
      <c r="AZ657" s="2"/>
      <c r="BA657" s="2"/>
      <c r="BB657" s="2"/>
      <c r="BC657" s="2"/>
      <c r="BD657" s="2"/>
      <c r="BE657" s="2"/>
      <c r="BF657" s="2"/>
      <c r="BG657" s="2"/>
      <c r="BH657" s="2"/>
      <c r="BI657" s="2"/>
      <c r="BJ657" s="2"/>
      <c r="BK657" s="2"/>
      <c r="BL657" s="2"/>
      <c r="BM657" s="2"/>
      <c r="DX657" s="1327" t="e">
        <f t="shared" si="2"/>
        <v>#VALUE!</v>
      </c>
      <c r="DY657" s="1327"/>
      <c r="DZ657" s="1327"/>
      <c r="EA657" s="1327"/>
      <c r="EB657" s="1327"/>
      <c r="EC657" s="1327" t="e">
        <f t="shared" si="3"/>
        <v>#VALUE!</v>
      </c>
      <c r="ED657" s="1327"/>
      <c r="EE657" s="1327"/>
      <c r="EF657" s="1327"/>
      <c r="EG657" s="1327"/>
      <c r="EH657" s="1327" t="e">
        <f t="shared" si="4"/>
        <v>#VALUE!</v>
      </c>
      <c r="EI657" s="1327"/>
      <c r="EJ657" s="1327"/>
      <c r="EK657" s="1327"/>
      <c r="EL657" s="1327"/>
      <c r="EM657" s="1327" t="e">
        <f t="shared" si="5"/>
        <v>#VALUE!</v>
      </c>
      <c r="EN657" s="1327"/>
      <c r="EO657" s="1327"/>
      <c r="EP657" s="1327"/>
      <c r="EQ657" s="1327"/>
      <c r="ER657" s="1327" t="e">
        <f t="shared" si="6"/>
        <v>#VALUE!</v>
      </c>
      <c r="ES657" s="1327"/>
      <c r="ET657" s="1327"/>
      <c r="EU657" s="1327"/>
      <c r="EV657" s="1327"/>
      <c r="EW657" s="1327" t="e">
        <f t="shared" si="7"/>
        <v>#VALUE!</v>
      </c>
      <c r="EX657" s="1327"/>
      <c r="EY657" s="1327"/>
      <c r="EZ657" s="1327"/>
      <c r="FA657" s="1327"/>
    </row>
    <row r="658" spans="1:157" ht="13.2" customHeight="1">
      <c r="A658" s="17"/>
      <c r="T658" s="17"/>
      <c r="AZ658" s="2"/>
      <c r="BA658" s="2"/>
      <c r="BB658" s="2"/>
      <c r="BC658" s="2"/>
      <c r="BD658" s="2"/>
      <c r="BE658" s="2"/>
      <c r="BF658" s="2"/>
      <c r="BG658" s="2"/>
      <c r="BH658" s="2"/>
      <c r="BI658" s="2"/>
      <c r="BJ658" s="2"/>
      <c r="BK658" s="2"/>
      <c r="BL658" s="2"/>
      <c r="BM658" s="2"/>
      <c r="DX658" s="1327" t="e">
        <f t="shared" si="2"/>
        <v>#VALUE!</v>
      </c>
      <c r="DY658" s="1327"/>
      <c r="DZ658" s="1327"/>
      <c r="EA658" s="1327"/>
      <c r="EB658" s="1327"/>
      <c r="EC658" s="1327" t="e">
        <f t="shared" si="3"/>
        <v>#VALUE!</v>
      </c>
      <c r="ED658" s="1327"/>
      <c r="EE658" s="1327"/>
      <c r="EF658" s="1327"/>
      <c r="EG658" s="1327"/>
      <c r="EH658" s="1327" t="e">
        <f t="shared" si="4"/>
        <v>#VALUE!</v>
      </c>
      <c r="EI658" s="1327"/>
      <c r="EJ658" s="1327"/>
      <c r="EK658" s="1327"/>
      <c r="EL658" s="1327"/>
      <c r="EM658" s="1327" t="e">
        <f t="shared" si="5"/>
        <v>#VALUE!</v>
      </c>
      <c r="EN658" s="1327"/>
      <c r="EO658" s="1327"/>
      <c r="EP658" s="1327"/>
      <c r="EQ658" s="1327"/>
      <c r="ER658" s="1327" t="e">
        <f t="shared" si="6"/>
        <v>#VALUE!</v>
      </c>
      <c r="ES658" s="1327"/>
      <c r="ET658" s="1327"/>
      <c r="EU658" s="1327"/>
      <c r="EV658" s="1327"/>
      <c r="EW658" s="1327" t="e">
        <f t="shared" si="7"/>
        <v>#VALUE!</v>
      </c>
      <c r="EX658" s="1327"/>
      <c r="EY658" s="1327"/>
      <c r="EZ658" s="1327"/>
      <c r="FA658" s="1327"/>
    </row>
    <row r="659" spans="1:157" ht="13.2" customHeight="1">
      <c r="A659" s="36" t="s">
        <v>86</v>
      </c>
      <c r="B659" t="s">
        <v>1408</v>
      </c>
      <c r="G659" s="1439">
        <f>C631</f>
        <v>0</v>
      </c>
      <c r="H659" s="1439"/>
      <c r="I659" s="1439"/>
      <c r="J659" s="1439"/>
      <c r="K659" s="1439"/>
      <c r="L659" s="1439"/>
      <c r="M659" s="1439"/>
      <c r="N659" s="1439"/>
      <c r="O659" s="1439"/>
      <c r="P659" s="1439"/>
      <c r="Q659" s="1439"/>
      <c r="R659" s="1439"/>
      <c r="T659" s="36" t="s">
        <v>1399</v>
      </c>
      <c r="U659" t="s">
        <v>1408</v>
      </c>
      <c r="Z659" s="1439">
        <f>C632</f>
        <v>0</v>
      </c>
      <c r="AA659" s="1439"/>
      <c r="AB659" s="1439"/>
      <c r="AC659" s="1439"/>
      <c r="AD659" s="1439"/>
      <c r="AE659" s="1439"/>
      <c r="AF659" s="1439"/>
      <c r="AG659" s="1439"/>
      <c r="AH659" s="1439"/>
      <c r="AI659" s="1439"/>
      <c r="AJ659" s="1439"/>
      <c r="AK659" s="1439"/>
      <c r="AZ659" s="2"/>
      <c r="BA659" s="2"/>
      <c r="BB659" s="2"/>
      <c r="BC659" s="2"/>
      <c r="BD659" s="2"/>
      <c r="BE659" s="2"/>
      <c r="BF659" s="2"/>
      <c r="BG659" s="2"/>
      <c r="BH659" s="2"/>
      <c r="BI659" s="2"/>
      <c r="BJ659" s="2"/>
      <c r="BK659" s="2"/>
      <c r="BL659" s="2"/>
      <c r="BM659" s="2"/>
      <c r="DX659" s="1327" t="e">
        <f t="shared" si="2"/>
        <v>#VALUE!</v>
      </c>
      <c r="DY659" s="1327"/>
      <c r="DZ659" s="1327"/>
      <c r="EA659" s="1327"/>
      <c r="EB659" s="1327"/>
      <c r="EC659" s="1327" t="e">
        <f t="shared" si="3"/>
        <v>#VALUE!</v>
      </c>
      <c r="ED659" s="1327"/>
      <c r="EE659" s="1327"/>
      <c r="EF659" s="1327"/>
      <c r="EG659" s="1327"/>
      <c r="EH659" s="1327" t="e">
        <f t="shared" si="4"/>
        <v>#VALUE!</v>
      </c>
      <c r="EI659" s="1327"/>
      <c r="EJ659" s="1327"/>
      <c r="EK659" s="1327"/>
      <c r="EL659" s="1327"/>
      <c r="EM659" s="1327" t="e">
        <f t="shared" si="5"/>
        <v>#VALUE!</v>
      </c>
      <c r="EN659" s="1327"/>
      <c r="EO659" s="1327"/>
      <c r="EP659" s="1327"/>
      <c r="EQ659" s="1327"/>
      <c r="ER659" s="1327" t="e">
        <f t="shared" si="6"/>
        <v>#VALUE!</v>
      </c>
      <c r="ES659" s="1327"/>
      <c r="ET659" s="1327"/>
      <c r="EU659" s="1327"/>
      <c r="EV659" s="1327"/>
      <c r="EW659" s="1327" t="e">
        <f t="shared" si="7"/>
        <v>#VALUE!</v>
      </c>
      <c r="EX659" s="1327"/>
      <c r="EY659" s="1327"/>
      <c r="EZ659" s="1327"/>
      <c r="FA659" s="1327"/>
    </row>
    <row r="660" spans="1:157" ht="13.2" customHeight="1">
      <c r="A660" s="17"/>
      <c r="B660" t="s">
        <v>1063</v>
      </c>
      <c r="G660" s="1362"/>
      <c r="H660" s="1362"/>
      <c r="I660" s="1362"/>
      <c r="J660" s="1362"/>
      <c r="K660" s="1362"/>
      <c r="L660" s="1362"/>
      <c r="M660" s="1362"/>
      <c r="N660" s="1362"/>
      <c r="O660" s="1362"/>
      <c r="P660" s="1362"/>
      <c r="Q660" s="1362"/>
      <c r="R660" s="1362"/>
      <c r="T660" s="17"/>
      <c r="U660" t="s">
        <v>1063</v>
      </c>
      <c r="Z660" s="1362"/>
      <c r="AA660" s="1362"/>
      <c r="AB660" s="1362"/>
      <c r="AC660" s="1362"/>
      <c r="AD660" s="1362"/>
      <c r="AE660" s="1362"/>
      <c r="AF660" s="1362"/>
      <c r="AG660" s="1362"/>
      <c r="AH660" s="1362"/>
      <c r="AI660" s="1362"/>
      <c r="AJ660" s="1362"/>
      <c r="AK660" s="1362"/>
      <c r="AZ660" s="2"/>
      <c r="BA660" s="2"/>
      <c r="BB660" s="2"/>
      <c r="BC660" s="2"/>
      <c r="BD660" s="2"/>
      <c r="BE660" s="2"/>
      <c r="BF660" s="2"/>
      <c r="BG660" s="2"/>
      <c r="BH660" s="2"/>
      <c r="BI660" s="2"/>
      <c r="BJ660" s="2"/>
      <c r="BK660" s="2"/>
      <c r="BL660" s="2"/>
      <c r="BM660" s="2"/>
      <c r="DX660" s="1327" t="e">
        <f t="shared" si="2"/>
        <v>#VALUE!</v>
      </c>
      <c r="DY660" s="1327"/>
      <c r="DZ660" s="1327"/>
      <c r="EA660" s="1327"/>
      <c r="EB660" s="1327"/>
      <c r="EC660" s="1327" t="e">
        <f t="shared" si="3"/>
        <v>#VALUE!</v>
      </c>
      <c r="ED660" s="1327"/>
      <c r="EE660" s="1327"/>
      <c r="EF660" s="1327"/>
      <c r="EG660" s="1327"/>
      <c r="EH660" s="1327" t="e">
        <f t="shared" si="4"/>
        <v>#VALUE!</v>
      </c>
      <c r="EI660" s="1327"/>
      <c r="EJ660" s="1327"/>
      <c r="EK660" s="1327"/>
      <c r="EL660" s="1327"/>
      <c r="EM660" s="1327" t="e">
        <f t="shared" si="5"/>
        <v>#VALUE!</v>
      </c>
      <c r="EN660" s="1327"/>
      <c r="EO660" s="1327"/>
      <c r="EP660" s="1327"/>
      <c r="EQ660" s="1327"/>
      <c r="ER660" s="1327" t="e">
        <f t="shared" si="6"/>
        <v>#VALUE!</v>
      </c>
      <c r="ES660" s="1327"/>
      <c r="ET660" s="1327"/>
      <c r="EU660" s="1327"/>
      <c r="EV660" s="1327"/>
      <c r="EW660" s="1327" t="e">
        <f t="shared" si="7"/>
        <v>#VALUE!</v>
      </c>
      <c r="EX660" s="1327"/>
      <c r="EY660" s="1327"/>
      <c r="EZ660" s="1327"/>
      <c r="FA660" s="1327"/>
    </row>
    <row r="661" spans="1:157" ht="13.2" customHeight="1">
      <c r="A661" s="17"/>
      <c r="B661" t="s">
        <v>931</v>
      </c>
      <c r="G661" s="1362"/>
      <c r="H661" s="1362"/>
      <c r="I661" s="1362"/>
      <c r="J661" s="1362"/>
      <c r="K661" s="1362"/>
      <c r="L661" s="1362"/>
      <c r="M661" s="1362"/>
      <c r="N661" s="1362"/>
      <c r="O661" s="1362"/>
      <c r="P661" s="1362"/>
      <c r="Q661" s="1362"/>
      <c r="R661" s="1362"/>
      <c r="T661" s="17"/>
      <c r="U661" t="s">
        <v>931</v>
      </c>
      <c r="Z661" s="1329"/>
      <c r="AA661" s="1329"/>
      <c r="AB661" s="1329"/>
      <c r="AC661" s="1329"/>
      <c r="AD661" s="1329"/>
      <c r="AE661" s="1329"/>
      <c r="AF661" s="1329"/>
      <c r="AG661" s="1329"/>
      <c r="AH661" s="1329"/>
      <c r="AI661" s="1329"/>
      <c r="AJ661" s="1329"/>
      <c r="AK661" s="1329"/>
      <c r="AZ661" s="2"/>
      <c r="BA661" s="2"/>
      <c r="BB661" s="2"/>
      <c r="BC661" s="2"/>
      <c r="BD661" s="2"/>
      <c r="BE661" s="2"/>
      <c r="BF661" s="2"/>
      <c r="BG661" s="2"/>
      <c r="BH661" s="2"/>
      <c r="BI661" s="2"/>
      <c r="BJ661" s="2"/>
      <c r="BK661" s="2"/>
      <c r="BL661" s="2"/>
      <c r="BM661" s="2"/>
      <c r="DX661" s="1327" t="e">
        <f t="shared" si="2"/>
        <v>#VALUE!</v>
      </c>
      <c r="DY661" s="1327"/>
      <c r="DZ661" s="1327"/>
      <c r="EA661" s="1327"/>
      <c r="EB661" s="1327"/>
      <c r="EC661" s="1327" t="e">
        <f t="shared" si="3"/>
        <v>#VALUE!</v>
      </c>
      <c r="ED661" s="1327"/>
      <c r="EE661" s="1327"/>
      <c r="EF661" s="1327"/>
      <c r="EG661" s="1327"/>
      <c r="EH661" s="1327" t="e">
        <f t="shared" si="4"/>
        <v>#VALUE!</v>
      </c>
      <c r="EI661" s="1327"/>
      <c r="EJ661" s="1327"/>
      <c r="EK661" s="1327"/>
      <c r="EL661" s="1327"/>
      <c r="EM661" s="1327" t="e">
        <f t="shared" si="5"/>
        <v>#VALUE!</v>
      </c>
      <c r="EN661" s="1327"/>
      <c r="EO661" s="1327"/>
      <c r="EP661" s="1327"/>
      <c r="EQ661" s="1327"/>
      <c r="ER661" s="1327" t="e">
        <f t="shared" si="6"/>
        <v>#VALUE!</v>
      </c>
      <c r="ES661" s="1327"/>
      <c r="ET661" s="1327"/>
      <c r="EU661" s="1327"/>
      <c r="EV661" s="1327"/>
      <c r="EW661" s="1327" t="e">
        <f t="shared" si="7"/>
        <v>#VALUE!</v>
      </c>
      <c r="EX661" s="1327"/>
      <c r="EY661" s="1327"/>
      <c r="EZ661" s="1327"/>
      <c r="FA661" s="1327"/>
    </row>
    <row r="662" spans="1:157" ht="13.2" customHeight="1">
      <c r="A662" s="17"/>
      <c r="B662" t="s">
        <v>1411</v>
      </c>
      <c r="G662" s="1362"/>
      <c r="H662" s="1362"/>
      <c r="I662" s="1362"/>
      <c r="J662" s="1362"/>
      <c r="K662" s="1362"/>
      <c r="L662" s="1362"/>
      <c r="M662" s="1362"/>
      <c r="N662" s="1362"/>
      <c r="O662" s="1362"/>
      <c r="P662" s="1362"/>
      <c r="Q662" s="1362"/>
      <c r="R662" s="1362"/>
      <c r="T662" s="17"/>
      <c r="U662" t="s">
        <v>1411</v>
      </c>
      <c r="Z662" s="1329"/>
      <c r="AA662" s="1329"/>
      <c r="AB662" s="1329"/>
      <c r="AC662" s="1329"/>
      <c r="AD662" s="1329"/>
      <c r="AE662" s="1329"/>
      <c r="AF662" s="1329"/>
      <c r="AG662" s="1329"/>
      <c r="AH662" s="1329"/>
      <c r="AI662" s="1329"/>
      <c r="AJ662" s="1329"/>
      <c r="AK662" s="1329"/>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27" t="e">
        <f t="shared" si="2"/>
        <v>#VALUE!</v>
      </c>
      <c r="DY662" s="1327"/>
      <c r="DZ662" s="1327"/>
      <c r="EA662" s="1327"/>
      <c r="EB662" s="1327"/>
      <c r="EC662" s="1327" t="e">
        <f t="shared" si="3"/>
        <v>#VALUE!</v>
      </c>
      <c r="ED662" s="1327"/>
      <c r="EE662" s="1327"/>
      <c r="EF662" s="1327"/>
      <c r="EG662" s="1327"/>
      <c r="EH662" s="1327" t="e">
        <f t="shared" si="4"/>
        <v>#VALUE!</v>
      </c>
      <c r="EI662" s="1327"/>
      <c r="EJ662" s="1327"/>
      <c r="EK662" s="1327"/>
      <c r="EL662" s="1327"/>
      <c r="EM662" s="1327" t="e">
        <f t="shared" si="5"/>
        <v>#VALUE!</v>
      </c>
      <c r="EN662" s="1327"/>
      <c r="EO662" s="1327"/>
      <c r="EP662" s="1327"/>
      <c r="EQ662" s="1327"/>
      <c r="ER662" s="1327" t="e">
        <f t="shared" si="6"/>
        <v>#VALUE!</v>
      </c>
      <c r="ES662" s="1327"/>
      <c r="ET662" s="1327"/>
      <c r="EU662" s="1327"/>
      <c r="EV662" s="1327"/>
      <c r="EW662" s="1327" t="e">
        <f t="shared" si="7"/>
        <v>#VALUE!</v>
      </c>
      <c r="EX662" s="1327"/>
      <c r="EY662" s="1327"/>
      <c r="EZ662" s="1327"/>
      <c r="FA662" s="1327"/>
    </row>
    <row r="663" spans="1:157" ht="13.2" customHeight="1">
      <c r="A663" s="17"/>
      <c r="B663" t="s">
        <v>824</v>
      </c>
      <c r="G663" s="1443"/>
      <c r="H663" s="1443"/>
      <c r="I663" s="1443"/>
      <c r="J663" s="1443"/>
      <c r="K663" s="1443"/>
      <c r="L663" s="1443"/>
      <c r="O663" s="819" t="s">
        <v>1070</v>
      </c>
      <c r="P663" s="1427"/>
      <c r="Q663" s="1427"/>
      <c r="R663" s="1427"/>
      <c r="T663" s="17"/>
      <c r="U663" t="s">
        <v>824</v>
      </c>
      <c r="Z663" s="1443"/>
      <c r="AA663" s="1443"/>
      <c r="AB663" s="1443"/>
      <c r="AC663" s="1443"/>
      <c r="AD663" s="1443"/>
      <c r="AE663" s="1443"/>
      <c r="AH663" s="819" t="s">
        <v>1070</v>
      </c>
      <c r="AI663" s="1427"/>
      <c r="AJ663" s="1427"/>
      <c r="AK663" s="1427"/>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27" t="e">
        <f t="shared" si="2"/>
        <v>#VALUE!</v>
      </c>
      <c r="DY663" s="1327"/>
      <c r="DZ663" s="1327"/>
      <c r="EA663" s="1327"/>
      <c r="EB663" s="1327"/>
      <c r="EC663" s="1327" t="e">
        <f t="shared" si="3"/>
        <v>#VALUE!</v>
      </c>
      <c r="ED663" s="1327"/>
      <c r="EE663" s="1327"/>
      <c r="EF663" s="1327"/>
      <c r="EG663" s="1327"/>
      <c r="EH663" s="1327" t="e">
        <f t="shared" si="4"/>
        <v>#VALUE!</v>
      </c>
      <c r="EI663" s="1327"/>
      <c r="EJ663" s="1327"/>
      <c r="EK663" s="1327"/>
      <c r="EL663" s="1327"/>
      <c r="EM663" s="1327" t="e">
        <f t="shared" si="5"/>
        <v>#VALUE!</v>
      </c>
      <c r="EN663" s="1327"/>
      <c r="EO663" s="1327"/>
      <c r="EP663" s="1327"/>
      <c r="EQ663" s="1327"/>
      <c r="ER663" s="1327" t="e">
        <f t="shared" si="6"/>
        <v>#VALUE!</v>
      </c>
      <c r="ES663" s="1327"/>
      <c r="ET663" s="1327"/>
      <c r="EU663" s="1327"/>
      <c r="EV663" s="1327"/>
      <c r="EW663" s="1327" t="e">
        <f t="shared" si="7"/>
        <v>#VALUE!</v>
      </c>
      <c r="EX663" s="1327"/>
      <c r="EY663" s="1327"/>
      <c r="EZ663" s="1327"/>
      <c r="FA663" s="1327"/>
    </row>
    <row r="664" spans="1:157" ht="13.2" customHeight="1">
      <c r="A664" s="17"/>
      <c r="B664" t="s">
        <v>1414</v>
      </c>
      <c r="H664" s="1362"/>
      <c r="I664" s="1362"/>
      <c r="J664" s="1362"/>
      <c r="K664" s="1362"/>
      <c r="L664" s="1362"/>
      <c r="M664" s="1362"/>
      <c r="N664" s="1362"/>
      <c r="O664" s="1362"/>
      <c r="P664" s="1362"/>
      <c r="Q664" s="1362"/>
      <c r="R664" s="1362"/>
      <c r="T664" s="17"/>
      <c r="U664" t="s">
        <v>1414</v>
      </c>
      <c r="AA664" s="1362"/>
      <c r="AB664" s="1362"/>
      <c r="AC664" s="1362"/>
      <c r="AD664" s="1362"/>
      <c r="AE664" s="1362"/>
      <c r="AF664" s="1362"/>
      <c r="AG664" s="1362"/>
      <c r="AH664" s="1362"/>
      <c r="AI664" s="1362"/>
      <c r="AJ664" s="1362"/>
      <c r="AK664" s="1362"/>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27" t="e">
        <f t="shared" si="2"/>
        <v>#VALUE!</v>
      </c>
      <c r="DY664" s="1327"/>
      <c r="DZ664" s="1327"/>
      <c r="EA664" s="1327"/>
      <c r="EB664" s="1327"/>
      <c r="EC664" s="1327" t="e">
        <f t="shared" si="3"/>
        <v>#VALUE!</v>
      </c>
      <c r="ED664" s="1327"/>
      <c r="EE664" s="1327"/>
      <c r="EF664" s="1327"/>
      <c r="EG664" s="1327"/>
      <c r="EH664" s="1327" t="e">
        <f t="shared" si="4"/>
        <v>#VALUE!</v>
      </c>
      <c r="EI664" s="1327"/>
      <c r="EJ664" s="1327"/>
      <c r="EK664" s="1327"/>
      <c r="EL664" s="1327"/>
      <c r="EM664" s="1327" t="e">
        <f t="shared" si="5"/>
        <v>#VALUE!</v>
      </c>
      <c r="EN664" s="1327"/>
      <c r="EO664" s="1327"/>
      <c r="EP664" s="1327"/>
      <c r="EQ664" s="1327"/>
      <c r="ER664" s="1327" t="e">
        <f t="shared" si="6"/>
        <v>#VALUE!</v>
      </c>
      <c r="ES664" s="1327"/>
      <c r="ET664" s="1327"/>
      <c r="EU664" s="1327"/>
      <c r="EV664" s="1327"/>
      <c r="EW664" s="1327" t="e">
        <f t="shared" si="7"/>
        <v>#VALUE!</v>
      </c>
      <c r="EX664" s="1327"/>
      <c r="EY664" s="1327"/>
      <c r="EZ664" s="1327"/>
      <c r="FA664" s="1327"/>
    </row>
    <row r="665" spans="1:157" ht="13.2" customHeight="1">
      <c r="A665" s="17"/>
      <c r="B665" t="s">
        <v>1417</v>
      </c>
      <c r="N665" s="1370" t="s">
        <v>844</v>
      </c>
      <c r="O665" s="1370"/>
      <c r="T665" s="17"/>
      <c r="U665" t="s">
        <v>1417</v>
      </c>
      <c r="AG665" s="1370" t="s">
        <v>844</v>
      </c>
      <c r="AH665" s="1370"/>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27" t="e">
        <f t="shared" si="2"/>
        <v>#VALUE!</v>
      </c>
      <c r="DY665" s="1327"/>
      <c r="DZ665" s="1327"/>
      <c r="EA665" s="1327"/>
      <c r="EB665" s="1327"/>
      <c r="EC665" s="1327" t="e">
        <f t="shared" si="3"/>
        <v>#VALUE!</v>
      </c>
      <c r="ED665" s="1327"/>
      <c r="EE665" s="1327"/>
      <c r="EF665" s="1327"/>
      <c r="EG665" s="1327"/>
      <c r="EH665" s="1327" t="e">
        <f t="shared" si="4"/>
        <v>#VALUE!</v>
      </c>
      <c r="EI665" s="1327"/>
      <c r="EJ665" s="1327"/>
      <c r="EK665" s="1327"/>
      <c r="EL665" s="1327"/>
      <c r="EM665" s="1327" t="e">
        <f t="shared" si="5"/>
        <v>#VALUE!</v>
      </c>
      <c r="EN665" s="1327"/>
      <c r="EO665" s="1327"/>
      <c r="EP665" s="1327"/>
      <c r="EQ665" s="1327"/>
      <c r="ER665" s="1327" t="e">
        <f t="shared" si="6"/>
        <v>#VALUE!</v>
      </c>
      <c r="ES665" s="1327"/>
      <c r="ET665" s="1327"/>
      <c r="EU665" s="1327"/>
      <c r="EV665" s="1327"/>
      <c r="EW665" s="1327" t="e">
        <f t="shared" si="7"/>
        <v>#VALUE!</v>
      </c>
      <c r="EX665" s="1327"/>
      <c r="EY665" s="1327"/>
      <c r="EZ665" s="1327"/>
      <c r="FA665" s="1327"/>
    </row>
    <row r="666" spans="1:157" ht="13.2"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27" t="e">
        <f t="shared" si="2"/>
        <v>#VALUE!</v>
      </c>
      <c r="DY666" s="1327"/>
      <c r="DZ666" s="1327"/>
      <c r="EA666" s="1327"/>
      <c r="EB666" s="1327"/>
      <c r="EC666" s="1327" t="e">
        <f t="shared" si="3"/>
        <v>#VALUE!</v>
      </c>
      <c r="ED666" s="1327"/>
      <c r="EE666" s="1327"/>
      <c r="EF666" s="1327"/>
      <c r="EG666" s="1327"/>
      <c r="EH666" s="1327" t="e">
        <f t="shared" si="4"/>
        <v>#VALUE!</v>
      </c>
      <c r="EI666" s="1327"/>
      <c r="EJ666" s="1327"/>
      <c r="EK666" s="1327"/>
      <c r="EL666" s="1327"/>
      <c r="EM666" s="1327" t="e">
        <f t="shared" si="5"/>
        <v>#VALUE!</v>
      </c>
      <c r="EN666" s="1327"/>
      <c r="EO666" s="1327"/>
      <c r="EP666" s="1327"/>
      <c r="EQ666" s="1327"/>
      <c r="ER666" s="1327" t="e">
        <f t="shared" si="6"/>
        <v>#VALUE!</v>
      </c>
      <c r="ES666" s="1327"/>
      <c r="ET666" s="1327"/>
      <c r="EU666" s="1327"/>
      <c r="EV666" s="1327"/>
      <c r="EW666" s="1327" t="e">
        <f t="shared" si="7"/>
        <v>#VALUE!</v>
      </c>
      <c r="EX666" s="1327"/>
      <c r="EY666" s="1327"/>
      <c r="EZ666" s="1327"/>
      <c r="FA666" s="1327"/>
    </row>
    <row r="667" spans="1:157" ht="13.2" customHeight="1">
      <c r="A667" s="36" t="s">
        <v>1400</v>
      </c>
      <c r="B667" t="s">
        <v>1408</v>
      </c>
      <c r="G667" s="1439">
        <f>C633</f>
        <v>0</v>
      </c>
      <c r="H667" s="1439"/>
      <c r="I667" s="1439"/>
      <c r="J667" s="1439"/>
      <c r="K667" s="1439"/>
      <c r="L667" s="1439"/>
      <c r="M667" s="1439"/>
      <c r="N667" s="1439"/>
      <c r="O667" s="1439"/>
      <c r="P667" s="1439"/>
      <c r="Q667" s="1439"/>
      <c r="R667" s="1439"/>
      <c r="T667" s="36" t="s">
        <v>1402</v>
      </c>
      <c r="U667" t="s">
        <v>1408</v>
      </c>
      <c r="Z667" s="1439">
        <f>C634</f>
        <v>0</v>
      </c>
      <c r="AA667" s="1439"/>
      <c r="AB667" s="1439"/>
      <c r="AC667" s="1439"/>
      <c r="AD667" s="1439"/>
      <c r="AE667" s="1439"/>
      <c r="AF667" s="1439"/>
      <c r="AG667" s="1439"/>
      <c r="AH667" s="1439"/>
      <c r="AI667" s="1439"/>
      <c r="AJ667" s="1439"/>
      <c r="AK667" s="1439"/>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27" t="e">
        <f t="shared" si="2"/>
        <v>#VALUE!</v>
      </c>
      <c r="DY667" s="1327"/>
      <c r="DZ667" s="1327"/>
      <c r="EA667" s="1327"/>
      <c r="EB667" s="1327"/>
      <c r="EC667" s="1327" t="e">
        <f t="shared" si="3"/>
        <v>#VALUE!</v>
      </c>
      <c r="ED667" s="1327"/>
      <c r="EE667" s="1327"/>
      <c r="EF667" s="1327"/>
      <c r="EG667" s="1327"/>
      <c r="EH667" s="1327" t="e">
        <f t="shared" si="4"/>
        <v>#VALUE!</v>
      </c>
      <c r="EI667" s="1327"/>
      <c r="EJ667" s="1327"/>
      <c r="EK667" s="1327"/>
      <c r="EL667" s="1327"/>
      <c r="EM667" s="1327" t="e">
        <f t="shared" si="5"/>
        <v>#VALUE!</v>
      </c>
      <c r="EN667" s="1327"/>
      <c r="EO667" s="1327"/>
      <c r="EP667" s="1327"/>
      <c r="EQ667" s="1327"/>
      <c r="ER667" s="1327" t="e">
        <f t="shared" si="6"/>
        <v>#VALUE!</v>
      </c>
      <c r="ES667" s="1327"/>
      <c r="ET667" s="1327"/>
      <c r="EU667" s="1327"/>
      <c r="EV667" s="1327"/>
      <c r="EW667" s="1327" t="e">
        <f t="shared" si="7"/>
        <v>#VALUE!</v>
      </c>
      <c r="EX667" s="1327"/>
      <c r="EY667" s="1327"/>
      <c r="EZ667" s="1327"/>
      <c r="FA667" s="1327"/>
    </row>
    <row r="668" spans="1:157" ht="13.2" customHeight="1">
      <c r="A668" s="17"/>
      <c r="B668" t="s">
        <v>1063</v>
      </c>
      <c r="G668" s="1362"/>
      <c r="H668" s="1362"/>
      <c r="I668" s="1362"/>
      <c r="J668" s="1362"/>
      <c r="K668" s="1362"/>
      <c r="L668" s="1362"/>
      <c r="M668" s="1362"/>
      <c r="N668" s="1362"/>
      <c r="O668" s="1362"/>
      <c r="P668" s="1362"/>
      <c r="Q668" s="1362"/>
      <c r="R668" s="1362"/>
      <c r="T668" s="17"/>
      <c r="U668" t="s">
        <v>1063</v>
      </c>
      <c r="Z668" s="1362"/>
      <c r="AA668" s="1362"/>
      <c r="AB668" s="1362"/>
      <c r="AC668" s="1362"/>
      <c r="AD668" s="1362"/>
      <c r="AE668" s="1362"/>
      <c r="AF668" s="1362"/>
      <c r="AG668" s="1362"/>
      <c r="AH668" s="1362"/>
      <c r="AI668" s="1362"/>
      <c r="AJ668" s="1362"/>
      <c r="AK668" s="1362"/>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27" t="e">
        <f t="shared" si="2"/>
        <v>#VALUE!</v>
      </c>
      <c r="DY668" s="1327"/>
      <c r="DZ668" s="1327"/>
      <c r="EA668" s="1327"/>
      <c r="EB668" s="1327"/>
      <c r="EC668" s="1327" t="e">
        <f t="shared" si="3"/>
        <v>#VALUE!</v>
      </c>
      <c r="ED668" s="1327"/>
      <c r="EE668" s="1327"/>
      <c r="EF668" s="1327"/>
      <c r="EG668" s="1327"/>
      <c r="EH668" s="1327" t="e">
        <f t="shared" si="4"/>
        <v>#VALUE!</v>
      </c>
      <c r="EI668" s="1327"/>
      <c r="EJ668" s="1327"/>
      <c r="EK668" s="1327"/>
      <c r="EL668" s="1327"/>
      <c r="EM668" s="1327" t="e">
        <f t="shared" si="5"/>
        <v>#VALUE!</v>
      </c>
      <c r="EN668" s="1327"/>
      <c r="EO668" s="1327"/>
      <c r="EP668" s="1327"/>
      <c r="EQ668" s="1327"/>
      <c r="ER668" s="1327" t="e">
        <f t="shared" si="6"/>
        <v>#VALUE!</v>
      </c>
      <c r="ES668" s="1327"/>
      <c r="ET668" s="1327"/>
      <c r="EU668" s="1327"/>
      <c r="EV668" s="1327"/>
      <c r="EW668" s="1327" t="e">
        <f t="shared" si="7"/>
        <v>#VALUE!</v>
      </c>
      <c r="EX668" s="1327"/>
      <c r="EY668" s="1327"/>
      <c r="EZ668" s="1327"/>
      <c r="FA668" s="1327"/>
    </row>
    <row r="669" spans="1:157" ht="13.2" customHeight="1">
      <c r="A669" s="17"/>
      <c r="B669" t="s">
        <v>931</v>
      </c>
      <c r="G669" s="1362"/>
      <c r="H669" s="1362"/>
      <c r="I669" s="1362"/>
      <c r="J669" s="1362"/>
      <c r="K669" s="1362"/>
      <c r="L669" s="1362"/>
      <c r="M669" s="1362"/>
      <c r="N669" s="1362"/>
      <c r="O669" s="1362"/>
      <c r="P669" s="1362"/>
      <c r="Q669" s="1362"/>
      <c r="R669" s="1362"/>
      <c r="T669" s="17"/>
      <c r="U669" t="s">
        <v>931</v>
      </c>
      <c r="Z669" s="1329"/>
      <c r="AA669" s="1329"/>
      <c r="AB669" s="1329"/>
      <c r="AC669" s="1329"/>
      <c r="AD669" s="1329"/>
      <c r="AE669" s="1329"/>
      <c r="AF669" s="1329"/>
      <c r="AG669" s="1329"/>
      <c r="AH669" s="1329"/>
      <c r="AI669" s="1329"/>
      <c r="AJ669" s="1329"/>
      <c r="AK669" s="1329"/>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27" t="e">
        <f t="shared" si="2"/>
        <v>#VALUE!</v>
      </c>
      <c r="DY669" s="1327"/>
      <c r="DZ669" s="1327"/>
      <c r="EA669" s="1327"/>
      <c r="EB669" s="1327"/>
      <c r="EC669" s="1327" t="e">
        <f t="shared" si="3"/>
        <v>#VALUE!</v>
      </c>
      <c r="ED669" s="1327"/>
      <c r="EE669" s="1327"/>
      <c r="EF669" s="1327"/>
      <c r="EG669" s="1327"/>
      <c r="EH669" s="1327" t="e">
        <f t="shared" si="4"/>
        <v>#VALUE!</v>
      </c>
      <c r="EI669" s="1327"/>
      <c r="EJ669" s="1327"/>
      <c r="EK669" s="1327"/>
      <c r="EL669" s="1327"/>
      <c r="EM669" s="1327" t="e">
        <f t="shared" si="5"/>
        <v>#VALUE!</v>
      </c>
      <c r="EN669" s="1327"/>
      <c r="EO669" s="1327"/>
      <c r="EP669" s="1327"/>
      <c r="EQ669" s="1327"/>
      <c r="ER669" s="1327" t="e">
        <f t="shared" si="6"/>
        <v>#VALUE!</v>
      </c>
      <c r="ES669" s="1327"/>
      <c r="ET669" s="1327"/>
      <c r="EU669" s="1327"/>
      <c r="EV669" s="1327"/>
      <c r="EW669" s="1327" t="e">
        <f t="shared" si="7"/>
        <v>#VALUE!</v>
      </c>
      <c r="EX669" s="1327"/>
      <c r="EY669" s="1327"/>
      <c r="EZ669" s="1327"/>
      <c r="FA669" s="1327"/>
    </row>
    <row r="670" spans="1:157" ht="13.2" customHeight="1">
      <c r="A670" s="17"/>
      <c r="B670" t="s">
        <v>1411</v>
      </c>
      <c r="G670" s="1362"/>
      <c r="H670" s="1362"/>
      <c r="I670" s="1362"/>
      <c r="J670" s="1362"/>
      <c r="K670" s="1362"/>
      <c r="L670" s="1362"/>
      <c r="M670" s="1362"/>
      <c r="N670" s="1362"/>
      <c r="O670" s="1362"/>
      <c r="P670" s="1362"/>
      <c r="Q670" s="1362"/>
      <c r="R670" s="1362"/>
      <c r="T670" s="17"/>
      <c r="U670" t="s">
        <v>1411</v>
      </c>
      <c r="Z670" s="1329"/>
      <c r="AA670" s="1329"/>
      <c r="AB670" s="1329"/>
      <c r="AC670" s="1329"/>
      <c r="AD670" s="1329"/>
      <c r="AE670" s="1329"/>
      <c r="AF670" s="1329"/>
      <c r="AG670" s="1329"/>
      <c r="AH670" s="1329"/>
      <c r="AI670" s="1329"/>
      <c r="AJ670" s="1329"/>
      <c r="AK670" s="1329"/>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27">
        <f>SUMIF(DX635:EB669,"&gt;0")</f>
        <v>0</v>
      </c>
      <c r="DY670" s="1327"/>
      <c r="DZ670" s="1327"/>
      <c r="EA670" s="1327"/>
      <c r="EB670" s="1327"/>
      <c r="EC670" s="1327">
        <f>SUMIF(EC635:EG669,"&gt;0")</f>
        <v>2201.2222222222222</v>
      </c>
      <c r="ED670" s="1327"/>
      <c r="EE670" s="1327"/>
      <c r="EF670" s="1327"/>
      <c r="EG670" s="1327"/>
      <c r="EH670" s="1327">
        <f>SUMIF(EH635:EL669,"&gt;0")</f>
        <v>2632.8928571428573</v>
      </c>
      <c r="EI670" s="1327"/>
      <c r="EJ670" s="1327"/>
      <c r="EK670" s="1327"/>
      <c r="EL670" s="1327"/>
      <c r="EM670" s="1327">
        <f>SUMIF(EM635:EQ669,"&gt;0")</f>
        <v>3029.8857142857141</v>
      </c>
      <c r="EN670" s="1327"/>
      <c r="EO670" s="1327"/>
      <c r="EP670" s="1327"/>
      <c r="EQ670" s="1327"/>
      <c r="ER670" s="1327">
        <f>SUMIF(ER635:EV669,"&gt;0")</f>
        <v>0</v>
      </c>
      <c r="ES670" s="1327"/>
      <c r="ET670" s="1327"/>
      <c r="EU670" s="1327"/>
      <c r="EV670" s="1327"/>
      <c r="EW670" s="1327">
        <f>SUMIF(EW635:FA669,"&gt;0")</f>
        <v>0</v>
      </c>
      <c r="EX670" s="1327"/>
      <c r="EY670" s="1327"/>
      <c r="EZ670" s="1327"/>
      <c r="FA670" s="1327"/>
    </row>
    <row r="671" spans="1:157" ht="13.2" customHeight="1">
      <c r="A671" s="17"/>
      <c r="B671" t="s">
        <v>824</v>
      </c>
      <c r="G671" s="1443"/>
      <c r="H671" s="1443"/>
      <c r="I671" s="1443"/>
      <c r="J671" s="1443"/>
      <c r="K671" s="1443"/>
      <c r="L671" s="1443"/>
      <c r="O671" s="819" t="s">
        <v>1070</v>
      </c>
      <c r="P671" s="1427"/>
      <c r="Q671" s="1427"/>
      <c r="R671" s="1427"/>
      <c r="T671" s="17"/>
      <c r="U671" t="s">
        <v>824</v>
      </c>
      <c r="Z671" s="1443"/>
      <c r="AA671" s="1443"/>
      <c r="AB671" s="1443"/>
      <c r="AC671" s="1443"/>
      <c r="AD671" s="1443"/>
      <c r="AE671" s="1443"/>
      <c r="AH671" s="819" t="s">
        <v>1070</v>
      </c>
      <c r="AI671" s="1427"/>
      <c r="AJ671" s="1427"/>
      <c r="AK671" s="1427"/>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2" customHeight="1">
      <c r="A672" s="17"/>
      <c r="B672" t="s">
        <v>1414</v>
      </c>
      <c r="H672" s="1362"/>
      <c r="I672" s="1362"/>
      <c r="J672" s="1362"/>
      <c r="K672" s="1362"/>
      <c r="L672" s="1362"/>
      <c r="M672" s="1362"/>
      <c r="N672" s="1362"/>
      <c r="O672" s="1362"/>
      <c r="P672" s="1362"/>
      <c r="Q672" s="1362"/>
      <c r="R672" s="1362"/>
      <c r="T672" s="17"/>
      <c r="U672" t="s">
        <v>1414</v>
      </c>
      <c r="AA672" s="1362"/>
      <c r="AB672" s="1362"/>
      <c r="AC672" s="1362"/>
      <c r="AD672" s="1362"/>
      <c r="AE672" s="1362"/>
      <c r="AF672" s="1362"/>
      <c r="AG672" s="1362"/>
      <c r="AH672" s="1362"/>
      <c r="AI672" s="1362"/>
      <c r="AJ672" s="1362"/>
      <c r="AK672" s="1362"/>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3.2" customHeight="1">
      <c r="A673" s="17"/>
      <c r="B673" t="s">
        <v>1417</v>
      </c>
      <c r="N673" s="1370" t="s">
        <v>844</v>
      </c>
      <c r="O673" s="1370"/>
      <c r="T673" s="17"/>
      <c r="U673" t="s">
        <v>1417</v>
      </c>
      <c r="AG673" s="1370" t="s">
        <v>844</v>
      </c>
      <c r="AH673" s="1370"/>
      <c r="AZ673" s="2"/>
    </row>
    <row r="674" spans="1:52" ht="13.2" customHeight="1">
      <c r="A674" s="17"/>
      <c r="T674" s="17"/>
      <c r="AZ674" s="2"/>
    </row>
    <row r="675" spans="1:52" ht="13.2" customHeight="1">
      <c r="A675" s="36" t="s">
        <v>1403</v>
      </c>
      <c r="B675" t="s">
        <v>1408</v>
      </c>
      <c r="G675" s="1439">
        <f>C635</f>
        <v>0</v>
      </c>
      <c r="H675" s="1439"/>
      <c r="I675" s="1439"/>
      <c r="J675" s="1439"/>
      <c r="K675" s="1439"/>
      <c r="L675" s="1439"/>
      <c r="M675" s="1439"/>
      <c r="N675" s="1439"/>
      <c r="O675" s="1439"/>
      <c r="P675" s="1439"/>
      <c r="Q675" s="1439"/>
      <c r="R675" s="1439"/>
      <c r="T675" s="36" t="s">
        <v>1404</v>
      </c>
      <c r="U675" t="s">
        <v>1408</v>
      </c>
      <c r="Z675" s="1439">
        <f>C636</f>
        <v>0</v>
      </c>
      <c r="AA675" s="1439"/>
      <c r="AB675" s="1439"/>
      <c r="AC675" s="1439"/>
      <c r="AD675" s="1439"/>
      <c r="AE675" s="1439"/>
      <c r="AF675" s="1439"/>
      <c r="AG675" s="1439"/>
      <c r="AH675" s="1439"/>
      <c r="AI675" s="1439"/>
      <c r="AJ675" s="1439"/>
      <c r="AK675" s="1439"/>
      <c r="AZ675" s="2"/>
    </row>
    <row r="676" spans="1:52" ht="13.2" customHeight="1">
      <c r="A676" s="17"/>
      <c r="B676" t="s">
        <v>1063</v>
      </c>
      <c r="G676" s="1362"/>
      <c r="H676" s="1362"/>
      <c r="I676" s="1362"/>
      <c r="J676" s="1362"/>
      <c r="K676" s="1362"/>
      <c r="L676" s="1362"/>
      <c r="M676" s="1362"/>
      <c r="N676" s="1362"/>
      <c r="O676" s="1362"/>
      <c r="P676" s="1362"/>
      <c r="Q676" s="1362"/>
      <c r="R676" s="1362"/>
      <c r="T676" s="17"/>
      <c r="U676" t="s">
        <v>1063</v>
      </c>
      <c r="Z676" s="1362"/>
      <c r="AA676" s="1362"/>
      <c r="AB676" s="1362"/>
      <c r="AC676" s="1362"/>
      <c r="AD676" s="1362"/>
      <c r="AE676" s="1362"/>
      <c r="AF676" s="1362"/>
      <c r="AG676" s="1362"/>
      <c r="AH676" s="1362"/>
      <c r="AI676" s="1362"/>
      <c r="AJ676" s="1362"/>
      <c r="AK676" s="1362"/>
      <c r="AZ676" s="2"/>
    </row>
    <row r="677" spans="1:52" ht="13.2" customHeight="1">
      <c r="A677" s="17"/>
      <c r="B677" t="s">
        <v>931</v>
      </c>
      <c r="G677" s="1362"/>
      <c r="H677" s="1362"/>
      <c r="I677" s="1362"/>
      <c r="J677" s="1362"/>
      <c r="K677" s="1362"/>
      <c r="L677" s="1362"/>
      <c r="M677" s="1362"/>
      <c r="N677" s="1362"/>
      <c r="O677" s="1362"/>
      <c r="P677" s="1362"/>
      <c r="Q677" s="1362"/>
      <c r="R677" s="1362"/>
      <c r="T677" s="17"/>
      <c r="U677" t="s">
        <v>931</v>
      </c>
      <c r="Z677" s="1329"/>
      <c r="AA677" s="1329"/>
      <c r="AB677" s="1329"/>
      <c r="AC677" s="1329"/>
      <c r="AD677" s="1329"/>
      <c r="AE677" s="1329"/>
      <c r="AF677" s="1329"/>
      <c r="AG677" s="1329"/>
      <c r="AH677" s="1329"/>
      <c r="AI677" s="1329"/>
      <c r="AJ677" s="1329"/>
      <c r="AK677" s="1329"/>
      <c r="AZ677" s="2"/>
    </row>
    <row r="678" spans="1:52" ht="13.2" customHeight="1">
      <c r="A678" s="17"/>
      <c r="B678" t="s">
        <v>1411</v>
      </c>
      <c r="G678" s="1362"/>
      <c r="H678" s="1362"/>
      <c r="I678" s="1362"/>
      <c r="J678" s="1362"/>
      <c r="K678" s="1362"/>
      <c r="L678" s="1362"/>
      <c r="M678" s="1362"/>
      <c r="N678" s="1362"/>
      <c r="O678" s="1362"/>
      <c r="P678" s="1362"/>
      <c r="Q678" s="1362"/>
      <c r="R678" s="1362"/>
      <c r="T678" s="17"/>
      <c r="U678" t="s">
        <v>1411</v>
      </c>
      <c r="Z678" s="1329"/>
      <c r="AA678" s="1329"/>
      <c r="AB678" s="1329"/>
      <c r="AC678" s="1329"/>
      <c r="AD678" s="1329"/>
      <c r="AE678" s="1329"/>
      <c r="AF678" s="1329"/>
      <c r="AG678" s="1329"/>
      <c r="AH678" s="1329"/>
      <c r="AI678" s="1329"/>
      <c r="AJ678" s="1329"/>
      <c r="AK678" s="1329"/>
      <c r="AZ678" s="2"/>
    </row>
    <row r="679" spans="1:52" ht="13.2" customHeight="1">
      <c r="A679" s="17"/>
      <c r="B679" t="s">
        <v>824</v>
      </c>
      <c r="G679" s="1443"/>
      <c r="H679" s="1443"/>
      <c r="I679" s="1443"/>
      <c r="J679" s="1443"/>
      <c r="K679" s="1443"/>
      <c r="L679" s="1443"/>
      <c r="O679" s="819" t="s">
        <v>1070</v>
      </c>
      <c r="P679" s="1427"/>
      <c r="Q679" s="1427"/>
      <c r="R679" s="1427"/>
      <c r="T679" s="17"/>
      <c r="U679" t="s">
        <v>824</v>
      </c>
      <c r="Z679" s="1443"/>
      <c r="AA679" s="1443"/>
      <c r="AB679" s="1443"/>
      <c r="AC679" s="1443"/>
      <c r="AD679" s="1443"/>
      <c r="AE679" s="1443"/>
      <c r="AH679" s="819" t="s">
        <v>1070</v>
      </c>
      <c r="AI679" s="1427"/>
      <c r="AJ679" s="1427"/>
      <c r="AK679" s="1427"/>
      <c r="AZ679" s="2"/>
    </row>
    <row r="680" spans="1:52" ht="13.2" customHeight="1">
      <c r="A680" s="17"/>
      <c r="B680" t="s">
        <v>1414</v>
      </c>
      <c r="H680" s="1362"/>
      <c r="I680" s="1362"/>
      <c r="J680" s="1362"/>
      <c r="K680" s="1362"/>
      <c r="L680" s="1362"/>
      <c r="M680" s="1362"/>
      <c r="N680" s="1362"/>
      <c r="O680" s="1362"/>
      <c r="P680" s="1362"/>
      <c r="Q680" s="1362"/>
      <c r="R680" s="1362"/>
      <c r="T680" s="17"/>
      <c r="U680" t="s">
        <v>1414</v>
      </c>
      <c r="AA680" s="1362"/>
      <c r="AB680" s="1362"/>
      <c r="AC680" s="1362"/>
      <c r="AD680" s="1362"/>
      <c r="AE680" s="1362"/>
      <c r="AF680" s="1362"/>
      <c r="AG680" s="1362"/>
      <c r="AH680" s="1362"/>
      <c r="AI680" s="1362"/>
      <c r="AJ680" s="1362"/>
      <c r="AK680" s="1362"/>
      <c r="AZ680" s="2"/>
    </row>
    <row r="681" spans="1:52" ht="13.2" customHeight="1">
      <c r="A681" s="17"/>
      <c r="B681" t="s">
        <v>1417</v>
      </c>
      <c r="N681" s="1370" t="s">
        <v>844</v>
      </c>
      <c r="O681" s="1370"/>
      <c r="T681" s="17"/>
      <c r="U681" t="s">
        <v>1417</v>
      </c>
      <c r="AG681" s="1370" t="s">
        <v>844</v>
      </c>
      <c r="AH681" s="1370"/>
      <c r="AZ681" s="2"/>
    </row>
    <row r="682" spans="1:52" ht="13.2" customHeight="1">
      <c r="A682" s="17"/>
      <c r="T682" s="17"/>
      <c r="AZ682" s="2"/>
    </row>
    <row r="683" spans="1:52" ht="13.2" customHeight="1">
      <c r="A683" s="36" t="s">
        <v>1405</v>
      </c>
      <c r="B683" t="s">
        <v>1408</v>
      </c>
      <c r="G683" s="1439">
        <f>C637</f>
        <v>0</v>
      </c>
      <c r="H683" s="1439"/>
      <c r="I683" s="1439"/>
      <c r="J683" s="1439"/>
      <c r="K683" s="1439"/>
      <c r="L683" s="1439"/>
      <c r="M683" s="1439"/>
      <c r="N683" s="1439"/>
      <c r="O683" s="1439"/>
      <c r="P683" s="1439"/>
      <c r="Q683" s="1439"/>
      <c r="R683" s="1439"/>
      <c r="T683" s="36" t="s">
        <v>1406</v>
      </c>
      <c r="U683" t="s">
        <v>1408</v>
      </c>
      <c r="Z683" s="1439">
        <f>C638</f>
        <v>0</v>
      </c>
      <c r="AA683" s="1439"/>
      <c r="AB683" s="1439"/>
      <c r="AC683" s="1439"/>
      <c r="AD683" s="1439"/>
      <c r="AE683" s="1439"/>
      <c r="AF683" s="1439"/>
      <c r="AG683" s="1439"/>
      <c r="AH683" s="1439"/>
      <c r="AI683" s="1439"/>
      <c r="AJ683" s="1439"/>
      <c r="AK683" s="1439"/>
      <c r="AZ683" s="2"/>
    </row>
    <row r="684" spans="1:52" ht="13.2" customHeight="1">
      <c r="B684" t="s">
        <v>1063</v>
      </c>
      <c r="G684" s="1362"/>
      <c r="H684" s="1362"/>
      <c r="I684" s="1362"/>
      <c r="J684" s="1362"/>
      <c r="K684" s="1362"/>
      <c r="L684" s="1362"/>
      <c r="M684" s="1362"/>
      <c r="N684" s="1362"/>
      <c r="O684" s="1362"/>
      <c r="P684" s="1362"/>
      <c r="Q684" s="1362"/>
      <c r="R684" s="1362"/>
      <c r="T684" s="17"/>
      <c r="U684" t="s">
        <v>1063</v>
      </c>
      <c r="Z684" s="1362"/>
      <c r="AA684" s="1362"/>
      <c r="AB684" s="1362"/>
      <c r="AC684" s="1362"/>
      <c r="AD684" s="1362"/>
      <c r="AE684" s="1362"/>
      <c r="AF684" s="1362"/>
      <c r="AG684" s="1362"/>
      <c r="AH684" s="1362"/>
      <c r="AI684" s="1362"/>
      <c r="AJ684" s="1362"/>
      <c r="AK684" s="1362"/>
      <c r="AZ684" s="2"/>
    </row>
    <row r="685" spans="1:52" ht="13.2" customHeight="1">
      <c r="B685" t="s">
        <v>931</v>
      </c>
      <c r="G685" s="1362"/>
      <c r="H685" s="1362"/>
      <c r="I685" s="1362"/>
      <c r="J685" s="1362"/>
      <c r="K685" s="1362"/>
      <c r="L685" s="1362"/>
      <c r="M685" s="1362"/>
      <c r="N685" s="1362"/>
      <c r="O685" s="1362"/>
      <c r="P685" s="1362"/>
      <c r="Q685" s="1362"/>
      <c r="R685" s="1362"/>
      <c r="U685" t="s">
        <v>931</v>
      </c>
      <c r="Z685" s="1329"/>
      <c r="AA685" s="1329"/>
      <c r="AB685" s="1329"/>
      <c r="AC685" s="1329"/>
      <c r="AD685" s="1329"/>
      <c r="AE685" s="1329"/>
      <c r="AF685" s="1329"/>
      <c r="AG685" s="1329"/>
      <c r="AH685" s="1329"/>
      <c r="AI685" s="1329"/>
      <c r="AJ685" s="1329"/>
      <c r="AK685" s="1329"/>
      <c r="AZ685" s="2"/>
    </row>
    <row r="686" spans="1:52" ht="13.2" customHeight="1">
      <c r="B686" t="s">
        <v>1411</v>
      </c>
      <c r="G686" s="1362"/>
      <c r="H686" s="1362"/>
      <c r="I686" s="1362"/>
      <c r="J686" s="1362"/>
      <c r="K686" s="1362"/>
      <c r="L686" s="1362"/>
      <c r="M686" s="1362"/>
      <c r="N686" s="1362"/>
      <c r="O686" s="1362"/>
      <c r="P686" s="1362"/>
      <c r="Q686" s="1362"/>
      <c r="R686" s="1362"/>
      <c r="U686" t="s">
        <v>1411</v>
      </c>
      <c r="Z686" s="1329"/>
      <c r="AA686" s="1329"/>
      <c r="AB686" s="1329"/>
      <c r="AC686" s="1329"/>
      <c r="AD686" s="1329"/>
      <c r="AE686" s="1329"/>
      <c r="AF686" s="1329"/>
      <c r="AG686" s="1329"/>
      <c r="AH686" s="1329"/>
      <c r="AI686" s="1329"/>
      <c r="AJ686" s="1329"/>
      <c r="AK686" s="1329"/>
      <c r="AZ686" s="2"/>
    </row>
    <row r="687" spans="1:52" ht="13.2" customHeight="1">
      <c r="B687" t="s">
        <v>824</v>
      </c>
      <c r="G687" s="1443"/>
      <c r="H687" s="1443"/>
      <c r="I687" s="1443"/>
      <c r="J687" s="1443"/>
      <c r="K687" s="1443"/>
      <c r="L687" s="1443"/>
      <c r="O687" s="819" t="s">
        <v>1070</v>
      </c>
      <c r="P687" s="1427"/>
      <c r="Q687" s="1427"/>
      <c r="R687" s="1427"/>
      <c r="U687" t="s">
        <v>824</v>
      </c>
      <c r="Z687" s="1443"/>
      <c r="AA687" s="1443"/>
      <c r="AB687" s="1443"/>
      <c r="AC687" s="1443"/>
      <c r="AD687" s="1443"/>
      <c r="AE687" s="1443"/>
      <c r="AH687" s="819" t="s">
        <v>1070</v>
      </c>
      <c r="AI687" s="1427"/>
      <c r="AJ687" s="1427"/>
      <c r="AK687" s="1427"/>
      <c r="AZ687" s="2"/>
    </row>
    <row r="688" spans="1:52" ht="13.2" customHeight="1">
      <c r="B688" t="s">
        <v>1414</v>
      </c>
      <c r="H688" s="1362"/>
      <c r="I688" s="1362"/>
      <c r="J688" s="1362"/>
      <c r="K688" s="1362"/>
      <c r="L688" s="1362"/>
      <c r="M688" s="1362"/>
      <c r="N688" s="1362"/>
      <c r="O688" s="1362"/>
      <c r="P688" s="1362"/>
      <c r="Q688" s="1362"/>
      <c r="R688" s="1362"/>
      <c r="U688" t="s">
        <v>1414</v>
      </c>
      <c r="AA688" s="1362"/>
      <c r="AB688" s="1362"/>
      <c r="AC688" s="1362"/>
      <c r="AD688" s="1362"/>
      <c r="AE688" s="1362"/>
      <c r="AF688" s="1362"/>
      <c r="AG688" s="1362"/>
      <c r="AH688" s="1362"/>
      <c r="AI688" s="1362"/>
      <c r="AJ688" s="1362"/>
      <c r="AK688" s="1362"/>
      <c r="AZ688" s="2"/>
    </row>
    <row r="689" spans="1:67" ht="13.2" customHeight="1">
      <c r="B689" t="s">
        <v>1417</v>
      </c>
      <c r="N689" s="1370" t="s">
        <v>844</v>
      </c>
      <c r="O689" s="1370"/>
      <c r="U689" t="s">
        <v>1417</v>
      </c>
      <c r="AG689" s="1370" t="s">
        <v>844</v>
      </c>
      <c r="AH689" s="1370"/>
      <c r="AZ689" s="2"/>
    </row>
    <row r="690" spans="1:67" ht="13.2" customHeight="1">
      <c r="AZ690" s="2"/>
    </row>
    <row r="691" spans="1:67" ht="13.2" customHeight="1">
      <c r="A691" s="1" t="s">
        <v>912</v>
      </c>
      <c r="C691" s="1" t="s">
        <v>179</v>
      </c>
      <c r="E691" s="1152"/>
      <c r="F691" s="1152"/>
      <c r="G691" s="1152"/>
      <c r="H691" s="1152"/>
      <c r="AZ691" s="2"/>
    </row>
    <row r="692" spans="1:67" ht="13.2" customHeight="1">
      <c r="B692" s="1173"/>
      <c r="C692" s="1173"/>
      <c r="D692" s="822" t="s">
        <v>1440</v>
      </c>
      <c r="E692" s="1173"/>
      <c r="F692" s="1173"/>
      <c r="G692" s="1173"/>
      <c r="H692" s="1173"/>
      <c r="AZ692" s="2"/>
    </row>
    <row r="693" spans="1:67" ht="13.2" customHeight="1">
      <c r="B693" s="1173"/>
      <c r="C693" s="1173"/>
      <c r="E693" s="822" t="s">
        <v>1441</v>
      </c>
      <c r="F693" s="1173"/>
      <c r="G693" s="1173"/>
      <c r="H693" s="1173"/>
      <c r="AE693" s="1370" t="s">
        <v>694</v>
      </c>
      <c r="AF693" s="1370"/>
      <c r="AZ693" s="2"/>
    </row>
    <row r="694" spans="1:67" ht="13.2" customHeight="1">
      <c r="B694" s="1173"/>
      <c r="C694" s="1173"/>
      <c r="D694" s="822" t="s">
        <v>1442</v>
      </c>
      <c r="E694" s="1173"/>
      <c r="F694" s="1173"/>
      <c r="G694" s="1173"/>
      <c r="H694" s="1173"/>
      <c r="AE694" s="1370" t="s">
        <v>694</v>
      </c>
      <c r="AF694" s="1370"/>
      <c r="AZ694" s="2"/>
    </row>
    <row r="695" spans="1:67" ht="13.2" customHeight="1">
      <c r="B695" s="1173"/>
      <c r="C695" s="1173"/>
      <c r="D695" s="822" t="s">
        <v>1443</v>
      </c>
      <c r="E695" s="1173"/>
      <c r="F695" s="1173"/>
      <c r="G695" s="1173"/>
      <c r="H695" s="1173"/>
      <c r="AE695" s="1461" t="s">
        <v>1444</v>
      </c>
      <c r="AF695" s="1461"/>
      <c r="AG695" s="1461"/>
      <c r="AH695" s="1461"/>
      <c r="AI695" s="1461"/>
    </row>
    <row r="696" spans="1:67" ht="13.2" customHeight="1">
      <c r="B696" s="1173"/>
      <c r="C696" s="1173"/>
      <c r="D696" s="197" t="s">
        <v>1445</v>
      </c>
      <c r="E696" s="1173"/>
      <c r="F696" s="1173"/>
      <c r="G696" s="1173"/>
      <c r="H696" s="1173"/>
      <c r="AE696" s="1598">
        <v>45874</v>
      </c>
      <c r="AF696" s="1598"/>
      <c r="AG696" s="1598"/>
      <c r="AH696" s="1598"/>
      <c r="AI696" s="1598"/>
    </row>
    <row r="697" spans="1:67" ht="13.2" customHeight="1">
      <c r="B697" s="1173"/>
      <c r="C697" s="1173"/>
    </row>
    <row r="698" spans="1:67" ht="13.2" customHeight="1">
      <c r="B698" s="1173"/>
      <c r="C698" s="1173"/>
      <c r="D698" s="822" t="s">
        <v>1446</v>
      </c>
      <c r="E698" s="1173"/>
      <c r="F698" s="1173"/>
      <c r="G698" s="1173"/>
      <c r="H698" s="1173"/>
      <c r="AE698" s="1461">
        <v>46023</v>
      </c>
      <c r="AF698" s="1461"/>
      <c r="AG698" s="1461"/>
      <c r="AH698" s="1461"/>
      <c r="AI698" s="1461"/>
    </row>
    <row r="699" spans="1:67" ht="13.2" customHeight="1">
      <c r="B699" s="1173"/>
      <c r="C699" s="1173"/>
      <c r="D699" s="822" t="s">
        <v>1447</v>
      </c>
      <c r="E699" s="1173"/>
      <c r="F699" s="1173"/>
      <c r="G699" s="1173"/>
      <c r="H699" s="1173"/>
      <c r="AE699" s="1627">
        <v>0.51</v>
      </c>
      <c r="AF699" s="1627"/>
      <c r="AG699" s="1627"/>
      <c r="AH699" s="1627"/>
      <c r="AI699" s="1627"/>
    </row>
    <row r="700" spans="1:67" ht="13.2" customHeight="1">
      <c r="B700" s="1173"/>
      <c r="C700" s="1173"/>
      <c r="D700" s="822" t="s">
        <v>1448</v>
      </c>
      <c r="E700" s="1173"/>
      <c r="F700" s="1173"/>
      <c r="G700" s="1173"/>
      <c r="H700" s="1173"/>
      <c r="W700" s="1439" t="str">
        <f>H335</f>
        <v>California Municipal Finance Authority</v>
      </c>
      <c r="X700" s="1439"/>
      <c r="Y700" s="1439"/>
      <c r="Z700" s="1439"/>
      <c r="AA700" s="1439"/>
      <c r="AB700" s="1439"/>
      <c r="AC700" s="1439"/>
      <c r="AD700" s="1439"/>
      <c r="AE700" s="1439"/>
      <c r="AF700" s="1439"/>
      <c r="AG700" s="1439"/>
      <c r="AH700" s="1439"/>
      <c r="AI700" s="1439"/>
      <c r="AJ700" s="1439"/>
      <c r="AK700" s="1439"/>
    </row>
    <row r="701" spans="1:67" ht="13.2" customHeight="1">
      <c r="B701" s="1173"/>
      <c r="C701" s="1173"/>
      <c r="D701" s="822"/>
      <c r="E701" s="1173"/>
      <c r="F701" s="1173"/>
      <c r="G701" s="1173"/>
      <c r="H701" s="1173"/>
    </row>
    <row r="702" spans="1:67" ht="13.2" customHeight="1">
      <c r="B702" s="1173"/>
      <c r="C702" s="1173"/>
      <c r="D702" s="822" t="s">
        <v>1449</v>
      </c>
      <c r="E702" s="1173"/>
      <c r="F702" s="1173"/>
      <c r="G702" s="1173"/>
      <c r="H702" s="1173"/>
      <c r="AE702" s="1370" t="s">
        <v>844</v>
      </c>
      <c r="AF702" s="1370"/>
      <c r="AZ702" s="2" t="s">
        <v>830</v>
      </c>
    </row>
    <row r="703" spans="1:67" ht="13.2" customHeight="1">
      <c r="B703" s="1173"/>
      <c r="C703" s="1173"/>
      <c r="D703" s="822" t="s">
        <v>1450</v>
      </c>
      <c r="E703" s="1173"/>
      <c r="F703" s="1173"/>
      <c r="G703" s="1173"/>
      <c r="H703" s="1173"/>
      <c r="W703" s="1362"/>
      <c r="X703" s="1362"/>
      <c r="Y703" s="1362"/>
      <c r="Z703" s="1362"/>
      <c r="AA703" s="1362"/>
      <c r="AB703" s="1362"/>
      <c r="AC703" s="1362"/>
      <c r="AD703" s="1362"/>
      <c r="AE703" s="1362"/>
      <c r="AF703" s="1362"/>
      <c r="AG703" s="1362"/>
      <c r="AH703" s="1362"/>
      <c r="AI703" s="1362"/>
      <c r="AJ703" s="1362"/>
      <c r="AK703" s="1362"/>
      <c r="AZ703" s="2" t="s">
        <v>831</v>
      </c>
    </row>
    <row r="704" spans="1:67" ht="13.2" customHeight="1">
      <c r="B704" s="1173"/>
      <c r="C704" s="1173"/>
      <c r="D704" s="822" t="s">
        <v>1067</v>
      </c>
      <c r="E704" s="1173"/>
      <c r="F704" s="1173"/>
      <c r="G704" s="1173"/>
      <c r="H704" s="1173"/>
      <c r="J704" s="1362"/>
      <c r="K704" s="1362"/>
      <c r="L704" s="1362"/>
      <c r="M704" s="1362"/>
      <c r="N704" s="1362"/>
      <c r="O704" s="1362"/>
      <c r="P704" s="1362"/>
      <c r="Q704" s="1362"/>
      <c r="R704" s="1362"/>
      <c r="S704" s="1362"/>
      <c r="T704" s="1362"/>
      <c r="U704" s="1362"/>
      <c r="V704" s="1362"/>
      <c r="W704" s="1362"/>
      <c r="X704" s="1362"/>
      <c r="AZ704" s="2" t="s">
        <v>832</v>
      </c>
      <c r="BB704" s="2"/>
      <c r="BC704" s="2"/>
      <c r="BD704" s="2"/>
      <c r="BE704" s="2"/>
      <c r="BF704" s="2"/>
      <c r="BJ704" s="2"/>
      <c r="BK704" s="2"/>
      <c r="BL704" s="2"/>
      <c r="BM704" s="2"/>
      <c r="BN704" s="2"/>
      <c r="BO704" s="2"/>
    </row>
    <row r="705" spans="1:185" ht="13.2" customHeight="1">
      <c r="B705" s="1173"/>
      <c r="C705" s="1173"/>
      <c r="D705" s="822" t="s">
        <v>1068</v>
      </c>
      <c r="J705" s="1443"/>
      <c r="K705" s="1443"/>
      <c r="L705" s="1443"/>
      <c r="M705" s="1443"/>
      <c r="N705" s="1443"/>
      <c r="O705" s="1443"/>
      <c r="P705" s="2" t="s">
        <v>1070</v>
      </c>
      <c r="Q705" s="2"/>
      <c r="R705" s="1427"/>
      <c r="S705" s="1427"/>
      <c r="T705" s="1427"/>
      <c r="AZ705" s="2" t="s">
        <v>833</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3.2" customHeight="1">
      <c r="B706" s="1173"/>
      <c r="C706" s="1173"/>
      <c r="D706" s="822" t="s">
        <v>1451</v>
      </c>
      <c r="W706" s="1362" t="s">
        <v>547</v>
      </c>
      <c r="X706" s="1362"/>
      <c r="Y706" s="1362"/>
      <c r="Z706" s="1362"/>
      <c r="AA706" s="1362"/>
      <c r="AB706" s="1362"/>
      <c r="AC706" s="1362"/>
      <c r="AD706" s="1362"/>
      <c r="AE706" s="1362"/>
      <c r="AF706" s="1362"/>
      <c r="AG706" s="1362"/>
      <c r="AH706" s="1362"/>
      <c r="AI706" s="1362"/>
      <c r="AJ706" s="1362"/>
      <c r="AK706" s="1362"/>
      <c r="AZ706" s="2" t="s">
        <v>834</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3.2" customHeight="1">
      <c r="B707" s="1173"/>
      <c r="C707" s="1173"/>
      <c r="D707" s="822"/>
      <c r="E707" s="1362" t="s">
        <v>1338</v>
      </c>
      <c r="F707" s="1362"/>
      <c r="G707" s="1362"/>
      <c r="H707" s="1362"/>
      <c r="I707" s="1362"/>
      <c r="J707" s="1362"/>
      <c r="K707" s="1362"/>
      <c r="L707" s="1362"/>
      <c r="M707" s="1362"/>
      <c r="N707" s="1362"/>
      <c r="O707" s="1362"/>
      <c r="P707" s="1362"/>
      <c r="Q707" s="1362"/>
      <c r="R707" s="1362"/>
      <c r="S707" s="1362"/>
      <c r="T707" s="1362"/>
      <c r="U707" s="1362"/>
      <c r="V707" s="1362"/>
      <c r="W707" s="1362"/>
      <c r="X707" s="1362"/>
      <c r="Y707" s="1362"/>
      <c r="Z707" s="1362"/>
      <c r="AA707" s="1362"/>
      <c r="AB707" s="1362"/>
      <c r="AC707" s="1362"/>
      <c r="AD707" s="1362"/>
      <c r="AE707" s="1362"/>
      <c r="AF707" s="1362"/>
      <c r="AG707" s="1362"/>
      <c r="AH707" s="1362"/>
      <c r="AI707" s="1362"/>
      <c r="AJ707" s="1362"/>
      <c r="AK707" s="1362"/>
      <c r="AZ707" s="2" t="s">
        <v>835</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3.2"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3.2" customHeight="1">
      <c r="A709" s="1234" t="s">
        <v>1452</v>
      </c>
      <c r="B709" s="1234"/>
      <c r="C709" s="1234"/>
      <c r="D709" s="1234"/>
      <c r="E709" s="1234"/>
      <c r="F709" s="1234"/>
      <c r="G709" s="1234"/>
      <c r="H709" s="1234"/>
      <c r="I709" s="1234"/>
      <c r="J709" s="1234"/>
      <c r="K709" s="1234"/>
      <c r="L709" s="1234"/>
      <c r="M709" s="1234"/>
      <c r="N709" s="1234"/>
      <c r="O709" s="1234"/>
      <c r="P709" s="1234"/>
      <c r="Q709" s="1234"/>
      <c r="R709" s="1234"/>
      <c r="S709" s="1234"/>
      <c r="T709" s="1234"/>
      <c r="U709" s="1234"/>
      <c r="V709" s="1234"/>
      <c r="W709" s="1234"/>
      <c r="X709" s="1234"/>
      <c r="Y709" s="1234"/>
      <c r="Z709" s="1234"/>
      <c r="AA709" s="1234"/>
      <c r="AB709" s="1234"/>
      <c r="AC709" s="1234"/>
      <c r="AD709" s="1234"/>
      <c r="AE709" s="1234"/>
      <c r="AF709" s="1234"/>
      <c r="AG709" s="1234"/>
      <c r="AH709" s="1234"/>
      <c r="AI709" s="1234"/>
      <c r="AJ709" s="1234"/>
      <c r="AK709" s="1234"/>
      <c r="AL709" s="1234"/>
      <c r="AM709" s="1234"/>
      <c r="AN709" s="1234"/>
      <c r="AO709" s="1234"/>
      <c r="AP709" s="1234"/>
      <c r="AQ709" s="1234"/>
      <c r="AR709" s="1234"/>
      <c r="AS709" s="1234"/>
      <c r="AT709" s="1234"/>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3.2" customHeight="1">
      <c r="A710" s="1234"/>
      <c r="B710" s="1234"/>
      <c r="C710" s="1234"/>
      <c r="D710" s="1234"/>
      <c r="E710" s="1234"/>
      <c r="F710" s="1234"/>
      <c r="G710" s="1234"/>
      <c r="H710" s="1234"/>
      <c r="I710" s="1234"/>
      <c r="J710" s="1234"/>
      <c r="K710" s="1234"/>
      <c r="L710" s="1234"/>
      <c r="M710" s="1234"/>
      <c r="N710" s="1234"/>
      <c r="O710" s="1234"/>
      <c r="P710" s="1234"/>
      <c r="Q710" s="1234"/>
      <c r="R710" s="1234"/>
      <c r="S710" s="1234"/>
      <c r="T710" s="1234"/>
      <c r="U710" s="1234"/>
      <c r="V710" s="1234"/>
      <c r="W710" s="1234"/>
      <c r="X710" s="1234"/>
      <c r="Y710" s="1234"/>
      <c r="Z710" s="1234"/>
      <c r="AA710" s="1234"/>
      <c r="AB710" s="1234"/>
      <c r="AC710" s="1234"/>
      <c r="AD710" s="1234"/>
      <c r="AE710" s="1234"/>
      <c r="AF710" s="1234"/>
      <c r="AG710" s="1234"/>
      <c r="AH710" s="1234"/>
      <c r="AI710" s="1234"/>
      <c r="AJ710" s="1234"/>
      <c r="AK710" s="1234"/>
      <c r="AL710" s="1234"/>
      <c r="AM710" s="1234"/>
      <c r="AN710" s="1234"/>
      <c r="AO710" s="1234"/>
      <c r="AP710" s="1234"/>
      <c r="AQ710" s="1234"/>
      <c r="AR710" s="1234"/>
      <c r="AS710" s="1234"/>
      <c r="AT710" s="1234"/>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3.2" customHeight="1">
      <c r="A711" s="1234"/>
      <c r="B711" s="1234"/>
      <c r="C711" s="1234"/>
      <c r="D711" s="1234"/>
      <c r="E711" s="1234"/>
      <c r="F711" s="1234"/>
      <c r="G711" s="1234"/>
      <c r="H711" s="1234"/>
      <c r="I711" s="1234"/>
      <c r="J711" s="1234"/>
      <c r="K711" s="1234"/>
      <c r="L711" s="1234"/>
      <c r="M711" s="1234"/>
      <c r="N711" s="1234"/>
      <c r="O711" s="1234"/>
      <c r="P711" s="1234"/>
      <c r="Q711" s="1234"/>
      <c r="R711" s="1234"/>
      <c r="S711" s="1234"/>
      <c r="T711" s="1234"/>
      <c r="U711" s="1234"/>
      <c r="V711" s="1234"/>
      <c r="W711" s="1234"/>
      <c r="X711" s="1234"/>
      <c r="Y711" s="1234"/>
      <c r="Z711" s="1234"/>
      <c r="AA711" s="1234"/>
      <c r="AB711" s="1234"/>
      <c r="AC711" s="1234"/>
      <c r="AD711" s="1234"/>
      <c r="AE711" s="1234"/>
      <c r="AF711" s="1234"/>
      <c r="AG711" s="1234"/>
      <c r="AH711" s="1234"/>
      <c r="AI711" s="1234"/>
      <c r="AJ711" s="1234"/>
      <c r="AK711" s="1234"/>
      <c r="AL711" s="1234"/>
      <c r="AM711" s="1234"/>
      <c r="AN711" s="1234"/>
      <c r="AO711" s="1234"/>
      <c r="AP711" s="1234"/>
      <c r="AQ711" s="1234"/>
      <c r="AR711" s="1234"/>
      <c r="AS711" s="1234"/>
      <c r="AT711" s="1234"/>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3.2" customHeight="1">
      <c r="A712" s="1" t="s">
        <v>871</v>
      </c>
      <c r="B712" s="1"/>
      <c r="C712" s="1" t="s">
        <v>1453</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3.2" customHeight="1">
      <c r="A713" s="1"/>
      <c r="B713" s="36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3.2" customHeight="1">
      <c r="B714" s="1449" t="s">
        <v>1454</v>
      </c>
      <c r="C714" s="1450"/>
      <c r="D714" s="1450"/>
      <c r="E714" s="1450"/>
      <c r="F714" s="1451"/>
      <c r="G714" s="1449" t="s">
        <v>1455</v>
      </c>
      <c r="H714" s="1450"/>
      <c r="I714" s="1450"/>
      <c r="J714" s="1451"/>
      <c r="K714" s="1465" t="s">
        <v>1456</v>
      </c>
      <c r="L714" s="1466"/>
      <c r="M714" s="1466"/>
      <c r="N714" s="1467"/>
      <c r="O714" s="1449" t="s">
        <v>1457</v>
      </c>
      <c r="P714" s="1450"/>
      <c r="Q714" s="1450"/>
      <c r="R714" s="1450"/>
      <c r="S714" s="1451"/>
      <c r="T714" s="1449" t="s">
        <v>1458</v>
      </c>
      <c r="U714" s="1450"/>
      <c r="V714" s="1450"/>
      <c r="W714" s="1451"/>
      <c r="X714" s="1449" t="s">
        <v>1459</v>
      </c>
      <c r="Y714" s="1450"/>
      <c r="Z714" s="1450"/>
      <c r="AA714" s="1450"/>
      <c r="AB714" s="1451"/>
      <c r="AC714" s="1449" t="s">
        <v>1460</v>
      </c>
      <c r="AD714" s="1450"/>
      <c r="AE714" s="1450"/>
      <c r="AF714" s="1450"/>
      <c r="AG714" s="1451"/>
      <c r="AH714" s="1449" t="s">
        <v>1461</v>
      </c>
      <c r="AI714" s="1450"/>
      <c r="AJ714" s="1451"/>
      <c r="AK714" s="1449" t="s">
        <v>1462</v>
      </c>
      <c r="AL714" s="1450"/>
      <c r="AM714" s="1450"/>
      <c r="AN714" s="1450"/>
      <c r="AO714" s="1451"/>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3.2" customHeight="1">
      <c r="B715" s="1452"/>
      <c r="C715" s="1453"/>
      <c r="D715" s="1453"/>
      <c r="E715" s="1453"/>
      <c r="F715" s="1454"/>
      <c r="G715" s="1452"/>
      <c r="H715" s="1453"/>
      <c r="I715" s="1453"/>
      <c r="J715" s="1454"/>
      <c r="K715" s="1468"/>
      <c r="L715" s="1469"/>
      <c r="M715" s="1469"/>
      <c r="N715" s="1470"/>
      <c r="O715" s="1452"/>
      <c r="P715" s="1453"/>
      <c r="Q715" s="1453"/>
      <c r="R715" s="1453"/>
      <c r="S715" s="1454"/>
      <c r="T715" s="1452"/>
      <c r="U715" s="1453"/>
      <c r="V715" s="1453"/>
      <c r="W715" s="1454"/>
      <c r="X715" s="1452"/>
      <c r="Y715" s="1453"/>
      <c r="Z715" s="1453"/>
      <c r="AA715" s="1453"/>
      <c r="AB715" s="1454"/>
      <c r="AC715" s="1452"/>
      <c r="AD715" s="1453"/>
      <c r="AE715" s="1453"/>
      <c r="AF715" s="1453"/>
      <c r="AG715" s="1454"/>
      <c r="AH715" s="1452"/>
      <c r="AI715" s="1453"/>
      <c r="AJ715" s="1454"/>
      <c r="AK715" s="1452"/>
      <c r="AL715" s="1453"/>
      <c r="AM715" s="1453"/>
      <c r="AN715" s="1453"/>
      <c r="AO715" s="1454"/>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3.2" customHeight="1">
      <c r="A716" s="2"/>
      <c r="B716" s="1452"/>
      <c r="C716" s="1453"/>
      <c r="D716" s="1453"/>
      <c r="E716" s="1453"/>
      <c r="F716" s="1454"/>
      <c r="G716" s="1452"/>
      <c r="H716" s="1453"/>
      <c r="I716" s="1453"/>
      <c r="J716" s="1454"/>
      <c r="K716" s="1468"/>
      <c r="L716" s="1469"/>
      <c r="M716" s="1469"/>
      <c r="N716" s="1470"/>
      <c r="O716" s="1452"/>
      <c r="P716" s="1453"/>
      <c r="Q716" s="1453"/>
      <c r="R716" s="1453"/>
      <c r="S716" s="1454"/>
      <c r="T716" s="1452"/>
      <c r="U716" s="1453"/>
      <c r="V716" s="1453"/>
      <c r="W716" s="1454"/>
      <c r="X716" s="1452"/>
      <c r="Y716" s="1453"/>
      <c r="Z716" s="1453"/>
      <c r="AA716" s="1453"/>
      <c r="AB716" s="1454"/>
      <c r="AC716" s="1452"/>
      <c r="AD716" s="1453"/>
      <c r="AE716" s="1453"/>
      <c r="AF716" s="1453"/>
      <c r="AG716" s="1454"/>
      <c r="AH716" s="1452"/>
      <c r="AI716" s="1453"/>
      <c r="AJ716" s="1454"/>
      <c r="AK716" s="1452"/>
      <c r="AL716" s="1453"/>
      <c r="AM716" s="1453"/>
      <c r="AN716" s="1453"/>
      <c r="AO716" s="1454"/>
      <c r="AP716" s="2"/>
      <c r="AQ716" s="2"/>
      <c r="AR716" s="2"/>
      <c r="AS716" s="2"/>
      <c r="BA716" s="2"/>
      <c r="BB716" s="2"/>
      <c r="BC716" s="2"/>
      <c r="BD716" s="2"/>
      <c r="BE716" s="113"/>
      <c r="BF716" s="114" t="s">
        <v>1463</v>
      </c>
      <c r="BG716" s="113"/>
      <c r="BH716" s="113"/>
      <c r="BI716" s="2"/>
      <c r="BJ716" s="2"/>
      <c r="BK716" s="2"/>
      <c r="BL716" s="2"/>
      <c r="BM716" s="2"/>
      <c r="BN716" s="2"/>
      <c r="BS716" s="114" t="s">
        <v>1464</v>
      </c>
      <c r="BT716" s="113"/>
      <c r="BU716" s="113"/>
      <c r="CC716" s="2"/>
      <c r="CD716" s="2"/>
      <c r="CE716" s="2"/>
      <c r="CF716" s="2"/>
      <c r="CG716" s="2"/>
      <c r="CH716" s="2"/>
      <c r="CI716" s="2"/>
      <c r="CJ716" s="2"/>
      <c r="CK716" s="2"/>
      <c r="CL716" s="2"/>
      <c r="CM716" s="2"/>
      <c r="CN716" s="2"/>
      <c r="CO716" s="2"/>
      <c r="CP716" s="2" t="s">
        <v>1465</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1466</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1467</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3.2" customHeight="1">
      <c r="A717" s="2"/>
      <c r="B717" s="1455"/>
      <c r="C717" s="1456"/>
      <c r="D717" s="1456"/>
      <c r="E717" s="1456"/>
      <c r="F717" s="1457"/>
      <c r="G717" s="1455"/>
      <c r="H717" s="1456"/>
      <c r="I717" s="1456"/>
      <c r="J717" s="1457"/>
      <c r="K717" s="1468"/>
      <c r="L717" s="1469"/>
      <c r="M717" s="1469"/>
      <c r="N717" s="1470"/>
      <c r="O717" s="1455"/>
      <c r="P717" s="1456"/>
      <c r="Q717" s="1456"/>
      <c r="R717" s="1456"/>
      <c r="S717" s="1457"/>
      <c r="T717" s="1455"/>
      <c r="U717" s="1456"/>
      <c r="V717" s="1456"/>
      <c r="W717" s="1457"/>
      <c r="X717" s="1455"/>
      <c r="Y717" s="1456"/>
      <c r="Z717" s="1456"/>
      <c r="AA717" s="1456"/>
      <c r="AB717" s="1457"/>
      <c r="AC717" s="1455"/>
      <c r="AD717" s="1456"/>
      <c r="AE717" s="1456"/>
      <c r="AF717" s="1456"/>
      <c r="AG717" s="1457"/>
      <c r="AH717" s="1455"/>
      <c r="AI717" s="1456"/>
      <c r="AJ717" s="1457"/>
      <c r="AK717" s="1455"/>
      <c r="AL717" s="1456"/>
      <c r="AM717" s="1456"/>
      <c r="AN717" s="1456"/>
      <c r="AO717" s="1457"/>
      <c r="AP717" s="2"/>
      <c r="AQ717" s="2"/>
      <c r="AR717" s="2"/>
      <c r="AS717" s="2"/>
      <c r="AZ717" s="57" t="s">
        <v>1468</v>
      </c>
      <c r="BA717" s="2"/>
      <c r="BB717" s="2"/>
      <c r="BC717" s="2"/>
      <c r="BD717" s="2"/>
      <c r="BE717" s="113"/>
      <c r="BF717" s="176" t="s">
        <v>1469</v>
      </c>
      <c r="BG717" s="180" t="s">
        <v>1470</v>
      </c>
      <c r="BH717" s="179" t="s">
        <v>1471</v>
      </c>
      <c r="BI717" s="2"/>
      <c r="BJ717" s="2"/>
      <c r="BK717" s="2"/>
      <c r="BL717" s="2"/>
      <c r="BM717" s="2"/>
      <c r="BN717" s="2"/>
      <c r="BS717" s="176" t="s">
        <v>1469</v>
      </c>
      <c r="BT717" s="180" t="s">
        <v>1470</v>
      </c>
      <c r="BU717" s="179" t="s">
        <v>1471</v>
      </c>
      <c r="CC717" s="2"/>
      <c r="CD717" s="2"/>
      <c r="CE717" s="2"/>
      <c r="CF717" s="2"/>
      <c r="CG717" s="1107" t="s">
        <v>1472</v>
      </c>
      <c r="CH717" s="1109"/>
      <c r="CI717" s="1299"/>
      <c r="CJ717" s="1301"/>
      <c r="CK717" s="1107" t="s">
        <v>1473</v>
      </c>
      <c r="CL717" s="1109"/>
      <c r="CM717" s="1299"/>
      <c r="CN717" s="1301"/>
      <c r="CO717" s="2"/>
      <c r="CP717" s="1731" t="s">
        <v>836</v>
      </c>
      <c r="CQ717" s="1732"/>
      <c r="CR717" s="1732"/>
      <c r="CS717" s="1732"/>
      <c r="CT717" s="1733"/>
      <c r="CU717" s="1444" t="s">
        <v>831</v>
      </c>
      <c r="CV717" s="1444"/>
      <c r="CW717" s="1444"/>
      <c r="CX717" s="1444"/>
      <c r="CY717" s="1444"/>
      <c r="CZ717" s="1444" t="s">
        <v>832</v>
      </c>
      <c r="DA717" s="1444"/>
      <c r="DB717" s="1444"/>
      <c r="DC717" s="1444"/>
      <c r="DD717" s="1444"/>
      <c r="DE717" s="1444" t="s">
        <v>833</v>
      </c>
      <c r="DF717" s="1444"/>
      <c r="DG717" s="1444"/>
      <c r="DH717" s="1444"/>
      <c r="DI717" s="1444"/>
      <c r="DJ717" s="1444" t="s">
        <v>837</v>
      </c>
      <c r="DK717" s="1444"/>
      <c r="DL717" s="1444"/>
      <c r="DM717" s="1444"/>
      <c r="DN717" s="1444"/>
      <c r="DO717" s="1444" t="s">
        <v>835</v>
      </c>
      <c r="DP717" s="1444"/>
      <c r="DQ717" s="1444"/>
      <c r="DR717" s="1444"/>
      <c r="DS717" s="1444"/>
      <c r="DT717" s="1170"/>
      <c r="DU717" s="1444" t="s">
        <v>836</v>
      </c>
      <c r="DV717" s="1444"/>
      <c r="DW717" s="1444"/>
      <c r="DX717" s="1444"/>
      <c r="DY717" s="1444"/>
      <c r="DZ717" s="1444" t="s">
        <v>831</v>
      </c>
      <c r="EA717" s="1444"/>
      <c r="EB717" s="1444"/>
      <c r="EC717" s="1444"/>
      <c r="ED717" s="1444"/>
      <c r="EE717" s="1444" t="s">
        <v>832</v>
      </c>
      <c r="EF717" s="1444"/>
      <c r="EG717" s="1444"/>
      <c r="EH717" s="1444"/>
      <c r="EI717" s="1444"/>
      <c r="EJ717" s="1444" t="s">
        <v>833</v>
      </c>
      <c r="EK717" s="1444"/>
      <c r="EL717" s="1444"/>
      <c r="EM717" s="1444"/>
      <c r="EN717" s="1444"/>
      <c r="EO717" s="1444" t="s">
        <v>837</v>
      </c>
      <c r="EP717" s="1444"/>
      <c r="EQ717" s="1444"/>
      <c r="ER717" s="1444"/>
      <c r="ES717" s="1444"/>
      <c r="ET717" s="1444" t="s">
        <v>835</v>
      </c>
      <c r="EU717" s="1444"/>
      <c r="EV717" s="1444"/>
      <c r="EW717" s="1444"/>
      <c r="EX717" s="1444"/>
      <c r="EY717" s="2"/>
      <c r="EZ717" s="1444" t="s">
        <v>836</v>
      </c>
      <c r="FA717" s="1444"/>
      <c r="FB717" s="1444"/>
      <c r="FC717" s="1444"/>
      <c r="FD717" s="1444"/>
      <c r="FE717" s="1444" t="s">
        <v>831</v>
      </c>
      <c r="FF717" s="1444"/>
      <c r="FG717" s="1444"/>
      <c r="FH717" s="1444"/>
      <c r="FI717" s="1444"/>
      <c r="FJ717" s="1444" t="s">
        <v>832</v>
      </c>
      <c r="FK717" s="1444"/>
      <c r="FL717" s="1444"/>
      <c r="FM717" s="1444"/>
      <c r="FN717" s="1444"/>
      <c r="FO717" s="1444" t="s">
        <v>833</v>
      </c>
      <c r="FP717" s="1444"/>
      <c r="FQ717" s="1444"/>
      <c r="FR717" s="1444"/>
      <c r="FS717" s="1444"/>
      <c r="FT717" s="1444" t="s">
        <v>837</v>
      </c>
      <c r="FU717" s="1444"/>
      <c r="FV717" s="1444"/>
      <c r="FW717" s="1444"/>
      <c r="FX717" s="1444"/>
      <c r="FY717" s="1444" t="s">
        <v>835</v>
      </c>
      <c r="FZ717" s="1444"/>
      <c r="GA717" s="1444"/>
      <c r="GB717" s="1444"/>
      <c r="GC717" s="1444"/>
    </row>
    <row r="718" spans="1:185" ht="13.2" customHeight="1">
      <c r="A718" s="2"/>
      <c r="B718" s="1313" t="s">
        <v>831</v>
      </c>
      <c r="C718" s="1314"/>
      <c r="D718" s="1314"/>
      <c r="E718" s="1314"/>
      <c r="F718" s="1315"/>
      <c r="G718" s="1322">
        <v>16</v>
      </c>
      <c r="H718" s="1323"/>
      <c r="I718" s="1323"/>
      <c r="J718" s="1324"/>
      <c r="K718" s="1539">
        <v>499</v>
      </c>
      <c r="L718" s="1540"/>
      <c r="M718" s="1540"/>
      <c r="N718" s="1541"/>
      <c r="O718" s="1424">
        <v>2578</v>
      </c>
      <c r="P718" s="1425"/>
      <c r="Q718" s="1425"/>
      <c r="R718" s="1425"/>
      <c r="S718" s="1426"/>
      <c r="T718" s="1424">
        <v>59</v>
      </c>
      <c r="U718" s="1425"/>
      <c r="V718" s="1425"/>
      <c r="W718" s="1426"/>
      <c r="X718" s="1316">
        <f t="shared" ref="X718:X741" si="8">O718+T718</f>
        <v>2637</v>
      </c>
      <c r="Y718" s="1317"/>
      <c r="Z718" s="1317"/>
      <c r="AA718" s="1317"/>
      <c r="AB718" s="1318"/>
      <c r="AC718" s="1548">
        <v>0.7</v>
      </c>
      <c r="AD718" s="1549"/>
      <c r="AE718" s="1549"/>
      <c r="AF718" s="1549"/>
      <c r="AG718" s="1550"/>
      <c r="AH718" s="1319">
        <f>IF($AC718&gt;0,($X718/$AZ718), "")</f>
        <v>0.69984076433121023</v>
      </c>
      <c r="AI718" s="1320"/>
      <c r="AJ718" s="1321"/>
      <c r="AK718" s="1313" t="s">
        <v>810</v>
      </c>
      <c r="AL718" s="1314"/>
      <c r="AM718" s="1314"/>
      <c r="AN718" s="1314"/>
      <c r="AO718" s="1315"/>
      <c r="AP718" s="2"/>
      <c r="AQ718" s="2"/>
      <c r="AR718" s="2"/>
      <c r="AS718" s="2"/>
      <c r="AZ718" s="68">
        <f t="shared" ref="AZ718:AZ752" si="9">IF($G718=0,"N/A",VLOOKUP($T$189,TC_Rent,(MATCH($B718,bedrooms,FALSE)),FALSE))</f>
        <v>3768</v>
      </c>
      <c r="BA718" s="2"/>
      <c r="BB718" s="2"/>
      <c r="BC718" s="2"/>
      <c r="BD718" s="2"/>
      <c r="BE718" s="113"/>
      <c r="BF718" s="177">
        <f t="shared" ref="BF718:BF752" si="10">G718</f>
        <v>16</v>
      </c>
      <c r="BG718" s="181">
        <f t="shared" ref="BG718:BG752" si="11">IF($BF$753=0,0,BF718/$BF$753)</f>
        <v>0.16161616161616163</v>
      </c>
      <c r="BH718" s="182">
        <f t="shared" ref="BH718:BH752" si="12">IF(BG718=0,"",BG718*AC718)</f>
        <v>0.11313131313131314</v>
      </c>
      <c r="BI718" s="2"/>
      <c r="BJ718" s="2"/>
      <c r="BK718" s="2"/>
      <c r="BL718" s="2"/>
      <c r="BM718" s="2"/>
      <c r="BN718" s="2"/>
      <c r="BS718" s="177">
        <f t="shared" ref="BS718:BS752" si="13">G718</f>
        <v>16</v>
      </c>
      <c r="BT718" s="181">
        <f t="shared" ref="BT718:BT752" si="14">IF($BS$753=0,0,BS718/$BS$753)</f>
        <v>0.16161616161616163</v>
      </c>
      <c r="BU718" s="182">
        <f t="shared" ref="BU718:BU752" si="15">IF(BT718=0,"",BT718*AH718)</f>
        <v>0.11310557807373095</v>
      </c>
      <c r="CC718" s="2"/>
      <c r="CD718" s="2"/>
      <c r="CE718" s="2"/>
      <c r="CF718" s="2"/>
      <c r="CG718" s="1299">
        <f>IF(AND(AC718&lt;=0.5,AC718&gt;=0.36),1,0)</f>
        <v>0</v>
      </c>
      <c r="CH718" s="1301"/>
      <c r="CI718" s="1299">
        <f>IF(CG718=1,G718,0)</f>
        <v>0</v>
      </c>
      <c r="CJ718" s="1301"/>
      <c r="CK718" s="1299">
        <f t="shared" ref="CK718:CK752" si="16">IF(AND(AC718&lt;=0.35,AC718&gt;0),1,0)</f>
        <v>0</v>
      </c>
      <c r="CL718" s="1301"/>
      <c r="CM718" s="1299">
        <f t="shared" ref="CM718:CM752" si="17">IF(CK718=1,G718,0)</f>
        <v>0</v>
      </c>
      <c r="CN718" s="1301"/>
      <c r="CO718" s="2"/>
      <c r="CP718" s="1296">
        <f t="shared" ref="CP718:CP752" si="18">IF(B718="SRO/Studio",G718,0)</f>
        <v>0</v>
      </c>
      <c r="CQ718" s="1297"/>
      <c r="CR718" s="1297"/>
      <c r="CS718" s="1297"/>
      <c r="CT718" s="1298"/>
      <c r="CU718" s="1312">
        <f t="shared" ref="CU718:CU752" si="19">IF(B718="1 Bedroom",G718,0)</f>
        <v>16</v>
      </c>
      <c r="CV718" s="1312"/>
      <c r="CW718" s="1312"/>
      <c r="CX718" s="1312"/>
      <c r="CY718" s="1312"/>
      <c r="CZ718" s="1312">
        <f t="shared" ref="CZ718:CZ752" si="20">IF(B718="2 Bedrooms",G718,0)</f>
        <v>0</v>
      </c>
      <c r="DA718" s="1312"/>
      <c r="DB718" s="1312"/>
      <c r="DC718" s="1312"/>
      <c r="DD718" s="1312"/>
      <c r="DE718" s="1312">
        <f t="shared" ref="DE718:DE752" si="21">IF(B718="3 Bedrooms",G718,0)</f>
        <v>0</v>
      </c>
      <c r="DF718" s="1312"/>
      <c r="DG718" s="1312"/>
      <c r="DH718" s="1312"/>
      <c r="DI718" s="1312"/>
      <c r="DJ718" s="1312">
        <f t="shared" ref="DJ718:DJ752" si="22">IF(B718="4 Bedrooms",G718,0)</f>
        <v>0</v>
      </c>
      <c r="DK718" s="1312"/>
      <c r="DL718" s="1312"/>
      <c r="DM718" s="1312"/>
      <c r="DN718" s="1312"/>
      <c r="DO718" s="1312">
        <f t="shared" ref="DO718:DO752" si="23">IF(B718="5 Bedrooms",G718,0)</f>
        <v>0</v>
      </c>
      <c r="DP718" s="1312"/>
      <c r="DQ718" s="1312"/>
      <c r="DR718" s="1312"/>
      <c r="DS718" s="1312"/>
      <c r="DT718" s="1179"/>
      <c r="DU718" s="1326">
        <f t="shared" ref="DU718:DU752" si="24">IF(AND(B718="SRO/Studio",AC718&lt;=0.3),G718,0)</f>
        <v>0</v>
      </c>
      <c r="DV718" s="1326"/>
      <c r="DW718" s="1326"/>
      <c r="DX718" s="1326"/>
      <c r="DY718" s="1326"/>
      <c r="DZ718" s="1326">
        <f t="shared" ref="DZ718:DZ752" si="25">IF(AND(B718="1 Bedroom",AC718&lt;=0.3),G718,0)</f>
        <v>0</v>
      </c>
      <c r="EA718" s="1326"/>
      <c r="EB718" s="1326"/>
      <c r="EC718" s="1326"/>
      <c r="ED718" s="1326"/>
      <c r="EE718" s="1326">
        <f t="shared" ref="EE718:EE752" si="26">IF(AND(B718="2 Bedrooms",AC718&lt;=0.3),G718,0)</f>
        <v>0</v>
      </c>
      <c r="EF718" s="1326"/>
      <c r="EG718" s="1326"/>
      <c r="EH718" s="1326"/>
      <c r="EI718" s="1326"/>
      <c r="EJ718" s="1326">
        <f t="shared" ref="EJ718:EJ752" si="27">IF(AND(B718="3 Bedrooms",AC718&lt;=0.3),G718,0)</f>
        <v>0</v>
      </c>
      <c r="EK718" s="1326"/>
      <c r="EL718" s="1326"/>
      <c r="EM718" s="1326"/>
      <c r="EN718" s="1326"/>
      <c r="EO718" s="1326">
        <f t="shared" ref="EO718:EO752" si="28">IF(AND(B718="4 Bedrooms",AC718&lt;=0.3),G718,0)</f>
        <v>0</v>
      </c>
      <c r="EP718" s="1326"/>
      <c r="EQ718" s="1326"/>
      <c r="ER718" s="1326"/>
      <c r="ES718" s="1326"/>
      <c r="ET718" s="1326">
        <f t="shared" ref="ET718:ET752" si="29">IF(AND(B718="5 Bedrooms",AC718&lt;=0.3),G718,0)</f>
        <v>0</v>
      </c>
      <c r="EU718" s="1326"/>
      <c r="EV718" s="1326"/>
      <c r="EW718" s="1326"/>
      <c r="EX718" s="1326"/>
      <c r="EY718" s="2"/>
      <c r="EZ718" s="1299" t="str">
        <f t="shared" ref="EZ718:EZ752" si="30">IF(CP718&gt;0,O718,"")</f>
        <v/>
      </c>
      <c r="FA718" s="1300"/>
      <c r="FB718" s="1300"/>
      <c r="FC718" s="1300"/>
      <c r="FD718" s="1301"/>
      <c r="FE718" s="1299">
        <f t="shared" ref="FE718:FE752" si="31">IF(CU718&gt;0,O718,"")</f>
        <v>2578</v>
      </c>
      <c r="FF718" s="1300"/>
      <c r="FG718" s="1300"/>
      <c r="FH718" s="1300"/>
      <c r="FI718" s="1301"/>
      <c r="FJ718" s="1299" t="str">
        <f t="shared" ref="FJ718:FJ752" si="32">IF(CZ718&gt;0,O718,"")</f>
        <v/>
      </c>
      <c r="FK718" s="1300"/>
      <c r="FL718" s="1300"/>
      <c r="FM718" s="1300"/>
      <c r="FN718" s="1301"/>
      <c r="FO718" s="1299" t="str">
        <f t="shared" ref="FO718:FO752" si="33">IF(DE718&gt;0,O718,"")</f>
        <v/>
      </c>
      <c r="FP718" s="1300"/>
      <c r="FQ718" s="1300"/>
      <c r="FR718" s="1300"/>
      <c r="FS718" s="1301"/>
      <c r="FT718" s="1299" t="str">
        <f t="shared" ref="FT718:FT752" si="34">IF(DJ718&gt;0,O718,"")</f>
        <v/>
      </c>
      <c r="FU718" s="1300"/>
      <c r="FV718" s="1300"/>
      <c r="FW718" s="1300"/>
      <c r="FX718" s="1301"/>
      <c r="FY718" s="1299" t="str">
        <f t="shared" ref="FY718:FY752" si="35">IF(DO718&gt;0,O718,"")</f>
        <v/>
      </c>
      <c r="FZ718" s="1300"/>
      <c r="GA718" s="1300"/>
      <c r="GB718" s="1300"/>
      <c r="GC718" s="1301"/>
    </row>
    <row r="719" spans="1:185" ht="13.2" customHeight="1">
      <c r="A719" s="2"/>
      <c r="B719" s="1313" t="s">
        <v>831</v>
      </c>
      <c r="C719" s="1314"/>
      <c r="D719" s="1314"/>
      <c r="E719" s="1314"/>
      <c r="F719" s="1315"/>
      <c r="G719" s="1322">
        <v>12</v>
      </c>
      <c r="H719" s="1323"/>
      <c r="I719" s="1323"/>
      <c r="J719" s="1324"/>
      <c r="K719" s="1539">
        <f>+K718</f>
        <v>499</v>
      </c>
      <c r="L719" s="1540"/>
      <c r="M719" s="1540"/>
      <c r="N719" s="1541"/>
      <c r="O719" s="1424">
        <v>2201</v>
      </c>
      <c r="P719" s="1425"/>
      <c r="Q719" s="1425"/>
      <c r="R719" s="1425"/>
      <c r="S719" s="1426"/>
      <c r="T719" s="1424">
        <v>59</v>
      </c>
      <c r="U719" s="1425"/>
      <c r="V719" s="1425"/>
      <c r="W719" s="1426"/>
      <c r="X719" s="1316">
        <f t="shared" si="8"/>
        <v>2260</v>
      </c>
      <c r="Y719" s="1317"/>
      <c r="Z719" s="1317"/>
      <c r="AA719" s="1317"/>
      <c r="AB719" s="1318"/>
      <c r="AC719" s="1548">
        <v>0.6</v>
      </c>
      <c r="AD719" s="1549"/>
      <c r="AE719" s="1549"/>
      <c r="AF719" s="1549"/>
      <c r="AG719" s="1550"/>
      <c r="AH719" s="1319">
        <f t="shared" ref="AH719:AH752" si="36">IF($AC719&gt;0,($X719/$AZ719), "")</f>
        <v>0.5997876857749469</v>
      </c>
      <c r="AI719" s="1320"/>
      <c r="AJ719" s="1321"/>
      <c r="AK719" s="1313" t="s">
        <v>810</v>
      </c>
      <c r="AL719" s="1314"/>
      <c r="AM719" s="1314"/>
      <c r="AN719" s="1314"/>
      <c r="AO719" s="1315"/>
      <c r="AP719" s="2"/>
      <c r="AQ719" s="2"/>
      <c r="AR719" s="2"/>
      <c r="AS719" s="2"/>
      <c r="AZ719" s="68">
        <f t="shared" si="9"/>
        <v>3768</v>
      </c>
      <c r="BA719" s="2"/>
      <c r="BB719" s="2"/>
      <c r="BC719" s="2"/>
      <c r="BD719" s="2"/>
      <c r="BE719" s="113"/>
      <c r="BF719" s="178">
        <f t="shared" si="10"/>
        <v>12</v>
      </c>
      <c r="BG719" s="181">
        <f t="shared" si="11"/>
        <v>0.12121212121212122</v>
      </c>
      <c r="BH719" s="182">
        <f t="shared" si="12"/>
        <v>7.2727272727272724E-2</v>
      </c>
      <c r="BI719" s="2"/>
      <c r="BJ719" s="2"/>
      <c r="BK719" s="2"/>
      <c r="BL719" s="2"/>
      <c r="BM719" s="2"/>
      <c r="BN719" s="2"/>
      <c r="BS719" s="178">
        <f t="shared" si="13"/>
        <v>12</v>
      </c>
      <c r="BT719" s="181">
        <f t="shared" si="14"/>
        <v>0.12121212121212122</v>
      </c>
      <c r="BU719" s="182">
        <f t="shared" si="15"/>
        <v>7.2701537669690536E-2</v>
      </c>
      <c r="CC719" s="2"/>
      <c r="CD719" s="2"/>
      <c r="CE719" s="2"/>
      <c r="CF719" s="2"/>
      <c r="CG719" s="1299">
        <f t="shared" ref="CG719:CG752" si="37">IF(AND(AC719&lt;=0.5,AC719&gt;=0.36),1,0)</f>
        <v>0</v>
      </c>
      <c r="CH719" s="1301"/>
      <c r="CI719" s="1299">
        <f t="shared" ref="CI719:CI752" si="38">IF(CG719=1,G719,0)</f>
        <v>0</v>
      </c>
      <c r="CJ719" s="1301"/>
      <c r="CK719" s="1299">
        <f t="shared" si="16"/>
        <v>0</v>
      </c>
      <c r="CL719" s="1301"/>
      <c r="CM719" s="1299">
        <f t="shared" si="17"/>
        <v>0</v>
      </c>
      <c r="CN719" s="1301"/>
      <c r="CO719" s="2"/>
      <c r="CP719" s="1296">
        <f t="shared" si="18"/>
        <v>0</v>
      </c>
      <c r="CQ719" s="1297"/>
      <c r="CR719" s="1297"/>
      <c r="CS719" s="1297"/>
      <c r="CT719" s="1298"/>
      <c r="CU719" s="1312">
        <f t="shared" si="19"/>
        <v>12</v>
      </c>
      <c r="CV719" s="1312"/>
      <c r="CW719" s="1312"/>
      <c r="CX719" s="1312"/>
      <c r="CY719" s="1312"/>
      <c r="CZ719" s="1312">
        <f t="shared" si="20"/>
        <v>0</v>
      </c>
      <c r="DA719" s="1312"/>
      <c r="DB719" s="1312"/>
      <c r="DC719" s="1312"/>
      <c r="DD719" s="1312"/>
      <c r="DE719" s="1312">
        <f t="shared" si="21"/>
        <v>0</v>
      </c>
      <c r="DF719" s="1312"/>
      <c r="DG719" s="1312"/>
      <c r="DH719" s="1312"/>
      <c r="DI719" s="1312"/>
      <c r="DJ719" s="1312">
        <f t="shared" si="22"/>
        <v>0</v>
      </c>
      <c r="DK719" s="1312"/>
      <c r="DL719" s="1312"/>
      <c r="DM719" s="1312"/>
      <c r="DN719" s="1312"/>
      <c r="DO719" s="1312">
        <f t="shared" si="23"/>
        <v>0</v>
      </c>
      <c r="DP719" s="1312"/>
      <c r="DQ719" s="1312"/>
      <c r="DR719" s="1312"/>
      <c r="DS719" s="1312"/>
      <c r="DT719" s="1179"/>
      <c r="DU719" s="1326">
        <f t="shared" si="24"/>
        <v>0</v>
      </c>
      <c r="DV719" s="1326"/>
      <c r="DW719" s="1326"/>
      <c r="DX719" s="1326"/>
      <c r="DY719" s="1326"/>
      <c r="DZ719" s="1326">
        <f t="shared" si="25"/>
        <v>0</v>
      </c>
      <c r="EA719" s="1326"/>
      <c r="EB719" s="1326"/>
      <c r="EC719" s="1326"/>
      <c r="ED719" s="1326"/>
      <c r="EE719" s="1326">
        <f t="shared" si="26"/>
        <v>0</v>
      </c>
      <c r="EF719" s="1326"/>
      <c r="EG719" s="1326"/>
      <c r="EH719" s="1326"/>
      <c r="EI719" s="1326"/>
      <c r="EJ719" s="1326">
        <f t="shared" si="27"/>
        <v>0</v>
      </c>
      <c r="EK719" s="1326"/>
      <c r="EL719" s="1326"/>
      <c r="EM719" s="1326"/>
      <c r="EN719" s="1326"/>
      <c r="EO719" s="1326">
        <f t="shared" si="28"/>
        <v>0</v>
      </c>
      <c r="EP719" s="1326"/>
      <c r="EQ719" s="1326"/>
      <c r="ER719" s="1326"/>
      <c r="ES719" s="1326"/>
      <c r="ET719" s="1326">
        <f t="shared" si="29"/>
        <v>0</v>
      </c>
      <c r="EU719" s="1326"/>
      <c r="EV719" s="1326"/>
      <c r="EW719" s="1326"/>
      <c r="EX719" s="1326"/>
      <c r="EY719" s="2"/>
      <c r="EZ719" s="1299" t="str">
        <f t="shared" si="30"/>
        <v/>
      </c>
      <c r="FA719" s="1300"/>
      <c r="FB719" s="1300"/>
      <c r="FC719" s="1300"/>
      <c r="FD719" s="1301"/>
      <c r="FE719" s="1299">
        <f t="shared" si="31"/>
        <v>2201</v>
      </c>
      <c r="FF719" s="1300"/>
      <c r="FG719" s="1300"/>
      <c r="FH719" s="1300"/>
      <c r="FI719" s="1301"/>
      <c r="FJ719" s="1299" t="str">
        <f t="shared" si="32"/>
        <v/>
      </c>
      <c r="FK719" s="1300"/>
      <c r="FL719" s="1300"/>
      <c r="FM719" s="1300"/>
      <c r="FN719" s="1301"/>
      <c r="FO719" s="1299" t="str">
        <f t="shared" si="33"/>
        <v/>
      </c>
      <c r="FP719" s="1300"/>
      <c r="FQ719" s="1300"/>
      <c r="FR719" s="1300"/>
      <c r="FS719" s="1301"/>
      <c r="FT719" s="1299" t="str">
        <f t="shared" si="34"/>
        <v/>
      </c>
      <c r="FU719" s="1300"/>
      <c r="FV719" s="1300"/>
      <c r="FW719" s="1300"/>
      <c r="FX719" s="1301"/>
      <c r="FY719" s="1299" t="str">
        <f t="shared" si="35"/>
        <v/>
      </c>
      <c r="FZ719" s="1300"/>
      <c r="GA719" s="1300"/>
      <c r="GB719" s="1300"/>
      <c r="GC719" s="1301"/>
    </row>
    <row r="720" spans="1:185" ht="13.2" customHeight="1">
      <c r="A720" s="2"/>
      <c r="B720" s="1313" t="s">
        <v>831</v>
      </c>
      <c r="C720" s="1314"/>
      <c r="D720" s="1314"/>
      <c r="E720" s="1314"/>
      <c r="F720" s="1315"/>
      <c r="G720" s="1322">
        <v>4</v>
      </c>
      <c r="H720" s="1323"/>
      <c r="I720" s="1323"/>
      <c r="J720" s="1324"/>
      <c r="K720" s="1539">
        <f>+K719</f>
        <v>499</v>
      </c>
      <c r="L720" s="1540"/>
      <c r="M720" s="1540"/>
      <c r="N720" s="1541"/>
      <c r="O720" s="1424">
        <v>1825</v>
      </c>
      <c r="P720" s="1425"/>
      <c r="Q720" s="1425"/>
      <c r="R720" s="1425"/>
      <c r="S720" s="1426"/>
      <c r="T720" s="1424">
        <v>59</v>
      </c>
      <c r="U720" s="1425"/>
      <c r="V720" s="1425"/>
      <c r="W720" s="1426"/>
      <c r="X720" s="1316">
        <f t="shared" si="8"/>
        <v>1884</v>
      </c>
      <c r="Y720" s="1317"/>
      <c r="Z720" s="1317"/>
      <c r="AA720" s="1317"/>
      <c r="AB720" s="1318"/>
      <c r="AC720" s="1548">
        <v>0.5</v>
      </c>
      <c r="AD720" s="1549"/>
      <c r="AE720" s="1549"/>
      <c r="AF720" s="1549"/>
      <c r="AG720" s="1550"/>
      <c r="AH720" s="1319">
        <f t="shared" si="36"/>
        <v>0.5</v>
      </c>
      <c r="AI720" s="1320"/>
      <c r="AJ720" s="1321"/>
      <c r="AK720" s="1313" t="s">
        <v>810</v>
      </c>
      <c r="AL720" s="1314"/>
      <c r="AM720" s="1314"/>
      <c r="AN720" s="1314"/>
      <c r="AO720" s="1315"/>
      <c r="AP720" s="2"/>
      <c r="AQ720" s="2"/>
      <c r="AR720" s="2"/>
      <c r="AS720" s="2"/>
      <c r="AZ720" s="68">
        <f t="shared" si="9"/>
        <v>3768</v>
      </c>
      <c r="BA720" s="2"/>
      <c r="BB720" s="2"/>
      <c r="BC720" s="2"/>
      <c r="BD720" s="2"/>
      <c r="BE720" s="113"/>
      <c r="BF720" s="178">
        <f t="shared" si="10"/>
        <v>4</v>
      </c>
      <c r="BG720" s="181">
        <f t="shared" si="11"/>
        <v>4.0404040404040407E-2</v>
      </c>
      <c r="BH720" s="182">
        <f t="shared" si="12"/>
        <v>2.0202020202020204E-2</v>
      </c>
      <c r="BI720" s="2"/>
      <c r="BJ720" s="2"/>
      <c r="BK720" s="2"/>
      <c r="BL720" s="2"/>
      <c r="BM720" s="2"/>
      <c r="BN720" s="2"/>
      <c r="BS720" s="178">
        <f t="shared" si="13"/>
        <v>4</v>
      </c>
      <c r="BT720" s="181">
        <f t="shared" si="14"/>
        <v>4.0404040404040407E-2</v>
      </c>
      <c r="BU720" s="182">
        <f t="shared" si="15"/>
        <v>2.0202020202020204E-2</v>
      </c>
      <c r="CC720" s="2"/>
      <c r="CD720" s="2"/>
      <c r="CE720" s="2"/>
      <c r="CF720" s="2"/>
      <c r="CG720" s="1299">
        <f t="shared" si="37"/>
        <v>1</v>
      </c>
      <c r="CH720" s="1301"/>
      <c r="CI720" s="1299">
        <f t="shared" si="38"/>
        <v>4</v>
      </c>
      <c r="CJ720" s="1301"/>
      <c r="CK720" s="1299">
        <f t="shared" si="16"/>
        <v>0</v>
      </c>
      <c r="CL720" s="1301"/>
      <c r="CM720" s="1299">
        <f t="shared" si="17"/>
        <v>0</v>
      </c>
      <c r="CN720" s="1301"/>
      <c r="CO720" s="2"/>
      <c r="CP720" s="1296">
        <f t="shared" si="18"/>
        <v>0</v>
      </c>
      <c r="CQ720" s="1297"/>
      <c r="CR720" s="1297"/>
      <c r="CS720" s="1297"/>
      <c r="CT720" s="1298"/>
      <c r="CU720" s="1312">
        <f t="shared" si="19"/>
        <v>4</v>
      </c>
      <c r="CV720" s="1312"/>
      <c r="CW720" s="1312"/>
      <c r="CX720" s="1312"/>
      <c r="CY720" s="1312"/>
      <c r="CZ720" s="1312">
        <f t="shared" si="20"/>
        <v>0</v>
      </c>
      <c r="DA720" s="1312"/>
      <c r="DB720" s="1312"/>
      <c r="DC720" s="1312"/>
      <c r="DD720" s="1312"/>
      <c r="DE720" s="1312">
        <f t="shared" si="21"/>
        <v>0</v>
      </c>
      <c r="DF720" s="1312"/>
      <c r="DG720" s="1312"/>
      <c r="DH720" s="1312"/>
      <c r="DI720" s="1312"/>
      <c r="DJ720" s="1312">
        <f t="shared" si="22"/>
        <v>0</v>
      </c>
      <c r="DK720" s="1312"/>
      <c r="DL720" s="1312"/>
      <c r="DM720" s="1312"/>
      <c r="DN720" s="1312"/>
      <c r="DO720" s="1312">
        <f t="shared" si="23"/>
        <v>0</v>
      </c>
      <c r="DP720" s="1312"/>
      <c r="DQ720" s="1312"/>
      <c r="DR720" s="1312"/>
      <c r="DS720" s="1312"/>
      <c r="DT720" s="1179"/>
      <c r="DU720" s="1326">
        <f t="shared" si="24"/>
        <v>0</v>
      </c>
      <c r="DV720" s="1326"/>
      <c r="DW720" s="1326"/>
      <c r="DX720" s="1326"/>
      <c r="DY720" s="1326"/>
      <c r="DZ720" s="1326">
        <f t="shared" si="25"/>
        <v>0</v>
      </c>
      <c r="EA720" s="1326"/>
      <c r="EB720" s="1326"/>
      <c r="EC720" s="1326"/>
      <c r="ED720" s="1326"/>
      <c r="EE720" s="1326">
        <f t="shared" si="26"/>
        <v>0</v>
      </c>
      <c r="EF720" s="1326"/>
      <c r="EG720" s="1326"/>
      <c r="EH720" s="1326"/>
      <c r="EI720" s="1326"/>
      <c r="EJ720" s="1326">
        <f t="shared" si="27"/>
        <v>0</v>
      </c>
      <c r="EK720" s="1326"/>
      <c r="EL720" s="1326"/>
      <c r="EM720" s="1326"/>
      <c r="EN720" s="1326"/>
      <c r="EO720" s="1326">
        <f t="shared" si="28"/>
        <v>0</v>
      </c>
      <c r="EP720" s="1326"/>
      <c r="EQ720" s="1326"/>
      <c r="ER720" s="1326"/>
      <c r="ES720" s="1326"/>
      <c r="ET720" s="1326">
        <f t="shared" si="29"/>
        <v>0</v>
      </c>
      <c r="EU720" s="1326"/>
      <c r="EV720" s="1326"/>
      <c r="EW720" s="1326"/>
      <c r="EX720" s="1326"/>
      <c r="EZ720" s="1299" t="str">
        <f t="shared" si="30"/>
        <v/>
      </c>
      <c r="FA720" s="1300"/>
      <c r="FB720" s="1300"/>
      <c r="FC720" s="1300"/>
      <c r="FD720" s="1301"/>
      <c r="FE720" s="1299">
        <f t="shared" si="31"/>
        <v>1825</v>
      </c>
      <c r="FF720" s="1300"/>
      <c r="FG720" s="1300"/>
      <c r="FH720" s="1300"/>
      <c r="FI720" s="1301"/>
      <c r="FJ720" s="1299" t="str">
        <f t="shared" si="32"/>
        <v/>
      </c>
      <c r="FK720" s="1300"/>
      <c r="FL720" s="1300"/>
      <c r="FM720" s="1300"/>
      <c r="FN720" s="1301"/>
      <c r="FO720" s="1299" t="str">
        <f t="shared" si="33"/>
        <v/>
      </c>
      <c r="FP720" s="1300"/>
      <c r="FQ720" s="1300"/>
      <c r="FR720" s="1300"/>
      <c r="FS720" s="1301"/>
      <c r="FT720" s="1299" t="str">
        <f t="shared" si="34"/>
        <v/>
      </c>
      <c r="FU720" s="1300"/>
      <c r="FV720" s="1300"/>
      <c r="FW720" s="1300"/>
      <c r="FX720" s="1301"/>
      <c r="FY720" s="1299" t="str">
        <f t="shared" si="35"/>
        <v/>
      </c>
      <c r="FZ720" s="1300"/>
      <c r="GA720" s="1300"/>
      <c r="GB720" s="1300"/>
      <c r="GC720" s="1301"/>
    </row>
    <row r="721" spans="1:185" ht="13.2" customHeight="1">
      <c r="B721" s="1313" t="s">
        <v>831</v>
      </c>
      <c r="C721" s="1314"/>
      <c r="D721" s="1314"/>
      <c r="E721" s="1314"/>
      <c r="F721" s="1315"/>
      <c r="G721" s="1322">
        <v>4</v>
      </c>
      <c r="H721" s="1323"/>
      <c r="I721" s="1323"/>
      <c r="J721" s="1324"/>
      <c r="K721" s="1539">
        <f>+K720</f>
        <v>499</v>
      </c>
      <c r="L721" s="1540"/>
      <c r="M721" s="1540"/>
      <c r="N721" s="1541"/>
      <c r="O721" s="1424">
        <v>1071</v>
      </c>
      <c r="P721" s="1425"/>
      <c r="Q721" s="1425"/>
      <c r="R721" s="1425"/>
      <c r="S721" s="1426"/>
      <c r="T721" s="1424">
        <v>59</v>
      </c>
      <c r="U721" s="1425"/>
      <c r="V721" s="1425"/>
      <c r="W721" s="1426"/>
      <c r="X721" s="1316">
        <f t="shared" si="8"/>
        <v>1130</v>
      </c>
      <c r="Y721" s="1317"/>
      <c r="Z721" s="1317"/>
      <c r="AA721" s="1317"/>
      <c r="AB721" s="1318"/>
      <c r="AC721" s="1548">
        <v>0.3</v>
      </c>
      <c r="AD721" s="1549"/>
      <c r="AE721" s="1549"/>
      <c r="AF721" s="1549"/>
      <c r="AG721" s="1550"/>
      <c r="AH721" s="1319">
        <f t="shared" si="36"/>
        <v>0.29989384288747345</v>
      </c>
      <c r="AI721" s="1320"/>
      <c r="AJ721" s="1321"/>
      <c r="AK721" s="1313" t="s">
        <v>810</v>
      </c>
      <c r="AL721" s="1314"/>
      <c r="AM721" s="1314"/>
      <c r="AN721" s="1314"/>
      <c r="AO721" s="1315"/>
      <c r="AP721" s="2"/>
      <c r="AQ721" s="2"/>
      <c r="AR721" s="2"/>
      <c r="AS721" s="2"/>
      <c r="AY721" s="69"/>
      <c r="AZ721" s="68">
        <f t="shared" si="9"/>
        <v>3768</v>
      </c>
      <c r="BA721" s="2"/>
      <c r="BB721" s="2"/>
      <c r="BC721" s="2"/>
      <c r="BD721" s="2"/>
      <c r="BE721" s="113"/>
      <c r="BF721" s="178">
        <f t="shared" si="10"/>
        <v>4</v>
      </c>
      <c r="BG721" s="181">
        <f t="shared" si="11"/>
        <v>4.0404040404040407E-2</v>
      </c>
      <c r="BH721" s="182">
        <f t="shared" si="12"/>
        <v>1.2121212121212121E-2</v>
      </c>
      <c r="BI721" s="2"/>
      <c r="BJ721" s="2"/>
      <c r="BK721" s="2"/>
      <c r="BL721" s="2"/>
      <c r="BM721" s="2"/>
      <c r="BN721" s="2"/>
      <c r="BS721" s="178">
        <f t="shared" si="13"/>
        <v>4</v>
      </c>
      <c r="BT721" s="181">
        <f t="shared" si="14"/>
        <v>4.0404040404040407E-2</v>
      </c>
      <c r="BU721" s="182">
        <f t="shared" si="15"/>
        <v>1.2116922944948424E-2</v>
      </c>
      <c r="CC721" s="2"/>
      <c r="CD721" s="2"/>
      <c r="CE721" s="2"/>
      <c r="CF721" s="2"/>
      <c r="CG721" s="1299">
        <f t="shared" si="37"/>
        <v>0</v>
      </c>
      <c r="CH721" s="1301"/>
      <c r="CI721" s="1299">
        <f t="shared" si="38"/>
        <v>0</v>
      </c>
      <c r="CJ721" s="1301"/>
      <c r="CK721" s="1299">
        <f t="shared" si="16"/>
        <v>1</v>
      </c>
      <c r="CL721" s="1301"/>
      <c r="CM721" s="1299">
        <f t="shared" si="17"/>
        <v>4</v>
      </c>
      <c r="CN721" s="1301"/>
      <c r="CO721" s="2"/>
      <c r="CP721" s="1296">
        <f t="shared" si="18"/>
        <v>0</v>
      </c>
      <c r="CQ721" s="1297"/>
      <c r="CR721" s="1297"/>
      <c r="CS721" s="1297"/>
      <c r="CT721" s="1298"/>
      <c r="CU721" s="1312">
        <f t="shared" si="19"/>
        <v>4</v>
      </c>
      <c r="CV721" s="1312"/>
      <c r="CW721" s="1312"/>
      <c r="CX721" s="1312"/>
      <c r="CY721" s="1312"/>
      <c r="CZ721" s="1312">
        <f t="shared" si="20"/>
        <v>0</v>
      </c>
      <c r="DA721" s="1312"/>
      <c r="DB721" s="1312"/>
      <c r="DC721" s="1312"/>
      <c r="DD721" s="1312"/>
      <c r="DE721" s="1312">
        <f t="shared" si="21"/>
        <v>0</v>
      </c>
      <c r="DF721" s="1312"/>
      <c r="DG721" s="1312"/>
      <c r="DH721" s="1312"/>
      <c r="DI721" s="1312"/>
      <c r="DJ721" s="1312">
        <f t="shared" si="22"/>
        <v>0</v>
      </c>
      <c r="DK721" s="1312"/>
      <c r="DL721" s="1312"/>
      <c r="DM721" s="1312"/>
      <c r="DN721" s="1312"/>
      <c r="DO721" s="1312">
        <f t="shared" si="23"/>
        <v>0</v>
      </c>
      <c r="DP721" s="1312"/>
      <c r="DQ721" s="1312"/>
      <c r="DR721" s="1312"/>
      <c r="DS721" s="1312"/>
      <c r="DT721" s="1179"/>
      <c r="DU721" s="1326">
        <f t="shared" si="24"/>
        <v>0</v>
      </c>
      <c r="DV721" s="1326"/>
      <c r="DW721" s="1326"/>
      <c r="DX721" s="1326"/>
      <c r="DY721" s="1326"/>
      <c r="DZ721" s="1326">
        <f t="shared" si="25"/>
        <v>4</v>
      </c>
      <c r="EA721" s="1326"/>
      <c r="EB721" s="1326"/>
      <c r="EC721" s="1326"/>
      <c r="ED721" s="1326"/>
      <c r="EE721" s="1326">
        <f t="shared" si="26"/>
        <v>0</v>
      </c>
      <c r="EF721" s="1326"/>
      <c r="EG721" s="1326"/>
      <c r="EH721" s="1326"/>
      <c r="EI721" s="1326"/>
      <c r="EJ721" s="1326">
        <f t="shared" si="27"/>
        <v>0</v>
      </c>
      <c r="EK721" s="1326"/>
      <c r="EL721" s="1326"/>
      <c r="EM721" s="1326"/>
      <c r="EN721" s="1326"/>
      <c r="EO721" s="1326">
        <f t="shared" si="28"/>
        <v>0</v>
      </c>
      <c r="EP721" s="1326"/>
      <c r="EQ721" s="1326"/>
      <c r="ER721" s="1326"/>
      <c r="ES721" s="1326"/>
      <c r="ET721" s="1326">
        <f t="shared" si="29"/>
        <v>0</v>
      </c>
      <c r="EU721" s="1326"/>
      <c r="EV721" s="1326"/>
      <c r="EW721" s="1326"/>
      <c r="EX721" s="1326"/>
      <c r="EZ721" s="1299" t="str">
        <f t="shared" si="30"/>
        <v/>
      </c>
      <c r="FA721" s="1300"/>
      <c r="FB721" s="1300"/>
      <c r="FC721" s="1300"/>
      <c r="FD721" s="1301"/>
      <c r="FE721" s="1299">
        <f t="shared" si="31"/>
        <v>1071</v>
      </c>
      <c r="FF721" s="1300"/>
      <c r="FG721" s="1300"/>
      <c r="FH721" s="1300"/>
      <c r="FI721" s="1301"/>
      <c r="FJ721" s="1299" t="str">
        <f t="shared" si="32"/>
        <v/>
      </c>
      <c r="FK721" s="1300"/>
      <c r="FL721" s="1300"/>
      <c r="FM721" s="1300"/>
      <c r="FN721" s="1301"/>
      <c r="FO721" s="1299" t="str">
        <f t="shared" si="33"/>
        <v/>
      </c>
      <c r="FP721" s="1300"/>
      <c r="FQ721" s="1300"/>
      <c r="FR721" s="1300"/>
      <c r="FS721" s="1301"/>
      <c r="FT721" s="1299" t="str">
        <f t="shared" si="34"/>
        <v/>
      </c>
      <c r="FU721" s="1300"/>
      <c r="FV721" s="1300"/>
      <c r="FW721" s="1300"/>
      <c r="FX721" s="1301"/>
      <c r="FY721" s="1299" t="str">
        <f t="shared" si="35"/>
        <v/>
      </c>
      <c r="FZ721" s="1300"/>
      <c r="GA721" s="1300"/>
      <c r="GB721" s="1300"/>
      <c r="GC721" s="1301"/>
    </row>
    <row r="722" spans="1:185" ht="13.2" customHeight="1">
      <c r="B722" s="1313" t="s">
        <v>832</v>
      </c>
      <c r="C722" s="1314"/>
      <c r="D722" s="1314"/>
      <c r="E722" s="1314"/>
      <c r="F722" s="1315"/>
      <c r="G722" s="1322">
        <v>12</v>
      </c>
      <c r="H722" s="1323"/>
      <c r="I722" s="1323"/>
      <c r="J722" s="1324"/>
      <c r="K722" s="1539">
        <v>763</v>
      </c>
      <c r="L722" s="1540"/>
      <c r="M722" s="1540"/>
      <c r="N722" s="1541"/>
      <c r="O722" s="1424">
        <v>3085</v>
      </c>
      <c r="P722" s="1425"/>
      <c r="Q722" s="1425"/>
      <c r="R722" s="1425"/>
      <c r="S722" s="1426"/>
      <c r="T722" s="1424">
        <v>80</v>
      </c>
      <c r="U722" s="1425"/>
      <c r="V722" s="1425"/>
      <c r="W722" s="1426"/>
      <c r="X722" s="1316">
        <f t="shared" si="8"/>
        <v>3165</v>
      </c>
      <c r="Y722" s="1317"/>
      <c r="Z722" s="1317"/>
      <c r="AA722" s="1317"/>
      <c r="AB722" s="1318"/>
      <c r="AC722" s="1548">
        <v>0.7</v>
      </c>
      <c r="AD722" s="1549"/>
      <c r="AE722" s="1549"/>
      <c r="AF722" s="1549"/>
      <c r="AG722" s="1550"/>
      <c r="AH722" s="1319">
        <f t="shared" si="36"/>
        <v>0.69991154356479435</v>
      </c>
      <c r="AI722" s="1320"/>
      <c r="AJ722" s="1321"/>
      <c r="AK722" s="1313" t="s">
        <v>810</v>
      </c>
      <c r="AL722" s="1314"/>
      <c r="AM722" s="1314"/>
      <c r="AN722" s="1314"/>
      <c r="AO722" s="1315"/>
      <c r="AP722" s="2"/>
      <c r="AQ722" s="2"/>
      <c r="AR722" s="2"/>
      <c r="AS722" s="2"/>
      <c r="AY722" s="69"/>
      <c r="AZ722" s="68">
        <f t="shared" si="9"/>
        <v>4522</v>
      </c>
      <c r="BA722" s="2"/>
      <c r="BB722" s="2"/>
      <c r="BC722" s="2"/>
      <c r="BD722" s="2"/>
      <c r="BE722" s="113"/>
      <c r="BF722" s="178">
        <f t="shared" si="10"/>
        <v>12</v>
      </c>
      <c r="BG722" s="181">
        <f t="shared" si="11"/>
        <v>0.12121212121212122</v>
      </c>
      <c r="BH722" s="182">
        <f t="shared" si="12"/>
        <v>8.484848484848484E-2</v>
      </c>
      <c r="BI722" s="2"/>
      <c r="BJ722" s="2"/>
      <c r="BK722" s="2"/>
      <c r="BL722" s="2"/>
      <c r="BM722" s="2"/>
      <c r="BN722" s="2"/>
      <c r="BS722" s="178">
        <f t="shared" si="13"/>
        <v>12</v>
      </c>
      <c r="BT722" s="181">
        <f t="shared" si="14"/>
        <v>0.12121212121212122</v>
      </c>
      <c r="BU722" s="182">
        <f t="shared" si="15"/>
        <v>8.4837762856338705E-2</v>
      </c>
      <c r="CC722" s="2"/>
      <c r="CD722" s="2"/>
      <c r="CE722" s="2"/>
      <c r="CF722" s="2"/>
      <c r="CG722" s="1299">
        <f t="shared" si="37"/>
        <v>0</v>
      </c>
      <c r="CH722" s="1301"/>
      <c r="CI722" s="1299">
        <f t="shared" si="38"/>
        <v>0</v>
      </c>
      <c r="CJ722" s="1301"/>
      <c r="CK722" s="1299">
        <f t="shared" si="16"/>
        <v>0</v>
      </c>
      <c r="CL722" s="1301"/>
      <c r="CM722" s="1299">
        <f t="shared" si="17"/>
        <v>0</v>
      </c>
      <c r="CN722" s="1301"/>
      <c r="CO722" s="2"/>
      <c r="CP722" s="1296">
        <f t="shared" si="18"/>
        <v>0</v>
      </c>
      <c r="CQ722" s="1297"/>
      <c r="CR722" s="1297"/>
      <c r="CS722" s="1297"/>
      <c r="CT722" s="1298"/>
      <c r="CU722" s="1312">
        <f t="shared" si="19"/>
        <v>0</v>
      </c>
      <c r="CV722" s="1312"/>
      <c r="CW722" s="1312"/>
      <c r="CX722" s="1312"/>
      <c r="CY722" s="1312"/>
      <c r="CZ722" s="1312">
        <f t="shared" si="20"/>
        <v>12</v>
      </c>
      <c r="DA722" s="1312"/>
      <c r="DB722" s="1312"/>
      <c r="DC722" s="1312"/>
      <c r="DD722" s="1312"/>
      <c r="DE722" s="1312">
        <f t="shared" si="21"/>
        <v>0</v>
      </c>
      <c r="DF722" s="1312"/>
      <c r="DG722" s="1312"/>
      <c r="DH722" s="1312"/>
      <c r="DI722" s="1312"/>
      <c r="DJ722" s="1312">
        <f t="shared" si="22"/>
        <v>0</v>
      </c>
      <c r="DK722" s="1312"/>
      <c r="DL722" s="1312"/>
      <c r="DM722" s="1312"/>
      <c r="DN722" s="1312"/>
      <c r="DO722" s="1312">
        <f t="shared" si="23"/>
        <v>0</v>
      </c>
      <c r="DP722" s="1312"/>
      <c r="DQ722" s="1312"/>
      <c r="DR722" s="1312"/>
      <c r="DS722" s="1312"/>
      <c r="DT722" s="1179"/>
      <c r="DU722" s="1326">
        <f t="shared" si="24"/>
        <v>0</v>
      </c>
      <c r="DV722" s="1326"/>
      <c r="DW722" s="1326"/>
      <c r="DX722" s="1326"/>
      <c r="DY722" s="1326"/>
      <c r="DZ722" s="1326">
        <f t="shared" si="25"/>
        <v>0</v>
      </c>
      <c r="EA722" s="1326"/>
      <c r="EB722" s="1326"/>
      <c r="EC722" s="1326"/>
      <c r="ED722" s="1326"/>
      <c r="EE722" s="1326">
        <f t="shared" si="26"/>
        <v>0</v>
      </c>
      <c r="EF722" s="1326"/>
      <c r="EG722" s="1326"/>
      <c r="EH722" s="1326"/>
      <c r="EI722" s="1326"/>
      <c r="EJ722" s="1326">
        <f t="shared" si="27"/>
        <v>0</v>
      </c>
      <c r="EK722" s="1326"/>
      <c r="EL722" s="1326"/>
      <c r="EM722" s="1326"/>
      <c r="EN722" s="1326"/>
      <c r="EO722" s="1326">
        <f t="shared" si="28"/>
        <v>0</v>
      </c>
      <c r="EP722" s="1326"/>
      <c r="EQ722" s="1326"/>
      <c r="ER722" s="1326"/>
      <c r="ES722" s="1326"/>
      <c r="ET722" s="1326">
        <f t="shared" si="29"/>
        <v>0</v>
      </c>
      <c r="EU722" s="1326"/>
      <c r="EV722" s="1326"/>
      <c r="EW722" s="1326"/>
      <c r="EX722" s="1326"/>
      <c r="EZ722" s="1299" t="str">
        <f t="shared" si="30"/>
        <v/>
      </c>
      <c r="FA722" s="1300"/>
      <c r="FB722" s="1300"/>
      <c r="FC722" s="1300"/>
      <c r="FD722" s="1301"/>
      <c r="FE722" s="1299" t="str">
        <f t="shared" si="31"/>
        <v/>
      </c>
      <c r="FF722" s="1300"/>
      <c r="FG722" s="1300"/>
      <c r="FH722" s="1300"/>
      <c r="FI722" s="1301"/>
      <c r="FJ722" s="1299">
        <f t="shared" si="32"/>
        <v>3085</v>
      </c>
      <c r="FK722" s="1300"/>
      <c r="FL722" s="1300"/>
      <c r="FM722" s="1300"/>
      <c r="FN722" s="1301"/>
      <c r="FO722" s="1299" t="str">
        <f t="shared" si="33"/>
        <v/>
      </c>
      <c r="FP722" s="1300"/>
      <c r="FQ722" s="1300"/>
      <c r="FR722" s="1300"/>
      <c r="FS722" s="1301"/>
      <c r="FT722" s="1299" t="str">
        <f t="shared" si="34"/>
        <v/>
      </c>
      <c r="FU722" s="1300"/>
      <c r="FV722" s="1300"/>
      <c r="FW722" s="1300"/>
      <c r="FX722" s="1301"/>
      <c r="FY722" s="1299" t="str">
        <f t="shared" si="35"/>
        <v/>
      </c>
      <c r="FZ722" s="1300"/>
      <c r="GA722" s="1300"/>
      <c r="GB722" s="1300"/>
      <c r="GC722" s="1301"/>
    </row>
    <row r="723" spans="1:185" ht="13.2" customHeight="1">
      <c r="B723" s="1313" t="s">
        <v>832</v>
      </c>
      <c r="C723" s="1314"/>
      <c r="D723" s="1314"/>
      <c r="E723" s="1314"/>
      <c r="F723" s="1315"/>
      <c r="G723" s="1322">
        <v>10</v>
      </c>
      <c r="H723" s="1323"/>
      <c r="I723" s="1323"/>
      <c r="J723" s="1324"/>
      <c r="K723" s="1539">
        <f>+K722</f>
        <v>763</v>
      </c>
      <c r="L723" s="1540"/>
      <c r="M723" s="1540"/>
      <c r="N723" s="1541"/>
      <c r="O723" s="1424">
        <v>2633</v>
      </c>
      <c r="P723" s="1425"/>
      <c r="Q723" s="1425"/>
      <c r="R723" s="1425"/>
      <c r="S723" s="1426"/>
      <c r="T723" s="1424">
        <v>80</v>
      </c>
      <c r="U723" s="1425"/>
      <c r="V723" s="1425"/>
      <c r="W723" s="1426"/>
      <c r="X723" s="1316">
        <f t="shared" si="8"/>
        <v>2713</v>
      </c>
      <c r="Y723" s="1317"/>
      <c r="Z723" s="1317"/>
      <c r="AA723" s="1317"/>
      <c r="AB723" s="1318"/>
      <c r="AC723" s="1548">
        <v>0.6</v>
      </c>
      <c r="AD723" s="1549"/>
      <c r="AE723" s="1549"/>
      <c r="AF723" s="1549"/>
      <c r="AG723" s="1550"/>
      <c r="AH723" s="1319">
        <f t="shared" si="36"/>
        <v>0.59995577178239712</v>
      </c>
      <c r="AI723" s="1320"/>
      <c r="AJ723" s="1321"/>
      <c r="AK723" s="1313" t="s">
        <v>810</v>
      </c>
      <c r="AL723" s="1314"/>
      <c r="AM723" s="1314"/>
      <c r="AN723" s="1314"/>
      <c r="AO723" s="1315"/>
      <c r="AP723" s="2"/>
      <c r="AQ723" s="2"/>
      <c r="AR723" s="2"/>
      <c r="AS723" s="2"/>
      <c r="AY723" s="69"/>
      <c r="AZ723" s="68">
        <f t="shared" si="9"/>
        <v>4522</v>
      </c>
      <c r="BA723" s="2"/>
      <c r="BB723" s="2"/>
      <c r="BC723" s="2"/>
      <c r="BD723" s="2"/>
      <c r="BE723" s="113"/>
      <c r="BF723" s="178">
        <f t="shared" si="10"/>
        <v>10</v>
      </c>
      <c r="BG723" s="181">
        <f t="shared" si="11"/>
        <v>0.10101010101010101</v>
      </c>
      <c r="BH723" s="182">
        <f t="shared" si="12"/>
        <v>6.0606060606060601E-2</v>
      </c>
      <c r="BI723" s="2"/>
      <c r="BJ723" s="2"/>
      <c r="BK723" s="2"/>
      <c r="BL723" s="2"/>
      <c r="BM723" s="2"/>
      <c r="BN723" s="2"/>
      <c r="BS723" s="178">
        <f t="shared" si="13"/>
        <v>10</v>
      </c>
      <c r="BT723" s="181">
        <f t="shared" si="14"/>
        <v>0.10101010101010101</v>
      </c>
      <c r="BU723" s="182">
        <f t="shared" si="15"/>
        <v>6.0601593109333038E-2</v>
      </c>
      <c r="CC723" s="2"/>
      <c r="CD723" s="2"/>
      <c r="CE723" s="2"/>
      <c r="CF723" s="2"/>
      <c r="CG723" s="1299">
        <f t="shared" si="37"/>
        <v>0</v>
      </c>
      <c r="CH723" s="1301"/>
      <c r="CI723" s="1299">
        <f t="shared" si="38"/>
        <v>0</v>
      </c>
      <c r="CJ723" s="1301"/>
      <c r="CK723" s="1299">
        <f t="shared" si="16"/>
        <v>0</v>
      </c>
      <c r="CL723" s="1301"/>
      <c r="CM723" s="1299">
        <f t="shared" si="17"/>
        <v>0</v>
      </c>
      <c r="CN723" s="1301"/>
      <c r="CO723" s="2"/>
      <c r="CP723" s="1296">
        <f t="shared" si="18"/>
        <v>0</v>
      </c>
      <c r="CQ723" s="1297"/>
      <c r="CR723" s="1297"/>
      <c r="CS723" s="1297"/>
      <c r="CT723" s="1298"/>
      <c r="CU723" s="1312">
        <f t="shared" si="19"/>
        <v>0</v>
      </c>
      <c r="CV723" s="1312"/>
      <c r="CW723" s="1312"/>
      <c r="CX723" s="1312"/>
      <c r="CY723" s="1312"/>
      <c r="CZ723" s="1312">
        <f t="shared" si="20"/>
        <v>10</v>
      </c>
      <c r="DA723" s="1312"/>
      <c r="DB723" s="1312"/>
      <c r="DC723" s="1312"/>
      <c r="DD723" s="1312"/>
      <c r="DE723" s="1312">
        <f t="shared" si="21"/>
        <v>0</v>
      </c>
      <c r="DF723" s="1312"/>
      <c r="DG723" s="1312"/>
      <c r="DH723" s="1312"/>
      <c r="DI723" s="1312"/>
      <c r="DJ723" s="1312">
        <f t="shared" si="22"/>
        <v>0</v>
      </c>
      <c r="DK723" s="1312"/>
      <c r="DL723" s="1312"/>
      <c r="DM723" s="1312"/>
      <c r="DN723" s="1312"/>
      <c r="DO723" s="1312">
        <f t="shared" si="23"/>
        <v>0</v>
      </c>
      <c r="DP723" s="1312"/>
      <c r="DQ723" s="1312"/>
      <c r="DR723" s="1312"/>
      <c r="DS723" s="1312"/>
      <c r="DT723" s="1179"/>
      <c r="DU723" s="1326">
        <f t="shared" si="24"/>
        <v>0</v>
      </c>
      <c r="DV723" s="1326"/>
      <c r="DW723" s="1326"/>
      <c r="DX723" s="1326"/>
      <c r="DY723" s="1326"/>
      <c r="DZ723" s="1326">
        <f t="shared" si="25"/>
        <v>0</v>
      </c>
      <c r="EA723" s="1326"/>
      <c r="EB723" s="1326"/>
      <c r="EC723" s="1326"/>
      <c r="ED723" s="1326"/>
      <c r="EE723" s="1326">
        <f t="shared" si="26"/>
        <v>0</v>
      </c>
      <c r="EF723" s="1326"/>
      <c r="EG723" s="1326"/>
      <c r="EH723" s="1326"/>
      <c r="EI723" s="1326"/>
      <c r="EJ723" s="1326">
        <f t="shared" si="27"/>
        <v>0</v>
      </c>
      <c r="EK723" s="1326"/>
      <c r="EL723" s="1326"/>
      <c r="EM723" s="1326"/>
      <c r="EN723" s="1326"/>
      <c r="EO723" s="1326">
        <f t="shared" si="28"/>
        <v>0</v>
      </c>
      <c r="EP723" s="1326"/>
      <c r="EQ723" s="1326"/>
      <c r="ER723" s="1326"/>
      <c r="ES723" s="1326"/>
      <c r="ET723" s="1326">
        <f t="shared" si="29"/>
        <v>0</v>
      </c>
      <c r="EU723" s="1326"/>
      <c r="EV723" s="1326"/>
      <c r="EW723" s="1326"/>
      <c r="EX723" s="1326"/>
      <c r="EZ723" s="1299" t="str">
        <f t="shared" si="30"/>
        <v/>
      </c>
      <c r="FA723" s="1300"/>
      <c r="FB723" s="1300"/>
      <c r="FC723" s="1300"/>
      <c r="FD723" s="1301"/>
      <c r="FE723" s="1299" t="str">
        <f t="shared" si="31"/>
        <v/>
      </c>
      <c r="FF723" s="1300"/>
      <c r="FG723" s="1300"/>
      <c r="FH723" s="1300"/>
      <c r="FI723" s="1301"/>
      <c r="FJ723" s="1299">
        <f t="shared" si="32"/>
        <v>2633</v>
      </c>
      <c r="FK723" s="1300"/>
      <c r="FL723" s="1300"/>
      <c r="FM723" s="1300"/>
      <c r="FN723" s="1301"/>
      <c r="FO723" s="1299" t="str">
        <f t="shared" si="33"/>
        <v/>
      </c>
      <c r="FP723" s="1300"/>
      <c r="FQ723" s="1300"/>
      <c r="FR723" s="1300"/>
      <c r="FS723" s="1301"/>
      <c r="FT723" s="1299" t="str">
        <f t="shared" si="34"/>
        <v/>
      </c>
      <c r="FU723" s="1300"/>
      <c r="FV723" s="1300"/>
      <c r="FW723" s="1300"/>
      <c r="FX723" s="1301"/>
      <c r="FY723" s="1299" t="str">
        <f t="shared" si="35"/>
        <v/>
      </c>
      <c r="FZ723" s="1300"/>
      <c r="GA723" s="1300"/>
      <c r="GB723" s="1300"/>
      <c r="GC723" s="1301"/>
    </row>
    <row r="724" spans="1:185" ht="13.2" customHeight="1">
      <c r="B724" s="1313" t="s">
        <v>832</v>
      </c>
      <c r="C724" s="1314"/>
      <c r="D724" s="1314"/>
      <c r="E724" s="1314"/>
      <c r="F724" s="1315"/>
      <c r="G724" s="1322">
        <v>3</v>
      </c>
      <c r="H724" s="1323"/>
      <c r="I724" s="1323"/>
      <c r="J724" s="1324"/>
      <c r="K724" s="1539">
        <f>+K723</f>
        <v>763</v>
      </c>
      <c r="L724" s="1540"/>
      <c r="M724" s="1540"/>
      <c r="N724" s="1541"/>
      <c r="O724" s="1424">
        <v>2181</v>
      </c>
      <c r="P724" s="1425"/>
      <c r="Q724" s="1425"/>
      <c r="R724" s="1425"/>
      <c r="S724" s="1426"/>
      <c r="T724" s="1424">
        <v>80</v>
      </c>
      <c r="U724" s="1425"/>
      <c r="V724" s="1425"/>
      <c r="W724" s="1426"/>
      <c r="X724" s="1316">
        <f t="shared" si="8"/>
        <v>2261</v>
      </c>
      <c r="Y724" s="1317"/>
      <c r="Z724" s="1317"/>
      <c r="AA724" s="1317"/>
      <c r="AB724" s="1318"/>
      <c r="AC724" s="1548">
        <v>0.5</v>
      </c>
      <c r="AD724" s="1549"/>
      <c r="AE724" s="1549"/>
      <c r="AF724" s="1549"/>
      <c r="AG724" s="1550"/>
      <c r="AH724" s="1319">
        <f t="shared" si="36"/>
        <v>0.5</v>
      </c>
      <c r="AI724" s="1320"/>
      <c r="AJ724" s="1321"/>
      <c r="AK724" s="1313" t="s">
        <v>810</v>
      </c>
      <c r="AL724" s="1314"/>
      <c r="AM724" s="1314"/>
      <c r="AN724" s="1314"/>
      <c r="AO724" s="1315"/>
      <c r="AP724" s="2"/>
      <c r="AQ724" s="2"/>
      <c r="AR724" s="2"/>
      <c r="AS724" s="2"/>
      <c r="AY724" s="69"/>
      <c r="AZ724" s="68">
        <f t="shared" si="9"/>
        <v>4522</v>
      </c>
      <c r="BA724" s="2"/>
      <c r="BB724" s="2"/>
      <c r="BC724" s="2"/>
      <c r="BD724" s="2"/>
      <c r="BE724" s="113"/>
      <c r="BF724" s="178">
        <f t="shared" si="10"/>
        <v>3</v>
      </c>
      <c r="BG724" s="181">
        <f t="shared" si="11"/>
        <v>3.0303030303030304E-2</v>
      </c>
      <c r="BH724" s="182">
        <f t="shared" si="12"/>
        <v>1.5151515151515152E-2</v>
      </c>
      <c r="BI724" s="2"/>
      <c r="BJ724" s="2"/>
      <c r="BK724" s="2"/>
      <c r="BL724" s="2"/>
      <c r="BM724" s="2"/>
      <c r="BN724" s="2"/>
      <c r="BS724" s="178">
        <f t="shared" si="13"/>
        <v>3</v>
      </c>
      <c r="BT724" s="181">
        <f t="shared" si="14"/>
        <v>3.0303030303030304E-2</v>
      </c>
      <c r="BU724" s="182">
        <f t="shared" si="15"/>
        <v>1.5151515151515152E-2</v>
      </c>
      <c r="CC724" s="2"/>
      <c r="CE724" s="2"/>
      <c r="CF724" s="2"/>
      <c r="CG724" s="1299">
        <f t="shared" si="37"/>
        <v>1</v>
      </c>
      <c r="CH724" s="1301"/>
      <c r="CI724" s="1299">
        <f t="shared" si="38"/>
        <v>3</v>
      </c>
      <c r="CJ724" s="1301"/>
      <c r="CK724" s="1299">
        <f t="shared" si="16"/>
        <v>0</v>
      </c>
      <c r="CL724" s="1301"/>
      <c r="CM724" s="1299">
        <f t="shared" si="17"/>
        <v>0</v>
      </c>
      <c r="CN724" s="1301"/>
      <c r="CO724" s="2"/>
      <c r="CP724" s="1296">
        <f t="shared" si="18"/>
        <v>0</v>
      </c>
      <c r="CQ724" s="1297"/>
      <c r="CR724" s="1297"/>
      <c r="CS724" s="1297"/>
      <c r="CT724" s="1298"/>
      <c r="CU724" s="1312">
        <f t="shared" si="19"/>
        <v>0</v>
      </c>
      <c r="CV724" s="1312"/>
      <c r="CW724" s="1312"/>
      <c r="CX724" s="1312"/>
      <c r="CY724" s="1312"/>
      <c r="CZ724" s="1312">
        <f t="shared" si="20"/>
        <v>3</v>
      </c>
      <c r="DA724" s="1312"/>
      <c r="DB724" s="1312"/>
      <c r="DC724" s="1312"/>
      <c r="DD724" s="1312"/>
      <c r="DE724" s="1312">
        <f t="shared" si="21"/>
        <v>0</v>
      </c>
      <c r="DF724" s="1312"/>
      <c r="DG724" s="1312"/>
      <c r="DH724" s="1312"/>
      <c r="DI724" s="1312"/>
      <c r="DJ724" s="1312">
        <f t="shared" si="22"/>
        <v>0</v>
      </c>
      <c r="DK724" s="1312"/>
      <c r="DL724" s="1312"/>
      <c r="DM724" s="1312"/>
      <c r="DN724" s="1312"/>
      <c r="DO724" s="1312">
        <f t="shared" si="23"/>
        <v>0</v>
      </c>
      <c r="DP724" s="1312"/>
      <c r="DQ724" s="1312"/>
      <c r="DR724" s="1312"/>
      <c r="DS724" s="1312"/>
      <c r="DT724" s="1179"/>
      <c r="DU724" s="1326">
        <f t="shared" si="24"/>
        <v>0</v>
      </c>
      <c r="DV724" s="1326"/>
      <c r="DW724" s="1326"/>
      <c r="DX724" s="1326"/>
      <c r="DY724" s="1326"/>
      <c r="DZ724" s="1326">
        <f t="shared" si="25"/>
        <v>0</v>
      </c>
      <c r="EA724" s="1326"/>
      <c r="EB724" s="1326"/>
      <c r="EC724" s="1326"/>
      <c r="ED724" s="1326"/>
      <c r="EE724" s="1326">
        <f t="shared" si="26"/>
        <v>0</v>
      </c>
      <c r="EF724" s="1326"/>
      <c r="EG724" s="1326"/>
      <c r="EH724" s="1326"/>
      <c r="EI724" s="1326"/>
      <c r="EJ724" s="1326">
        <f t="shared" si="27"/>
        <v>0</v>
      </c>
      <c r="EK724" s="1326"/>
      <c r="EL724" s="1326"/>
      <c r="EM724" s="1326"/>
      <c r="EN724" s="1326"/>
      <c r="EO724" s="1326">
        <f t="shared" si="28"/>
        <v>0</v>
      </c>
      <c r="EP724" s="1326"/>
      <c r="EQ724" s="1326"/>
      <c r="ER724" s="1326"/>
      <c r="ES724" s="1326"/>
      <c r="ET724" s="1326">
        <f t="shared" si="29"/>
        <v>0</v>
      </c>
      <c r="EU724" s="1326"/>
      <c r="EV724" s="1326"/>
      <c r="EW724" s="1326"/>
      <c r="EX724" s="1326"/>
      <c r="EZ724" s="1299" t="str">
        <f t="shared" si="30"/>
        <v/>
      </c>
      <c r="FA724" s="1300"/>
      <c r="FB724" s="1300"/>
      <c r="FC724" s="1300"/>
      <c r="FD724" s="1301"/>
      <c r="FE724" s="1299" t="str">
        <f t="shared" si="31"/>
        <v/>
      </c>
      <c r="FF724" s="1300"/>
      <c r="FG724" s="1300"/>
      <c r="FH724" s="1300"/>
      <c r="FI724" s="1301"/>
      <c r="FJ724" s="1299">
        <f t="shared" si="32"/>
        <v>2181</v>
      </c>
      <c r="FK724" s="1300"/>
      <c r="FL724" s="1300"/>
      <c r="FM724" s="1300"/>
      <c r="FN724" s="1301"/>
      <c r="FO724" s="1299" t="str">
        <f t="shared" si="33"/>
        <v/>
      </c>
      <c r="FP724" s="1300"/>
      <c r="FQ724" s="1300"/>
      <c r="FR724" s="1300"/>
      <c r="FS724" s="1301"/>
      <c r="FT724" s="1299" t="str">
        <f t="shared" si="34"/>
        <v/>
      </c>
      <c r="FU724" s="1300"/>
      <c r="FV724" s="1300"/>
      <c r="FW724" s="1300"/>
      <c r="FX724" s="1301"/>
      <c r="FY724" s="1299" t="str">
        <f t="shared" si="35"/>
        <v/>
      </c>
      <c r="FZ724" s="1300"/>
      <c r="GA724" s="1300"/>
      <c r="GB724" s="1300"/>
      <c r="GC724" s="1301"/>
    </row>
    <row r="725" spans="1:185" ht="13.2" customHeight="1">
      <c r="B725" s="1313" t="s">
        <v>832</v>
      </c>
      <c r="C725" s="1314"/>
      <c r="D725" s="1314"/>
      <c r="E725" s="1314"/>
      <c r="F725" s="1315"/>
      <c r="G725" s="1322">
        <v>3</v>
      </c>
      <c r="H725" s="1323"/>
      <c r="I725" s="1323"/>
      <c r="J725" s="1324"/>
      <c r="K725" s="1539">
        <f>+K724</f>
        <v>763</v>
      </c>
      <c r="L725" s="1540"/>
      <c r="M725" s="1540"/>
      <c r="N725" s="1541"/>
      <c r="O725" s="1424">
        <v>1276</v>
      </c>
      <c r="P725" s="1425"/>
      <c r="Q725" s="1425"/>
      <c r="R725" s="1425"/>
      <c r="S725" s="1426"/>
      <c r="T725" s="1424">
        <v>80</v>
      </c>
      <c r="U725" s="1425"/>
      <c r="V725" s="1425"/>
      <c r="W725" s="1426"/>
      <c r="X725" s="1316">
        <f t="shared" si="8"/>
        <v>1356</v>
      </c>
      <c r="Y725" s="1317"/>
      <c r="Z725" s="1317"/>
      <c r="AA725" s="1317"/>
      <c r="AB725" s="1318"/>
      <c r="AC725" s="1548">
        <v>0.3</v>
      </c>
      <c r="AD725" s="1549"/>
      <c r="AE725" s="1549"/>
      <c r="AF725" s="1549"/>
      <c r="AG725" s="1550"/>
      <c r="AH725" s="1319">
        <f t="shared" si="36"/>
        <v>0.29986731534719152</v>
      </c>
      <c r="AI725" s="1320"/>
      <c r="AJ725" s="1321"/>
      <c r="AK725" s="1313" t="s">
        <v>810</v>
      </c>
      <c r="AL725" s="1314"/>
      <c r="AM725" s="1314"/>
      <c r="AN725" s="1314"/>
      <c r="AO725" s="1315"/>
      <c r="AP725" s="2"/>
      <c r="AQ725" s="2"/>
      <c r="AR725" s="2"/>
      <c r="AS725" s="2"/>
      <c r="AY725" s="763"/>
      <c r="AZ725" s="68">
        <f t="shared" si="9"/>
        <v>4522</v>
      </c>
      <c r="BA725" s="2"/>
      <c r="BB725" s="2"/>
      <c r="BC725" s="2"/>
      <c r="BD725" s="2"/>
      <c r="BE725" s="113"/>
      <c r="BF725" s="178">
        <f t="shared" si="10"/>
        <v>3</v>
      </c>
      <c r="BG725" s="181">
        <f t="shared" si="11"/>
        <v>3.0303030303030304E-2</v>
      </c>
      <c r="BH725" s="182">
        <f t="shared" si="12"/>
        <v>9.0909090909090905E-3</v>
      </c>
      <c r="BI725" s="2"/>
      <c r="BJ725" s="2"/>
      <c r="BK725" s="2"/>
      <c r="BL725" s="2"/>
      <c r="BM725" s="2"/>
      <c r="BN725" s="2"/>
      <c r="BS725" s="178">
        <f t="shared" si="13"/>
        <v>3</v>
      </c>
      <c r="BT725" s="181">
        <f t="shared" si="14"/>
        <v>3.0303030303030304E-2</v>
      </c>
      <c r="BU725" s="182">
        <f t="shared" si="15"/>
        <v>9.0868883438542884E-3</v>
      </c>
      <c r="BV725" s="1057"/>
      <c r="BW725" s="2"/>
      <c r="BX725" s="2"/>
      <c r="BY725" s="2"/>
      <c r="BZ725" s="2"/>
      <c r="CA725" s="2"/>
      <c r="CB725" s="2"/>
      <c r="CC725" s="2"/>
      <c r="CE725" s="2"/>
      <c r="CF725" s="2"/>
      <c r="CG725" s="1299">
        <f t="shared" si="37"/>
        <v>0</v>
      </c>
      <c r="CH725" s="1301"/>
      <c r="CI725" s="1299">
        <f t="shared" si="38"/>
        <v>0</v>
      </c>
      <c r="CJ725" s="1301"/>
      <c r="CK725" s="1299">
        <f t="shared" si="16"/>
        <v>1</v>
      </c>
      <c r="CL725" s="1301"/>
      <c r="CM725" s="1299">
        <f t="shared" si="17"/>
        <v>3</v>
      </c>
      <c r="CN725" s="1301"/>
      <c r="CO725" s="2"/>
      <c r="CP725" s="1296">
        <f t="shared" si="18"/>
        <v>0</v>
      </c>
      <c r="CQ725" s="1297"/>
      <c r="CR725" s="1297"/>
      <c r="CS725" s="1297"/>
      <c r="CT725" s="1298"/>
      <c r="CU725" s="1312">
        <f t="shared" si="19"/>
        <v>0</v>
      </c>
      <c r="CV725" s="1312"/>
      <c r="CW725" s="1312"/>
      <c r="CX725" s="1312"/>
      <c r="CY725" s="1312"/>
      <c r="CZ725" s="1312">
        <f t="shared" si="20"/>
        <v>3</v>
      </c>
      <c r="DA725" s="1312"/>
      <c r="DB725" s="1312"/>
      <c r="DC725" s="1312"/>
      <c r="DD725" s="1312"/>
      <c r="DE725" s="1312">
        <f t="shared" si="21"/>
        <v>0</v>
      </c>
      <c r="DF725" s="1312"/>
      <c r="DG725" s="1312"/>
      <c r="DH725" s="1312"/>
      <c r="DI725" s="1312"/>
      <c r="DJ725" s="1312">
        <f t="shared" si="22"/>
        <v>0</v>
      </c>
      <c r="DK725" s="1312"/>
      <c r="DL725" s="1312"/>
      <c r="DM725" s="1312"/>
      <c r="DN725" s="1312"/>
      <c r="DO725" s="1312">
        <f t="shared" si="23"/>
        <v>0</v>
      </c>
      <c r="DP725" s="1312"/>
      <c r="DQ725" s="1312"/>
      <c r="DR725" s="1312"/>
      <c r="DS725" s="1312"/>
      <c r="DT725" s="1179"/>
      <c r="DU725" s="1326">
        <f t="shared" si="24"/>
        <v>0</v>
      </c>
      <c r="DV725" s="1326"/>
      <c r="DW725" s="1326"/>
      <c r="DX725" s="1326"/>
      <c r="DY725" s="1326"/>
      <c r="DZ725" s="1326">
        <f t="shared" si="25"/>
        <v>0</v>
      </c>
      <c r="EA725" s="1326"/>
      <c r="EB725" s="1326"/>
      <c r="EC725" s="1326"/>
      <c r="ED725" s="1326"/>
      <c r="EE725" s="1326">
        <f t="shared" si="26"/>
        <v>3</v>
      </c>
      <c r="EF725" s="1326"/>
      <c r="EG725" s="1326"/>
      <c r="EH725" s="1326"/>
      <c r="EI725" s="1326"/>
      <c r="EJ725" s="1326">
        <f t="shared" si="27"/>
        <v>0</v>
      </c>
      <c r="EK725" s="1326"/>
      <c r="EL725" s="1326"/>
      <c r="EM725" s="1326"/>
      <c r="EN725" s="1326"/>
      <c r="EO725" s="1326">
        <f t="shared" si="28"/>
        <v>0</v>
      </c>
      <c r="EP725" s="1326"/>
      <c r="EQ725" s="1326"/>
      <c r="ER725" s="1326"/>
      <c r="ES725" s="1326"/>
      <c r="ET725" s="1326">
        <f t="shared" si="29"/>
        <v>0</v>
      </c>
      <c r="EU725" s="1326"/>
      <c r="EV725" s="1326"/>
      <c r="EW725" s="1326"/>
      <c r="EX725" s="1326"/>
      <c r="EZ725" s="1299" t="str">
        <f t="shared" si="30"/>
        <v/>
      </c>
      <c r="FA725" s="1300"/>
      <c r="FB725" s="1300"/>
      <c r="FC725" s="1300"/>
      <c r="FD725" s="1301"/>
      <c r="FE725" s="1299" t="str">
        <f t="shared" si="31"/>
        <v/>
      </c>
      <c r="FF725" s="1300"/>
      <c r="FG725" s="1300"/>
      <c r="FH725" s="1300"/>
      <c r="FI725" s="1301"/>
      <c r="FJ725" s="1299">
        <f t="shared" si="32"/>
        <v>1276</v>
      </c>
      <c r="FK725" s="1300"/>
      <c r="FL725" s="1300"/>
      <c r="FM725" s="1300"/>
      <c r="FN725" s="1301"/>
      <c r="FO725" s="1299" t="str">
        <f t="shared" si="33"/>
        <v/>
      </c>
      <c r="FP725" s="1300"/>
      <c r="FQ725" s="1300"/>
      <c r="FR725" s="1300"/>
      <c r="FS725" s="1301"/>
      <c r="FT725" s="1299" t="str">
        <f t="shared" si="34"/>
        <v/>
      </c>
      <c r="FU725" s="1300"/>
      <c r="FV725" s="1300"/>
      <c r="FW725" s="1300"/>
      <c r="FX725" s="1301"/>
      <c r="FY725" s="1299" t="str">
        <f t="shared" si="35"/>
        <v/>
      </c>
      <c r="FZ725" s="1300"/>
      <c r="GA725" s="1300"/>
      <c r="GB725" s="1300"/>
      <c r="GC725" s="1301"/>
    </row>
    <row r="726" spans="1:185" ht="13.2" customHeight="1">
      <c r="B726" s="1313" t="s">
        <v>833</v>
      </c>
      <c r="C726" s="1314"/>
      <c r="D726" s="1314"/>
      <c r="E726" s="1314"/>
      <c r="F726" s="1315"/>
      <c r="G726" s="1322">
        <v>16</v>
      </c>
      <c r="H726" s="1323"/>
      <c r="I726" s="1323"/>
      <c r="J726" s="1324"/>
      <c r="K726" s="1539">
        <v>1018</v>
      </c>
      <c r="L726" s="1540"/>
      <c r="M726" s="1540"/>
      <c r="N726" s="1541"/>
      <c r="O726" s="1424">
        <v>3552</v>
      </c>
      <c r="P726" s="1425"/>
      <c r="Q726" s="1425"/>
      <c r="R726" s="1425"/>
      <c r="S726" s="1426"/>
      <c r="T726" s="1424">
        <v>103</v>
      </c>
      <c r="U726" s="1425"/>
      <c r="V726" s="1425"/>
      <c r="W726" s="1426"/>
      <c r="X726" s="1316">
        <f t="shared" si="8"/>
        <v>3655</v>
      </c>
      <c r="Y726" s="1317"/>
      <c r="Z726" s="1317"/>
      <c r="AA726" s="1317"/>
      <c r="AB726" s="1318"/>
      <c r="AC726" s="1548">
        <v>0.7</v>
      </c>
      <c r="AD726" s="1549"/>
      <c r="AE726" s="1549"/>
      <c r="AF726" s="1549"/>
      <c r="AG726" s="1550"/>
      <c r="AH726" s="1319">
        <f t="shared" si="36"/>
        <v>0.69992340099578709</v>
      </c>
      <c r="AI726" s="1320"/>
      <c r="AJ726" s="1321"/>
      <c r="AK726" s="1313" t="s">
        <v>810</v>
      </c>
      <c r="AL726" s="1314"/>
      <c r="AM726" s="1314"/>
      <c r="AN726" s="1314"/>
      <c r="AO726" s="1315"/>
      <c r="AP726" s="2"/>
      <c r="AQ726" s="2"/>
      <c r="AR726" s="2"/>
      <c r="AS726" s="2"/>
      <c r="AY726" s="763"/>
      <c r="AZ726" s="68">
        <f t="shared" si="9"/>
        <v>5222</v>
      </c>
      <c r="BA726" s="2"/>
      <c r="BB726" s="2"/>
      <c r="BC726" s="2"/>
      <c r="BD726" s="2"/>
      <c r="BE726" s="113"/>
      <c r="BF726" s="178">
        <f t="shared" si="10"/>
        <v>16</v>
      </c>
      <c r="BG726" s="181">
        <f t="shared" si="11"/>
        <v>0.16161616161616163</v>
      </c>
      <c r="BH726" s="182">
        <f t="shared" si="12"/>
        <v>0.11313131313131314</v>
      </c>
      <c r="BI726" s="2"/>
      <c r="BJ726" s="2"/>
      <c r="BK726" s="2"/>
      <c r="BL726" s="2"/>
      <c r="BM726" s="2"/>
      <c r="BN726" s="2"/>
      <c r="BS726" s="178">
        <f t="shared" si="13"/>
        <v>16</v>
      </c>
      <c r="BT726" s="181">
        <f t="shared" si="14"/>
        <v>0.16161616161616163</v>
      </c>
      <c r="BU726" s="182">
        <f t="shared" si="15"/>
        <v>0.11311893349426863</v>
      </c>
      <c r="BV726" s="2"/>
      <c r="BW726" s="2"/>
      <c r="BX726" s="2"/>
      <c r="BY726" s="2"/>
      <c r="BZ726" s="2"/>
      <c r="CA726" s="2"/>
      <c r="CB726" s="2"/>
      <c r="CC726" s="2"/>
      <c r="CE726" s="2"/>
      <c r="CF726" s="2"/>
      <c r="CG726" s="1299">
        <f t="shared" si="37"/>
        <v>0</v>
      </c>
      <c r="CH726" s="1301"/>
      <c r="CI726" s="1299">
        <f t="shared" si="38"/>
        <v>0</v>
      </c>
      <c r="CJ726" s="1301"/>
      <c r="CK726" s="1299">
        <f t="shared" si="16"/>
        <v>0</v>
      </c>
      <c r="CL726" s="1301"/>
      <c r="CM726" s="1299">
        <f t="shared" si="17"/>
        <v>0</v>
      </c>
      <c r="CN726" s="1301"/>
      <c r="CO726" s="2"/>
      <c r="CP726" s="1296">
        <f t="shared" si="18"/>
        <v>0</v>
      </c>
      <c r="CQ726" s="1297"/>
      <c r="CR726" s="1297"/>
      <c r="CS726" s="1297"/>
      <c r="CT726" s="1298"/>
      <c r="CU726" s="1312">
        <f t="shared" si="19"/>
        <v>0</v>
      </c>
      <c r="CV726" s="1312"/>
      <c r="CW726" s="1312"/>
      <c r="CX726" s="1312"/>
      <c r="CY726" s="1312"/>
      <c r="CZ726" s="1312">
        <f t="shared" si="20"/>
        <v>0</v>
      </c>
      <c r="DA726" s="1312"/>
      <c r="DB726" s="1312"/>
      <c r="DC726" s="1312"/>
      <c r="DD726" s="1312"/>
      <c r="DE726" s="1312">
        <f t="shared" si="21"/>
        <v>16</v>
      </c>
      <c r="DF726" s="1312"/>
      <c r="DG726" s="1312"/>
      <c r="DH726" s="1312"/>
      <c r="DI726" s="1312"/>
      <c r="DJ726" s="1312">
        <f t="shared" si="22"/>
        <v>0</v>
      </c>
      <c r="DK726" s="1312"/>
      <c r="DL726" s="1312"/>
      <c r="DM726" s="1312"/>
      <c r="DN726" s="1312"/>
      <c r="DO726" s="1312">
        <f t="shared" si="23"/>
        <v>0</v>
      </c>
      <c r="DP726" s="1312"/>
      <c r="DQ726" s="1312"/>
      <c r="DR726" s="1312"/>
      <c r="DS726" s="1312"/>
      <c r="DT726" s="1179"/>
      <c r="DU726" s="1326">
        <f t="shared" si="24"/>
        <v>0</v>
      </c>
      <c r="DV726" s="1326"/>
      <c r="DW726" s="1326"/>
      <c r="DX726" s="1326"/>
      <c r="DY726" s="1326"/>
      <c r="DZ726" s="1326">
        <f t="shared" si="25"/>
        <v>0</v>
      </c>
      <c r="EA726" s="1326"/>
      <c r="EB726" s="1326"/>
      <c r="EC726" s="1326"/>
      <c r="ED726" s="1326"/>
      <c r="EE726" s="1326">
        <f t="shared" si="26"/>
        <v>0</v>
      </c>
      <c r="EF726" s="1326"/>
      <c r="EG726" s="1326"/>
      <c r="EH726" s="1326"/>
      <c r="EI726" s="1326"/>
      <c r="EJ726" s="1326">
        <f t="shared" si="27"/>
        <v>0</v>
      </c>
      <c r="EK726" s="1326"/>
      <c r="EL726" s="1326"/>
      <c r="EM726" s="1326"/>
      <c r="EN726" s="1326"/>
      <c r="EO726" s="1326">
        <f t="shared" si="28"/>
        <v>0</v>
      </c>
      <c r="EP726" s="1326"/>
      <c r="EQ726" s="1326"/>
      <c r="ER726" s="1326"/>
      <c r="ES726" s="1326"/>
      <c r="ET726" s="1326">
        <f t="shared" si="29"/>
        <v>0</v>
      </c>
      <c r="EU726" s="1326"/>
      <c r="EV726" s="1326"/>
      <c r="EW726" s="1326"/>
      <c r="EX726" s="1326"/>
      <c r="EY726" s="2"/>
      <c r="EZ726" s="1299" t="str">
        <f t="shared" si="30"/>
        <v/>
      </c>
      <c r="FA726" s="1300"/>
      <c r="FB726" s="1300"/>
      <c r="FC726" s="1300"/>
      <c r="FD726" s="1301"/>
      <c r="FE726" s="1299" t="str">
        <f t="shared" si="31"/>
        <v/>
      </c>
      <c r="FF726" s="1300"/>
      <c r="FG726" s="1300"/>
      <c r="FH726" s="1300"/>
      <c r="FI726" s="1301"/>
      <c r="FJ726" s="1299" t="str">
        <f t="shared" si="32"/>
        <v/>
      </c>
      <c r="FK726" s="1300"/>
      <c r="FL726" s="1300"/>
      <c r="FM726" s="1300"/>
      <c r="FN726" s="1301"/>
      <c r="FO726" s="1299">
        <f t="shared" si="33"/>
        <v>3552</v>
      </c>
      <c r="FP726" s="1300"/>
      <c r="FQ726" s="1300"/>
      <c r="FR726" s="1300"/>
      <c r="FS726" s="1301"/>
      <c r="FT726" s="1299" t="str">
        <f t="shared" si="34"/>
        <v/>
      </c>
      <c r="FU726" s="1300"/>
      <c r="FV726" s="1300"/>
      <c r="FW726" s="1300"/>
      <c r="FX726" s="1301"/>
      <c r="FY726" s="1299" t="str">
        <f t="shared" si="35"/>
        <v/>
      </c>
      <c r="FZ726" s="1300"/>
      <c r="GA726" s="1300"/>
      <c r="GB726" s="1300"/>
      <c r="GC726" s="1301"/>
    </row>
    <row r="727" spans="1:185" ht="13.2" customHeight="1">
      <c r="A727" s="2"/>
      <c r="B727" s="1313" t="s">
        <v>833</v>
      </c>
      <c r="C727" s="1314"/>
      <c r="D727" s="1314"/>
      <c r="E727" s="1314"/>
      <c r="F727" s="1315"/>
      <c r="G727" s="1322">
        <v>11</v>
      </c>
      <c r="H727" s="1323"/>
      <c r="I727" s="1323"/>
      <c r="J727" s="1324"/>
      <c r="K727" s="1539">
        <f>+K726</f>
        <v>1018</v>
      </c>
      <c r="L727" s="1540"/>
      <c r="M727" s="1540"/>
      <c r="N727" s="1541"/>
      <c r="O727" s="1424">
        <v>3030</v>
      </c>
      <c r="P727" s="1425"/>
      <c r="Q727" s="1425"/>
      <c r="R727" s="1425"/>
      <c r="S727" s="1426"/>
      <c r="T727" s="1424">
        <v>103</v>
      </c>
      <c r="U727" s="1425"/>
      <c r="V727" s="1425"/>
      <c r="W727" s="1426"/>
      <c r="X727" s="1316">
        <f t="shared" si="8"/>
        <v>3133</v>
      </c>
      <c r="Y727" s="1317"/>
      <c r="Z727" s="1317"/>
      <c r="AA727" s="1317"/>
      <c r="AB727" s="1318"/>
      <c r="AC727" s="1548">
        <v>0.6</v>
      </c>
      <c r="AD727" s="1549"/>
      <c r="AE727" s="1549"/>
      <c r="AF727" s="1549"/>
      <c r="AG727" s="1550"/>
      <c r="AH727" s="1319">
        <f t="shared" si="36"/>
        <v>0.59996170049789355</v>
      </c>
      <c r="AI727" s="1320"/>
      <c r="AJ727" s="1321"/>
      <c r="AK727" s="1313" t="s">
        <v>810</v>
      </c>
      <c r="AL727" s="1314"/>
      <c r="AM727" s="1314"/>
      <c r="AN727" s="1314"/>
      <c r="AO727" s="1315"/>
      <c r="AP727" s="2"/>
      <c r="AQ727" s="2"/>
      <c r="AR727" s="2"/>
      <c r="AS727" s="2"/>
      <c r="AY727" s="763"/>
      <c r="AZ727" s="68">
        <f t="shared" si="9"/>
        <v>5222</v>
      </c>
      <c r="BA727" s="2"/>
      <c r="BB727" s="2"/>
      <c r="BC727" s="2"/>
      <c r="BD727" s="2"/>
      <c r="BE727" s="113"/>
      <c r="BF727" s="178">
        <f t="shared" si="10"/>
        <v>11</v>
      </c>
      <c r="BG727" s="181">
        <f t="shared" si="11"/>
        <v>0.1111111111111111</v>
      </c>
      <c r="BH727" s="182">
        <f t="shared" si="12"/>
        <v>6.6666666666666666E-2</v>
      </c>
      <c r="BI727" s="2"/>
      <c r="BJ727" s="2"/>
      <c r="BK727" s="2"/>
      <c r="BL727" s="2"/>
      <c r="BM727" s="2"/>
      <c r="BN727" s="2"/>
      <c r="BS727" s="178">
        <f t="shared" si="13"/>
        <v>11</v>
      </c>
      <c r="BT727" s="181">
        <f t="shared" si="14"/>
        <v>0.1111111111111111</v>
      </c>
      <c r="BU727" s="182">
        <f t="shared" si="15"/>
        <v>6.6662411166432609E-2</v>
      </c>
      <c r="BV727" s="2"/>
      <c r="BW727" s="2"/>
      <c r="BX727" s="2"/>
      <c r="BY727" s="2"/>
      <c r="BZ727" s="2"/>
      <c r="CA727" s="2"/>
      <c r="CB727" s="2"/>
      <c r="CC727" s="2"/>
      <c r="CE727" s="2"/>
      <c r="CF727" s="2"/>
      <c r="CG727" s="1299">
        <f t="shared" si="37"/>
        <v>0</v>
      </c>
      <c r="CH727" s="1301"/>
      <c r="CI727" s="1299">
        <f t="shared" si="38"/>
        <v>0</v>
      </c>
      <c r="CJ727" s="1301"/>
      <c r="CK727" s="1299">
        <f t="shared" si="16"/>
        <v>0</v>
      </c>
      <c r="CL727" s="1301"/>
      <c r="CM727" s="1299">
        <f t="shared" si="17"/>
        <v>0</v>
      </c>
      <c r="CN727" s="1301"/>
      <c r="CO727" s="2"/>
      <c r="CP727" s="1296">
        <f t="shared" si="18"/>
        <v>0</v>
      </c>
      <c r="CQ727" s="1297"/>
      <c r="CR727" s="1297"/>
      <c r="CS727" s="1297"/>
      <c r="CT727" s="1298"/>
      <c r="CU727" s="1312">
        <f t="shared" si="19"/>
        <v>0</v>
      </c>
      <c r="CV727" s="1312"/>
      <c r="CW727" s="1312"/>
      <c r="CX727" s="1312"/>
      <c r="CY727" s="1312"/>
      <c r="CZ727" s="1312">
        <f t="shared" si="20"/>
        <v>0</v>
      </c>
      <c r="DA727" s="1312"/>
      <c r="DB727" s="1312"/>
      <c r="DC727" s="1312"/>
      <c r="DD727" s="1312"/>
      <c r="DE727" s="1312">
        <f t="shared" si="21"/>
        <v>11</v>
      </c>
      <c r="DF727" s="1312"/>
      <c r="DG727" s="1312"/>
      <c r="DH727" s="1312"/>
      <c r="DI727" s="1312"/>
      <c r="DJ727" s="1312">
        <f t="shared" si="22"/>
        <v>0</v>
      </c>
      <c r="DK727" s="1312"/>
      <c r="DL727" s="1312"/>
      <c r="DM727" s="1312"/>
      <c r="DN727" s="1312"/>
      <c r="DO727" s="1312">
        <f t="shared" si="23"/>
        <v>0</v>
      </c>
      <c r="DP727" s="1312"/>
      <c r="DQ727" s="1312"/>
      <c r="DR727" s="1312"/>
      <c r="DS727" s="1312"/>
      <c r="DT727" s="1179"/>
      <c r="DU727" s="1326">
        <f t="shared" si="24"/>
        <v>0</v>
      </c>
      <c r="DV727" s="1326"/>
      <c r="DW727" s="1326"/>
      <c r="DX727" s="1326"/>
      <c r="DY727" s="1326"/>
      <c r="DZ727" s="1326">
        <f t="shared" si="25"/>
        <v>0</v>
      </c>
      <c r="EA727" s="1326"/>
      <c r="EB727" s="1326"/>
      <c r="EC727" s="1326"/>
      <c r="ED727" s="1326"/>
      <c r="EE727" s="1326">
        <f t="shared" si="26"/>
        <v>0</v>
      </c>
      <c r="EF727" s="1326"/>
      <c r="EG727" s="1326"/>
      <c r="EH727" s="1326"/>
      <c r="EI727" s="1326"/>
      <c r="EJ727" s="1326">
        <f t="shared" si="27"/>
        <v>0</v>
      </c>
      <c r="EK727" s="1326"/>
      <c r="EL727" s="1326"/>
      <c r="EM727" s="1326"/>
      <c r="EN727" s="1326"/>
      <c r="EO727" s="1326">
        <f t="shared" si="28"/>
        <v>0</v>
      </c>
      <c r="EP727" s="1326"/>
      <c r="EQ727" s="1326"/>
      <c r="ER727" s="1326"/>
      <c r="ES727" s="1326"/>
      <c r="ET727" s="1326">
        <f t="shared" si="29"/>
        <v>0</v>
      </c>
      <c r="EU727" s="1326"/>
      <c r="EV727" s="1326"/>
      <c r="EW727" s="1326"/>
      <c r="EX727" s="1326"/>
      <c r="EY727" s="2"/>
      <c r="EZ727" s="1299" t="str">
        <f t="shared" si="30"/>
        <v/>
      </c>
      <c r="FA727" s="1300"/>
      <c r="FB727" s="1300"/>
      <c r="FC727" s="1300"/>
      <c r="FD727" s="1301"/>
      <c r="FE727" s="1299" t="str">
        <f t="shared" si="31"/>
        <v/>
      </c>
      <c r="FF727" s="1300"/>
      <c r="FG727" s="1300"/>
      <c r="FH727" s="1300"/>
      <c r="FI727" s="1301"/>
      <c r="FJ727" s="1299" t="str">
        <f t="shared" si="32"/>
        <v/>
      </c>
      <c r="FK727" s="1300"/>
      <c r="FL727" s="1300"/>
      <c r="FM727" s="1300"/>
      <c r="FN727" s="1301"/>
      <c r="FO727" s="1299">
        <f t="shared" si="33"/>
        <v>3030</v>
      </c>
      <c r="FP727" s="1300"/>
      <c r="FQ727" s="1300"/>
      <c r="FR727" s="1300"/>
      <c r="FS727" s="1301"/>
      <c r="FT727" s="1299" t="str">
        <f t="shared" si="34"/>
        <v/>
      </c>
      <c r="FU727" s="1300"/>
      <c r="FV727" s="1300"/>
      <c r="FW727" s="1300"/>
      <c r="FX727" s="1301"/>
      <c r="FY727" s="1299" t="str">
        <f t="shared" si="35"/>
        <v/>
      </c>
      <c r="FZ727" s="1300"/>
      <c r="GA727" s="1300"/>
      <c r="GB727" s="1300"/>
      <c r="GC727" s="1301"/>
    </row>
    <row r="728" spans="1:185" ht="13.2" customHeight="1">
      <c r="A728" s="2"/>
      <c r="B728" s="1313" t="s">
        <v>833</v>
      </c>
      <c r="C728" s="1314"/>
      <c r="D728" s="1314"/>
      <c r="E728" s="1314"/>
      <c r="F728" s="1315"/>
      <c r="G728" s="1322">
        <v>4</v>
      </c>
      <c r="H728" s="1323"/>
      <c r="I728" s="1323"/>
      <c r="J728" s="1324"/>
      <c r="K728" s="1539">
        <f>+K727</f>
        <v>1018</v>
      </c>
      <c r="L728" s="1540"/>
      <c r="M728" s="1540"/>
      <c r="N728" s="1541"/>
      <c r="O728" s="1424">
        <v>2508</v>
      </c>
      <c r="P728" s="1425"/>
      <c r="Q728" s="1425"/>
      <c r="R728" s="1425"/>
      <c r="S728" s="1426"/>
      <c r="T728" s="1424">
        <v>103</v>
      </c>
      <c r="U728" s="1425"/>
      <c r="V728" s="1425"/>
      <c r="W728" s="1426"/>
      <c r="X728" s="1316">
        <f t="shared" si="8"/>
        <v>2611</v>
      </c>
      <c r="Y728" s="1317"/>
      <c r="Z728" s="1317"/>
      <c r="AA728" s="1317"/>
      <c r="AB728" s="1318"/>
      <c r="AC728" s="1548">
        <v>0.5</v>
      </c>
      <c r="AD728" s="1549"/>
      <c r="AE728" s="1549"/>
      <c r="AF728" s="1549"/>
      <c r="AG728" s="1550"/>
      <c r="AH728" s="1319">
        <f t="shared" si="36"/>
        <v>0.5</v>
      </c>
      <c r="AI728" s="1320"/>
      <c r="AJ728" s="1321"/>
      <c r="AK728" s="1313" t="s">
        <v>810</v>
      </c>
      <c r="AL728" s="1314"/>
      <c r="AM728" s="1314"/>
      <c r="AN728" s="1314"/>
      <c r="AO728" s="1315"/>
      <c r="AP728" s="2"/>
      <c r="AQ728" s="2"/>
      <c r="AR728" s="2"/>
      <c r="AS728" s="2"/>
      <c r="AY728" s="763"/>
      <c r="AZ728" s="68">
        <f t="shared" si="9"/>
        <v>5222</v>
      </c>
      <c r="BA728" s="2"/>
      <c r="BB728" s="2"/>
      <c r="BC728" s="2"/>
      <c r="BD728" s="2"/>
      <c r="BE728" s="113"/>
      <c r="BF728" s="178">
        <f t="shared" si="10"/>
        <v>4</v>
      </c>
      <c r="BG728" s="181">
        <f t="shared" si="11"/>
        <v>4.0404040404040407E-2</v>
      </c>
      <c r="BH728" s="182">
        <f t="shared" si="12"/>
        <v>2.0202020202020204E-2</v>
      </c>
      <c r="BI728" s="2"/>
      <c r="BJ728" s="2"/>
      <c r="BK728" s="2"/>
      <c r="BL728" s="2"/>
      <c r="BM728" s="2"/>
      <c r="BN728" s="2"/>
      <c r="BS728" s="178">
        <f t="shared" si="13"/>
        <v>4</v>
      </c>
      <c r="BT728" s="181">
        <f t="shared" si="14"/>
        <v>4.0404040404040407E-2</v>
      </c>
      <c r="BU728" s="182">
        <f t="shared" si="15"/>
        <v>2.0202020202020204E-2</v>
      </c>
      <c r="BV728" s="2"/>
      <c r="BW728" s="2"/>
      <c r="BX728" s="2"/>
      <c r="BY728" s="2"/>
      <c r="BZ728" s="2"/>
      <c r="CA728" s="2"/>
      <c r="CB728" s="2"/>
      <c r="CC728" s="2"/>
      <c r="CE728" s="2"/>
      <c r="CF728" s="2"/>
      <c r="CG728" s="1299">
        <f t="shared" si="37"/>
        <v>1</v>
      </c>
      <c r="CH728" s="1301"/>
      <c r="CI728" s="1299">
        <f t="shared" si="38"/>
        <v>4</v>
      </c>
      <c r="CJ728" s="1301"/>
      <c r="CK728" s="1299">
        <f t="shared" si="16"/>
        <v>0</v>
      </c>
      <c r="CL728" s="1301"/>
      <c r="CM728" s="1299">
        <f t="shared" si="17"/>
        <v>0</v>
      </c>
      <c r="CN728" s="1301"/>
      <c r="CO728" s="2"/>
      <c r="CP728" s="1296">
        <f t="shared" si="18"/>
        <v>0</v>
      </c>
      <c r="CQ728" s="1297"/>
      <c r="CR728" s="1297"/>
      <c r="CS728" s="1297"/>
      <c r="CT728" s="1298"/>
      <c r="CU728" s="1312">
        <f t="shared" si="19"/>
        <v>0</v>
      </c>
      <c r="CV728" s="1312"/>
      <c r="CW728" s="1312"/>
      <c r="CX728" s="1312"/>
      <c r="CY728" s="1312"/>
      <c r="CZ728" s="1312">
        <f t="shared" si="20"/>
        <v>0</v>
      </c>
      <c r="DA728" s="1312"/>
      <c r="DB728" s="1312"/>
      <c r="DC728" s="1312"/>
      <c r="DD728" s="1312"/>
      <c r="DE728" s="1312">
        <f t="shared" si="21"/>
        <v>4</v>
      </c>
      <c r="DF728" s="1312"/>
      <c r="DG728" s="1312"/>
      <c r="DH728" s="1312"/>
      <c r="DI728" s="1312"/>
      <c r="DJ728" s="1312">
        <f t="shared" si="22"/>
        <v>0</v>
      </c>
      <c r="DK728" s="1312"/>
      <c r="DL728" s="1312"/>
      <c r="DM728" s="1312"/>
      <c r="DN728" s="1312"/>
      <c r="DO728" s="1312">
        <f t="shared" si="23"/>
        <v>0</v>
      </c>
      <c r="DP728" s="1312"/>
      <c r="DQ728" s="1312"/>
      <c r="DR728" s="1312"/>
      <c r="DS728" s="1312"/>
      <c r="DT728" s="1179"/>
      <c r="DU728" s="1326">
        <f t="shared" si="24"/>
        <v>0</v>
      </c>
      <c r="DV728" s="1326"/>
      <c r="DW728" s="1326"/>
      <c r="DX728" s="1326"/>
      <c r="DY728" s="1326"/>
      <c r="DZ728" s="1326">
        <f t="shared" si="25"/>
        <v>0</v>
      </c>
      <c r="EA728" s="1326"/>
      <c r="EB728" s="1326"/>
      <c r="EC728" s="1326"/>
      <c r="ED728" s="1326"/>
      <c r="EE728" s="1326">
        <f t="shared" si="26"/>
        <v>0</v>
      </c>
      <c r="EF728" s="1326"/>
      <c r="EG728" s="1326"/>
      <c r="EH728" s="1326"/>
      <c r="EI728" s="1326"/>
      <c r="EJ728" s="1326">
        <f t="shared" si="27"/>
        <v>0</v>
      </c>
      <c r="EK728" s="1326"/>
      <c r="EL728" s="1326"/>
      <c r="EM728" s="1326"/>
      <c r="EN728" s="1326"/>
      <c r="EO728" s="1326">
        <f t="shared" si="28"/>
        <v>0</v>
      </c>
      <c r="EP728" s="1326"/>
      <c r="EQ728" s="1326"/>
      <c r="ER728" s="1326"/>
      <c r="ES728" s="1326"/>
      <c r="ET728" s="1326">
        <f t="shared" si="29"/>
        <v>0</v>
      </c>
      <c r="EU728" s="1326"/>
      <c r="EV728" s="1326"/>
      <c r="EW728" s="1326"/>
      <c r="EX728" s="1326"/>
      <c r="EY728" s="2"/>
      <c r="EZ728" s="1299" t="str">
        <f t="shared" si="30"/>
        <v/>
      </c>
      <c r="FA728" s="1300"/>
      <c r="FB728" s="1300"/>
      <c r="FC728" s="1300"/>
      <c r="FD728" s="1301"/>
      <c r="FE728" s="1299" t="str">
        <f t="shared" si="31"/>
        <v/>
      </c>
      <c r="FF728" s="1300"/>
      <c r="FG728" s="1300"/>
      <c r="FH728" s="1300"/>
      <c r="FI728" s="1301"/>
      <c r="FJ728" s="1299" t="str">
        <f t="shared" si="32"/>
        <v/>
      </c>
      <c r="FK728" s="1300"/>
      <c r="FL728" s="1300"/>
      <c r="FM728" s="1300"/>
      <c r="FN728" s="1301"/>
      <c r="FO728" s="1299">
        <f t="shared" si="33"/>
        <v>2508</v>
      </c>
      <c r="FP728" s="1300"/>
      <c r="FQ728" s="1300"/>
      <c r="FR728" s="1300"/>
      <c r="FS728" s="1301"/>
      <c r="FT728" s="1299" t="str">
        <f t="shared" si="34"/>
        <v/>
      </c>
      <c r="FU728" s="1300"/>
      <c r="FV728" s="1300"/>
      <c r="FW728" s="1300"/>
      <c r="FX728" s="1301"/>
      <c r="FY728" s="1299" t="str">
        <f t="shared" si="35"/>
        <v/>
      </c>
      <c r="FZ728" s="1300"/>
      <c r="GA728" s="1300"/>
      <c r="GB728" s="1300"/>
      <c r="GC728" s="1301"/>
    </row>
    <row r="729" spans="1:185" ht="13.2" customHeight="1">
      <c r="A729" s="2"/>
      <c r="B729" s="1313" t="s">
        <v>833</v>
      </c>
      <c r="C729" s="1314"/>
      <c r="D729" s="1314"/>
      <c r="E729" s="1314"/>
      <c r="F729" s="1315"/>
      <c r="G729" s="1322">
        <v>4</v>
      </c>
      <c r="H729" s="1323"/>
      <c r="I729" s="1323"/>
      <c r="J729" s="1324"/>
      <c r="K729" s="1539">
        <f>+K728</f>
        <v>1018</v>
      </c>
      <c r="L729" s="1540"/>
      <c r="M729" s="1540"/>
      <c r="N729" s="1541"/>
      <c r="O729" s="1424">
        <v>1463</v>
      </c>
      <c r="P729" s="1425"/>
      <c r="Q729" s="1425"/>
      <c r="R729" s="1425"/>
      <c r="S729" s="1426"/>
      <c r="T729" s="1424">
        <v>103</v>
      </c>
      <c r="U729" s="1425"/>
      <c r="V729" s="1425"/>
      <c r="W729" s="1426"/>
      <c r="X729" s="1316">
        <f t="shared" si="8"/>
        <v>1566</v>
      </c>
      <c r="Y729" s="1317"/>
      <c r="Z729" s="1317"/>
      <c r="AA729" s="1317"/>
      <c r="AB729" s="1318"/>
      <c r="AC729" s="1548">
        <v>0.3</v>
      </c>
      <c r="AD729" s="1549"/>
      <c r="AE729" s="1549"/>
      <c r="AF729" s="1549"/>
      <c r="AG729" s="1550"/>
      <c r="AH729" s="1319">
        <f t="shared" si="36"/>
        <v>0.29988510149368058</v>
      </c>
      <c r="AI729" s="1320"/>
      <c r="AJ729" s="1321"/>
      <c r="AK729" s="1313" t="s">
        <v>810</v>
      </c>
      <c r="AL729" s="1314"/>
      <c r="AM729" s="1314"/>
      <c r="AN729" s="1314"/>
      <c r="AO729" s="1315"/>
      <c r="AP729" s="2"/>
      <c r="AQ729" s="2"/>
      <c r="AR729" s="2"/>
      <c r="AS729" s="2"/>
      <c r="AY729" s="763"/>
      <c r="AZ729" s="68">
        <f t="shared" si="9"/>
        <v>5222</v>
      </c>
      <c r="BA729" s="2"/>
      <c r="BB729" s="2"/>
      <c r="BC729" s="2"/>
      <c r="BD729" s="2"/>
      <c r="BE729" s="113"/>
      <c r="BF729" s="178">
        <f t="shared" si="10"/>
        <v>4</v>
      </c>
      <c r="BG729" s="181">
        <f t="shared" si="11"/>
        <v>4.0404040404040407E-2</v>
      </c>
      <c r="BH729" s="182">
        <f t="shared" si="12"/>
        <v>1.2121212121212121E-2</v>
      </c>
      <c r="BI729" s="2"/>
      <c r="BJ729" s="2"/>
      <c r="BK729" s="2"/>
      <c r="BL729" s="2"/>
      <c r="BM729" s="2"/>
      <c r="BN729" s="2"/>
      <c r="BS729" s="178">
        <f t="shared" si="13"/>
        <v>4</v>
      </c>
      <c r="BT729" s="181">
        <f t="shared" si="14"/>
        <v>4.0404040404040407E-2</v>
      </c>
      <c r="BU729" s="182">
        <f t="shared" si="15"/>
        <v>1.2116569757320429E-2</v>
      </c>
      <c r="BV729" s="2"/>
      <c r="BW729" s="2"/>
      <c r="BX729" s="2"/>
      <c r="BY729" s="2"/>
      <c r="BZ729" s="2"/>
      <c r="CA729" s="2"/>
      <c r="CB729" s="2"/>
      <c r="CC729" s="2"/>
      <c r="CE729" s="2"/>
      <c r="CF729" s="2"/>
      <c r="CG729" s="1299">
        <f t="shared" si="37"/>
        <v>0</v>
      </c>
      <c r="CH729" s="1301"/>
      <c r="CI729" s="1299">
        <f t="shared" si="38"/>
        <v>0</v>
      </c>
      <c r="CJ729" s="1301"/>
      <c r="CK729" s="1299">
        <f t="shared" si="16"/>
        <v>1</v>
      </c>
      <c r="CL729" s="1301"/>
      <c r="CM729" s="1299">
        <f t="shared" si="17"/>
        <v>4</v>
      </c>
      <c r="CN729" s="1301"/>
      <c r="CO729" s="2"/>
      <c r="CP729" s="1296">
        <f t="shared" si="18"/>
        <v>0</v>
      </c>
      <c r="CQ729" s="1297"/>
      <c r="CR729" s="1297"/>
      <c r="CS729" s="1297"/>
      <c r="CT729" s="1298"/>
      <c r="CU729" s="1312">
        <f t="shared" si="19"/>
        <v>0</v>
      </c>
      <c r="CV729" s="1312"/>
      <c r="CW729" s="1312"/>
      <c r="CX729" s="1312"/>
      <c r="CY729" s="1312"/>
      <c r="CZ729" s="1312">
        <f t="shared" si="20"/>
        <v>0</v>
      </c>
      <c r="DA729" s="1312"/>
      <c r="DB729" s="1312"/>
      <c r="DC729" s="1312"/>
      <c r="DD729" s="1312"/>
      <c r="DE729" s="1312">
        <f t="shared" si="21"/>
        <v>4</v>
      </c>
      <c r="DF729" s="1312"/>
      <c r="DG729" s="1312"/>
      <c r="DH729" s="1312"/>
      <c r="DI729" s="1312"/>
      <c r="DJ729" s="1312">
        <f t="shared" si="22"/>
        <v>0</v>
      </c>
      <c r="DK729" s="1312"/>
      <c r="DL729" s="1312"/>
      <c r="DM729" s="1312"/>
      <c r="DN729" s="1312"/>
      <c r="DO729" s="1312">
        <f t="shared" si="23"/>
        <v>0</v>
      </c>
      <c r="DP729" s="1312"/>
      <c r="DQ729" s="1312"/>
      <c r="DR729" s="1312"/>
      <c r="DS729" s="1312"/>
      <c r="DT729" s="1179"/>
      <c r="DU729" s="1326">
        <f t="shared" si="24"/>
        <v>0</v>
      </c>
      <c r="DV729" s="1326"/>
      <c r="DW729" s="1326"/>
      <c r="DX729" s="1326"/>
      <c r="DY729" s="1326"/>
      <c r="DZ729" s="1326">
        <f t="shared" si="25"/>
        <v>0</v>
      </c>
      <c r="EA729" s="1326"/>
      <c r="EB729" s="1326"/>
      <c r="EC729" s="1326"/>
      <c r="ED729" s="1326"/>
      <c r="EE729" s="1326">
        <f t="shared" si="26"/>
        <v>0</v>
      </c>
      <c r="EF729" s="1326"/>
      <c r="EG729" s="1326"/>
      <c r="EH729" s="1326"/>
      <c r="EI729" s="1326"/>
      <c r="EJ729" s="1326">
        <f t="shared" si="27"/>
        <v>4</v>
      </c>
      <c r="EK729" s="1326"/>
      <c r="EL729" s="1326"/>
      <c r="EM729" s="1326"/>
      <c r="EN729" s="1326"/>
      <c r="EO729" s="1326">
        <f t="shared" si="28"/>
        <v>0</v>
      </c>
      <c r="EP729" s="1326"/>
      <c r="EQ729" s="1326"/>
      <c r="ER729" s="1326"/>
      <c r="ES729" s="1326"/>
      <c r="ET729" s="1326">
        <f t="shared" si="29"/>
        <v>0</v>
      </c>
      <c r="EU729" s="1326"/>
      <c r="EV729" s="1326"/>
      <c r="EW729" s="1326"/>
      <c r="EX729" s="1326"/>
      <c r="EZ729" s="1299" t="str">
        <f t="shared" si="30"/>
        <v/>
      </c>
      <c r="FA729" s="1300"/>
      <c r="FB729" s="1300"/>
      <c r="FC729" s="1300"/>
      <c r="FD729" s="1301"/>
      <c r="FE729" s="1299" t="str">
        <f t="shared" si="31"/>
        <v/>
      </c>
      <c r="FF729" s="1300"/>
      <c r="FG729" s="1300"/>
      <c r="FH729" s="1300"/>
      <c r="FI729" s="1301"/>
      <c r="FJ729" s="1299" t="str">
        <f t="shared" si="32"/>
        <v/>
      </c>
      <c r="FK729" s="1300"/>
      <c r="FL729" s="1300"/>
      <c r="FM729" s="1300"/>
      <c r="FN729" s="1301"/>
      <c r="FO729" s="1299">
        <f t="shared" si="33"/>
        <v>1463</v>
      </c>
      <c r="FP729" s="1300"/>
      <c r="FQ729" s="1300"/>
      <c r="FR729" s="1300"/>
      <c r="FS729" s="1301"/>
      <c r="FT729" s="1299" t="str">
        <f t="shared" si="34"/>
        <v/>
      </c>
      <c r="FU729" s="1300"/>
      <c r="FV729" s="1300"/>
      <c r="FW729" s="1300"/>
      <c r="FX729" s="1301"/>
      <c r="FY729" s="1299" t="str">
        <f t="shared" si="35"/>
        <v/>
      </c>
      <c r="FZ729" s="1300"/>
      <c r="GA729" s="1300"/>
      <c r="GB729" s="1300"/>
      <c r="GC729" s="1301"/>
    </row>
    <row r="730" spans="1:185" ht="13.2" customHeight="1">
      <c r="B730" s="1313"/>
      <c r="C730" s="1314"/>
      <c r="D730" s="1314"/>
      <c r="E730" s="1314"/>
      <c r="F730" s="1315"/>
      <c r="G730" s="1322"/>
      <c r="H730" s="1323"/>
      <c r="I730" s="1323"/>
      <c r="J730" s="1324"/>
      <c r="K730" s="1539"/>
      <c r="L730" s="1540"/>
      <c r="M730" s="1540"/>
      <c r="N730" s="1541"/>
      <c r="O730" s="1424"/>
      <c r="P730" s="1425"/>
      <c r="Q730" s="1425"/>
      <c r="R730" s="1425"/>
      <c r="S730" s="1426"/>
      <c r="T730" s="1424"/>
      <c r="U730" s="1425"/>
      <c r="V730" s="1425"/>
      <c r="W730" s="1426"/>
      <c r="X730" s="1316">
        <f t="shared" si="8"/>
        <v>0</v>
      </c>
      <c r="Y730" s="1317"/>
      <c r="Z730" s="1317"/>
      <c r="AA730" s="1317"/>
      <c r="AB730" s="1318"/>
      <c r="AC730" s="1548"/>
      <c r="AD730" s="1549"/>
      <c r="AE730" s="1549"/>
      <c r="AF730" s="1549"/>
      <c r="AG730" s="1550"/>
      <c r="AH730" s="1319" t="str">
        <f t="shared" si="36"/>
        <v/>
      </c>
      <c r="AI730" s="1320"/>
      <c r="AJ730" s="1321"/>
      <c r="AK730" s="1313" t="s">
        <v>810</v>
      </c>
      <c r="AL730" s="1314"/>
      <c r="AM730" s="1314"/>
      <c r="AN730" s="1314"/>
      <c r="AO730" s="1315"/>
      <c r="AP730" s="2"/>
      <c r="AQ730" s="2"/>
      <c r="AR730" s="2"/>
      <c r="AS730" s="2"/>
      <c r="AY730" s="763"/>
      <c r="AZ730" s="68" t="str">
        <f t="shared" si="9"/>
        <v>N/A</v>
      </c>
      <c r="BA730" s="2"/>
      <c r="BB730" s="2"/>
      <c r="BC730" s="2"/>
      <c r="BD730" s="2"/>
      <c r="BE730" s="113"/>
      <c r="BF730" s="178">
        <f t="shared" si="10"/>
        <v>0</v>
      </c>
      <c r="BG730" s="181">
        <f t="shared" si="11"/>
        <v>0</v>
      </c>
      <c r="BH730" s="182" t="str">
        <f t="shared" si="12"/>
        <v/>
      </c>
      <c r="BI730" s="2"/>
      <c r="BJ730" s="2"/>
      <c r="BK730" s="2"/>
      <c r="BL730" s="2"/>
      <c r="BM730" s="2"/>
      <c r="BN730" s="2"/>
      <c r="BS730" s="178">
        <f t="shared" si="13"/>
        <v>0</v>
      </c>
      <c r="BT730" s="181">
        <f t="shared" si="14"/>
        <v>0</v>
      </c>
      <c r="BU730" s="182" t="str">
        <f t="shared" si="15"/>
        <v/>
      </c>
      <c r="BV730" s="2"/>
      <c r="BW730" s="2"/>
      <c r="BX730" s="2"/>
      <c r="BY730" s="2"/>
      <c r="BZ730" s="2"/>
      <c r="CA730" s="2"/>
      <c r="CB730" s="2"/>
      <c r="CC730" s="2"/>
      <c r="CE730" s="2"/>
      <c r="CF730" s="2"/>
      <c r="CG730" s="1299">
        <f t="shared" si="37"/>
        <v>0</v>
      </c>
      <c r="CH730" s="1301"/>
      <c r="CI730" s="1299">
        <f t="shared" si="38"/>
        <v>0</v>
      </c>
      <c r="CJ730" s="1301"/>
      <c r="CK730" s="1299">
        <f t="shared" si="16"/>
        <v>0</v>
      </c>
      <c r="CL730" s="1301"/>
      <c r="CM730" s="1299">
        <f t="shared" si="17"/>
        <v>0</v>
      </c>
      <c r="CN730" s="1301"/>
      <c r="CO730" s="2"/>
      <c r="CP730" s="1296">
        <f t="shared" si="18"/>
        <v>0</v>
      </c>
      <c r="CQ730" s="1297"/>
      <c r="CR730" s="1297"/>
      <c r="CS730" s="1297"/>
      <c r="CT730" s="1298"/>
      <c r="CU730" s="1312">
        <f t="shared" si="19"/>
        <v>0</v>
      </c>
      <c r="CV730" s="1312"/>
      <c r="CW730" s="1312"/>
      <c r="CX730" s="1312"/>
      <c r="CY730" s="1312"/>
      <c r="CZ730" s="1312">
        <f t="shared" si="20"/>
        <v>0</v>
      </c>
      <c r="DA730" s="1312"/>
      <c r="DB730" s="1312"/>
      <c r="DC730" s="1312"/>
      <c r="DD730" s="1312"/>
      <c r="DE730" s="1312">
        <f t="shared" si="21"/>
        <v>0</v>
      </c>
      <c r="DF730" s="1312"/>
      <c r="DG730" s="1312"/>
      <c r="DH730" s="1312"/>
      <c r="DI730" s="1312"/>
      <c r="DJ730" s="1312">
        <f t="shared" si="22"/>
        <v>0</v>
      </c>
      <c r="DK730" s="1312"/>
      <c r="DL730" s="1312"/>
      <c r="DM730" s="1312"/>
      <c r="DN730" s="1312"/>
      <c r="DO730" s="1312">
        <f t="shared" si="23"/>
        <v>0</v>
      </c>
      <c r="DP730" s="1312"/>
      <c r="DQ730" s="1312"/>
      <c r="DR730" s="1312"/>
      <c r="DS730" s="1312"/>
      <c r="DT730" s="1179"/>
      <c r="DU730" s="1326">
        <f t="shared" si="24"/>
        <v>0</v>
      </c>
      <c r="DV730" s="1326"/>
      <c r="DW730" s="1326"/>
      <c r="DX730" s="1326"/>
      <c r="DY730" s="1326"/>
      <c r="DZ730" s="1326">
        <f t="shared" si="25"/>
        <v>0</v>
      </c>
      <c r="EA730" s="1326"/>
      <c r="EB730" s="1326"/>
      <c r="EC730" s="1326"/>
      <c r="ED730" s="1326"/>
      <c r="EE730" s="1326">
        <f t="shared" si="26"/>
        <v>0</v>
      </c>
      <c r="EF730" s="1326"/>
      <c r="EG730" s="1326"/>
      <c r="EH730" s="1326"/>
      <c r="EI730" s="1326"/>
      <c r="EJ730" s="1326">
        <f t="shared" si="27"/>
        <v>0</v>
      </c>
      <c r="EK730" s="1326"/>
      <c r="EL730" s="1326"/>
      <c r="EM730" s="1326"/>
      <c r="EN730" s="1326"/>
      <c r="EO730" s="1326">
        <f t="shared" si="28"/>
        <v>0</v>
      </c>
      <c r="EP730" s="1326"/>
      <c r="EQ730" s="1326"/>
      <c r="ER730" s="1326"/>
      <c r="ES730" s="1326"/>
      <c r="ET730" s="1326">
        <f t="shared" si="29"/>
        <v>0</v>
      </c>
      <c r="EU730" s="1326"/>
      <c r="EV730" s="1326"/>
      <c r="EW730" s="1326"/>
      <c r="EX730" s="1326"/>
      <c r="EZ730" s="1299" t="str">
        <f t="shared" si="30"/>
        <v/>
      </c>
      <c r="FA730" s="1300"/>
      <c r="FB730" s="1300"/>
      <c r="FC730" s="1300"/>
      <c r="FD730" s="1301"/>
      <c r="FE730" s="1299" t="str">
        <f t="shared" si="31"/>
        <v/>
      </c>
      <c r="FF730" s="1300"/>
      <c r="FG730" s="1300"/>
      <c r="FH730" s="1300"/>
      <c r="FI730" s="1301"/>
      <c r="FJ730" s="1299" t="str">
        <f t="shared" si="32"/>
        <v/>
      </c>
      <c r="FK730" s="1300"/>
      <c r="FL730" s="1300"/>
      <c r="FM730" s="1300"/>
      <c r="FN730" s="1301"/>
      <c r="FO730" s="1299" t="str">
        <f t="shared" si="33"/>
        <v/>
      </c>
      <c r="FP730" s="1300"/>
      <c r="FQ730" s="1300"/>
      <c r="FR730" s="1300"/>
      <c r="FS730" s="1301"/>
      <c r="FT730" s="1299" t="str">
        <f t="shared" si="34"/>
        <v/>
      </c>
      <c r="FU730" s="1300"/>
      <c r="FV730" s="1300"/>
      <c r="FW730" s="1300"/>
      <c r="FX730" s="1301"/>
      <c r="FY730" s="1299" t="str">
        <f t="shared" si="35"/>
        <v/>
      </c>
      <c r="FZ730" s="1300"/>
      <c r="GA730" s="1300"/>
      <c r="GB730" s="1300"/>
      <c r="GC730" s="1301"/>
    </row>
    <row r="731" spans="1:185" ht="13.2" customHeight="1">
      <c r="B731" s="1313"/>
      <c r="C731" s="1314"/>
      <c r="D731" s="1314"/>
      <c r="E731" s="1314"/>
      <c r="F731" s="1315"/>
      <c r="G731" s="1322"/>
      <c r="H731" s="1323"/>
      <c r="I731" s="1323"/>
      <c r="J731" s="1324"/>
      <c r="K731" s="1539"/>
      <c r="L731" s="1540"/>
      <c r="M731" s="1540"/>
      <c r="N731" s="1541"/>
      <c r="O731" s="1424"/>
      <c r="P731" s="1425"/>
      <c r="Q731" s="1425"/>
      <c r="R731" s="1425"/>
      <c r="S731" s="1426"/>
      <c r="T731" s="1424"/>
      <c r="U731" s="1425"/>
      <c r="V731" s="1425"/>
      <c r="W731" s="1426"/>
      <c r="X731" s="1316">
        <f t="shared" si="8"/>
        <v>0</v>
      </c>
      <c r="Y731" s="1317"/>
      <c r="Z731" s="1317"/>
      <c r="AA731" s="1317"/>
      <c r="AB731" s="1318"/>
      <c r="AC731" s="1548"/>
      <c r="AD731" s="1549"/>
      <c r="AE731" s="1549"/>
      <c r="AF731" s="1549"/>
      <c r="AG731" s="1550"/>
      <c r="AH731" s="1319" t="str">
        <f t="shared" si="36"/>
        <v/>
      </c>
      <c r="AI731" s="1320"/>
      <c r="AJ731" s="1321"/>
      <c r="AK731" s="1313" t="s">
        <v>810</v>
      </c>
      <c r="AL731" s="1314"/>
      <c r="AM731" s="1314"/>
      <c r="AN731" s="1314"/>
      <c r="AO731" s="1315"/>
      <c r="AP731" s="2"/>
      <c r="AQ731" s="2"/>
      <c r="AR731" s="2"/>
      <c r="AS731" s="2"/>
      <c r="AY731" s="763"/>
      <c r="AZ731" s="68" t="str">
        <f t="shared" si="9"/>
        <v>N/A</v>
      </c>
      <c r="BA731" s="2"/>
      <c r="BB731" s="2"/>
      <c r="BC731" s="2"/>
      <c r="BD731" s="2"/>
      <c r="BE731" s="113"/>
      <c r="BF731" s="178">
        <f t="shared" si="10"/>
        <v>0</v>
      </c>
      <c r="BG731" s="181">
        <f t="shared" si="11"/>
        <v>0</v>
      </c>
      <c r="BH731" s="182" t="str">
        <f t="shared" si="12"/>
        <v/>
      </c>
      <c r="BI731" s="2"/>
      <c r="BJ731" s="2"/>
      <c r="BK731" s="2"/>
      <c r="BL731" s="2"/>
      <c r="BM731" s="2"/>
      <c r="BN731" s="2"/>
      <c r="BS731" s="178">
        <f t="shared" si="13"/>
        <v>0</v>
      </c>
      <c r="BT731" s="181">
        <f t="shared" si="14"/>
        <v>0</v>
      </c>
      <c r="BU731" s="182" t="str">
        <f t="shared" si="15"/>
        <v/>
      </c>
      <c r="BV731" s="2"/>
      <c r="BW731" s="2"/>
      <c r="BX731" s="2"/>
      <c r="BY731" s="2"/>
      <c r="BZ731" s="2"/>
      <c r="CA731" s="2"/>
      <c r="CB731" s="2"/>
      <c r="CC731" s="2"/>
      <c r="CE731" s="2"/>
      <c r="CF731" s="2"/>
      <c r="CG731" s="1299">
        <f t="shared" si="37"/>
        <v>0</v>
      </c>
      <c r="CH731" s="1301"/>
      <c r="CI731" s="1299">
        <f t="shared" si="38"/>
        <v>0</v>
      </c>
      <c r="CJ731" s="1301"/>
      <c r="CK731" s="1299">
        <f t="shared" si="16"/>
        <v>0</v>
      </c>
      <c r="CL731" s="1301"/>
      <c r="CM731" s="1299">
        <f t="shared" si="17"/>
        <v>0</v>
      </c>
      <c r="CN731" s="1301"/>
      <c r="CO731" s="2"/>
      <c r="CP731" s="1296">
        <f t="shared" si="18"/>
        <v>0</v>
      </c>
      <c r="CQ731" s="1297"/>
      <c r="CR731" s="1297"/>
      <c r="CS731" s="1297"/>
      <c r="CT731" s="1298"/>
      <c r="CU731" s="1312">
        <f t="shared" si="19"/>
        <v>0</v>
      </c>
      <c r="CV731" s="1312"/>
      <c r="CW731" s="1312"/>
      <c r="CX731" s="1312"/>
      <c r="CY731" s="1312"/>
      <c r="CZ731" s="1312">
        <f t="shared" si="20"/>
        <v>0</v>
      </c>
      <c r="DA731" s="1312"/>
      <c r="DB731" s="1312"/>
      <c r="DC731" s="1312"/>
      <c r="DD731" s="1312"/>
      <c r="DE731" s="1312">
        <f t="shared" si="21"/>
        <v>0</v>
      </c>
      <c r="DF731" s="1312"/>
      <c r="DG731" s="1312"/>
      <c r="DH731" s="1312"/>
      <c r="DI731" s="1312"/>
      <c r="DJ731" s="1312">
        <f t="shared" si="22"/>
        <v>0</v>
      </c>
      <c r="DK731" s="1312"/>
      <c r="DL731" s="1312"/>
      <c r="DM731" s="1312"/>
      <c r="DN731" s="1312"/>
      <c r="DO731" s="1312">
        <f t="shared" si="23"/>
        <v>0</v>
      </c>
      <c r="DP731" s="1312"/>
      <c r="DQ731" s="1312"/>
      <c r="DR731" s="1312"/>
      <c r="DS731" s="1312"/>
      <c r="DT731" s="1179"/>
      <c r="DU731" s="1326">
        <f t="shared" si="24"/>
        <v>0</v>
      </c>
      <c r="DV731" s="1326"/>
      <c r="DW731" s="1326"/>
      <c r="DX731" s="1326"/>
      <c r="DY731" s="1326"/>
      <c r="DZ731" s="1326">
        <f t="shared" si="25"/>
        <v>0</v>
      </c>
      <c r="EA731" s="1326"/>
      <c r="EB731" s="1326"/>
      <c r="EC731" s="1326"/>
      <c r="ED731" s="1326"/>
      <c r="EE731" s="1326">
        <f t="shared" si="26"/>
        <v>0</v>
      </c>
      <c r="EF731" s="1326"/>
      <c r="EG731" s="1326"/>
      <c r="EH731" s="1326"/>
      <c r="EI731" s="1326"/>
      <c r="EJ731" s="1326">
        <f t="shared" si="27"/>
        <v>0</v>
      </c>
      <c r="EK731" s="1326"/>
      <c r="EL731" s="1326"/>
      <c r="EM731" s="1326"/>
      <c r="EN731" s="1326"/>
      <c r="EO731" s="1326">
        <f t="shared" si="28"/>
        <v>0</v>
      </c>
      <c r="EP731" s="1326"/>
      <c r="EQ731" s="1326"/>
      <c r="ER731" s="1326"/>
      <c r="ES731" s="1326"/>
      <c r="ET731" s="1326">
        <f t="shared" si="29"/>
        <v>0</v>
      </c>
      <c r="EU731" s="1326"/>
      <c r="EV731" s="1326"/>
      <c r="EW731" s="1326"/>
      <c r="EX731" s="1326"/>
      <c r="EZ731" s="1299" t="str">
        <f t="shared" si="30"/>
        <v/>
      </c>
      <c r="FA731" s="1300"/>
      <c r="FB731" s="1300"/>
      <c r="FC731" s="1300"/>
      <c r="FD731" s="1301"/>
      <c r="FE731" s="1299" t="str">
        <f t="shared" si="31"/>
        <v/>
      </c>
      <c r="FF731" s="1300"/>
      <c r="FG731" s="1300"/>
      <c r="FH731" s="1300"/>
      <c r="FI731" s="1301"/>
      <c r="FJ731" s="1299" t="str">
        <f t="shared" si="32"/>
        <v/>
      </c>
      <c r="FK731" s="1300"/>
      <c r="FL731" s="1300"/>
      <c r="FM731" s="1300"/>
      <c r="FN731" s="1301"/>
      <c r="FO731" s="1299" t="str">
        <f t="shared" si="33"/>
        <v/>
      </c>
      <c r="FP731" s="1300"/>
      <c r="FQ731" s="1300"/>
      <c r="FR731" s="1300"/>
      <c r="FS731" s="1301"/>
      <c r="FT731" s="1299" t="str">
        <f t="shared" si="34"/>
        <v/>
      </c>
      <c r="FU731" s="1300"/>
      <c r="FV731" s="1300"/>
      <c r="FW731" s="1300"/>
      <c r="FX731" s="1301"/>
      <c r="FY731" s="1299" t="str">
        <f t="shared" si="35"/>
        <v/>
      </c>
      <c r="FZ731" s="1300"/>
      <c r="GA731" s="1300"/>
      <c r="GB731" s="1300"/>
      <c r="GC731" s="1301"/>
    </row>
    <row r="732" spans="1:185" ht="13.2" customHeight="1">
      <c r="B732" s="1313"/>
      <c r="C732" s="1314"/>
      <c r="D732" s="1314"/>
      <c r="E732" s="1314"/>
      <c r="F732" s="1315"/>
      <c r="G732" s="1322"/>
      <c r="H732" s="1323"/>
      <c r="I732" s="1323"/>
      <c r="J732" s="1324"/>
      <c r="K732" s="1539"/>
      <c r="L732" s="1540"/>
      <c r="M732" s="1540"/>
      <c r="N732" s="1541"/>
      <c r="O732" s="1424"/>
      <c r="P732" s="1425"/>
      <c r="Q732" s="1425"/>
      <c r="R732" s="1425"/>
      <c r="S732" s="1426"/>
      <c r="T732" s="1424"/>
      <c r="U732" s="1425"/>
      <c r="V732" s="1425"/>
      <c r="W732" s="1426"/>
      <c r="X732" s="1316">
        <f t="shared" si="8"/>
        <v>0</v>
      </c>
      <c r="Y732" s="1317"/>
      <c r="Z732" s="1317"/>
      <c r="AA732" s="1317"/>
      <c r="AB732" s="1318"/>
      <c r="AC732" s="1548"/>
      <c r="AD732" s="1549"/>
      <c r="AE732" s="1549"/>
      <c r="AF732" s="1549"/>
      <c r="AG732" s="1550"/>
      <c r="AH732" s="1319" t="str">
        <f t="shared" si="36"/>
        <v/>
      </c>
      <c r="AI732" s="1320"/>
      <c r="AJ732" s="1321"/>
      <c r="AK732" s="1313" t="s">
        <v>810</v>
      </c>
      <c r="AL732" s="1314"/>
      <c r="AM732" s="1314"/>
      <c r="AN732" s="1314"/>
      <c r="AO732" s="1315"/>
      <c r="AP732" s="2"/>
      <c r="AQ732" s="2"/>
      <c r="AR732" s="2"/>
      <c r="AS732" s="2"/>
      <c r="AY732" s="763"/>
      <c r="AZ732" s="68" t="str">
        <f t="shared" si="9"/>
        <v>N/A</v>
      </c>
      <c r="BA732" s="2"/>
      <c r="BB732" s="2"/>
      <c r="BC732" s="2"/>
      <c r="BD732" s="2"/>
      <c r="BE732" s="113"/>
      <c r="BF732" s="178">
        <f t="shared" si="10"/>
        <v>0</v>
      </c>
      <c r="BG732" s="181">
        <f t="shared" si="11"/>
        <v>0</v>
      </c>
      <c r="BH732" s="182" t="str">
        <f t="shared" si="12"/>
        <v/>
      </c>
      <c r="BI732" s="2"/>
      <c r="BJ732" s="2"/>
      <c r="BK732" s="2"/>
      <c r="BL732" s="2"/>
      <c r="BM732" s="2"/>
      <c r="BN732" s="2"/>
      <c r="BS732" s="178">
        <f t="shared" si="13"/>
        <v>0</v>
      </c>
      <c r="BT732" s="181">
        <f t="shared" si="14"/>
        <v>0</v>
      </c>
      <c r="BU732" s="182" t="str">
        <f t="shared" si="15"/>
        <v/>
      </c>
      <c r="BV732" s="2"/>
      <c r="BW732" s="2"/>
      <c r="BX732" s="2"/>
      <c r="BY732" s="2"/>
      <c r="BZ732" s="2"/>
      <c r="CA732" s="2"/>
      <c r="CB732" s="2"/>
      <c r="CC732" s="2"/>
      <c r="CE732" s="2"/>
      <c r="CF732" s="2"/>
      <c r="CG732" s="1299">
        <f t="shared" si="37"/>
        <v>0</v>
      </c>
      <c r="CH732" s="1301"/>
      <c r="CI732" s="1299">
        <f t="shared" si="38"/>
        <v>0</v>
      </c>
      <c r="CJ732" s="1301"/>
      <c r="CK732" s="1299">
        <f t="shared" si="16"/>
        <v>0</v>
      </c>
      <c r="CL732" s="1301"/>
      <c r="CM732" s="1299">
        <f t="shared" si="17"/>
        <v>0</v>
      </c>
      <c r="CN732" s="1301"/>
      <c r="CO732" s="2"/>
      <c r="CP732" s="1296">
        <f t="shared" si="18"/>
        <v>0</v>
      </c>
      <c r="CQ732" s="1297"/>
      <c r="CR732" s="1297"/>
      <c r="CS732" s="1297"/>
      <c r="CT732" s="1298"/>
      <c r="CU732" s="1312">
        <f t="shared" si="19"/>
        <v>0</v>
      </c>
      <c r="CV732" s="1312"/>
      <c r="CW732" s="1312"/>
      <c r="CX732" s="1312"/>
      <c r="CY732" s="1312"/>
      <c r="CZ732" s="1312">
        <f t="shared" si="20"/>
        <v>0</v>
      </c>
      <c r="DA732" s="1312"/>
      <c r="DB732" s="1312"/>
      <c r="DC732" s="1312"/>
      <c r="DD732" s="1312"/>
      <c r="DE732" s="1312">
        <f t="shared" si="21"/>
        <v>0</v>
      </c>
      <c r="DF732" s="1312"/>
      <c r="DG732" s="1312"/>
      <c r="DH732" s="1312"/>
      <c r="DI732" s="1312"/>
      <c r="DJ732" s="1312">
        <f t="shared" si="22"/>
        <v>0</v>
      </c>
      <c r="DK732" s="1312"/>
      <c r="DL732" s="1312"/>
      <c r="DM732" s="1312"/>
      <c r="DN732" s="1312"/>
      <c r="DO732" s="1312">
        <f t="shared" si="23"/>
        <v>0</v>
      </c>
      <c r="DP732" s="1312"/>
      <c r="DQ732" s="1312"/>
      <c r="DR732" s="1312"/>
      <c r="DS732" s="1312"/>
      <c r="DT732" s="1179"/>
      <c r="DU732" s="1326">
        <f t="shared" si="24"/>
        <v>0</v>
      </c>
      <c r="DV732" s="1326"/>
      <c r="DW732" s="1326"/>
      <c r="DX732" s="1326"/>
      <c r="DY732" s="1326"/>
      <c r="DZ732" s="1326">
        <f t="shared" si="25"/>
        <v>0</v>
      </c>
      <c r="EA732" s="1326"/>
      <c r="EB732" s="1326"/>
      <c r="EC732" s="1326"/>
      <c r="ED732" s="1326"/>
      <c r="EE732" s="1326">
        <f t="shared" si="26"/>
        <v>0</v>
      </c>
      <c r="EF732" s="1326"/>
      <c r="EG732" s="1326"/>
      <c r="EH732" s="1326"/>
      <c r="EI732" s="1326"/>
      <c r="EJ732" s="1326">
        <f t="shared" si="27"/>
        <v>0</v>
      </c>
      <c r="EK732" s="1326"/>
      <c r="EL732" s="1326"/>
      <c r="EM732" s="1326"/>
      <c r="EN732" s="1326"/>
      <c r="EO732" s="1326">
        <f t="shared" si="28"/>
        <v>0</v>
      </c>
      <c r="EP732" s="1326"/>
      <c r="EQ732" s="1326"/>
      <c r="ER732" s="1326"/>
      <c r="ES732" s="1326"/>
      <c r="ET732" s="1326">
        <f t="shared" si="29"/>
        <v>0</v>
      </c>
      <c r="EU732" s="1326"/>
      <c r="EV732" s="1326"/>
      <c r="EW732" s="1326"/>
      <c r="EX732" s="1326"/>
      <c r="EZ732" s="1299" t="str">
        <f t="shared" si="30"/>
        <v/>
      </c>
      <c r="FA732" s="1300"/>
      <c r="FB732" s="1300"/>
      <c r="FC732" s="1300"/>
      <c r="FD732" s="1301"/>
      <c r="FE732" s="1299" t="str">
        <f t="shared" si="31"/>
        <v/>
      </c>
      <c r="FF732" s="1300"/>
      <c r="FG732" s="1300"/>
      <c r="FH732" s="1300"/>
      <c r="FI732" s="1301"/>
      <c r="FJ732" s="1299" t="str">
        <f t="shared" si="32"/>
        <v/>
      </c>
      <c r="FK732" s="1300"/>
      <c r="FL732" s="1300"/>
      <c r="FM732" s="1300"/>
      <c r="FN732" s="1301"/>
      <c r="FO732" s="1299" t="str">
        <f t="shared" si="33"/>
        <v/>
      </c>
      <c r="FP732" s="1300"/>
      <c r="FQ732" s="1300"/>
      <c r="FR732" s="1300"/>
      <c r="FS732" s="1301"/>
      <c r="FT732" s="1299" t="str">
        <f t="shared" si="34"/>
        <v/>
      </c>
      <c r="FU732" s="1300"/>
      <c r="FV732" s="1300"/>
      <c r="FW732" s="1300"/>
      <c r="FX732" s="1301"/>
      <c r="FY732" s="1299" t="str">
        <f t="shared" si="35"/>
        <v/>
      </c>
      <c r="FZ732" s="1300"/>
      <c r="GA732" s="1300"/>
      <c r="GB732" s="1300"/>
      <c r="GC732" s="1301"/>
    </row>
    <row r="733" spans="1:185" ht="13.2" customHeight="1">
      <c r="B733" s="1313"/>
      <c r="C733" s="1314"/>
      <c r="D733" s="1314"/>
      <c r="E733" s="1314"/>
      <c r="F733" s="1315"/>
      <c r="G733" s="1322"/>
      <c r="H733" s="1323"/>
      <c r="I733" s="1323"/>
      <c r="J733" s="1324"/>
      <c r="K733" s="1539"/>
      <c r="L733" s="1540"/>
      <c r="M733" s="1540"/>
      <c r="N733" s="1541"/>
      <c r="O733" s="1424"/>
      <c r="P733" s="1425"/>
      <c r="Q733" s="1425"/>
      <c r="R733" s="1425"/>
      <c r="S733" s="1426"/>
      <c r="T733" s="1424"/>
      <c r="U733" s="1425"/>
      <c r="V733" s="1425"/>
      <c r="W733" s="1426"/>
      <c r="X733" s="1316">
        <f t="shared" si="8"/>
        <v>0</v>
      </c>
      <c r="Y733" s="1317"/>
      <c r="Z733" s="1317"/>
      <c r="AA733" s="1317"/>
      <c r="AB733" s="1318"/>
      <c r="AC733" s="1548"/>
      <c r="AD733" s="1549"/>
      <c r="AE733" s="1549"/>
      <c r="AF733" s="1549"/>
      <c r="AG733" s="1550"/>
      <c r="AH733" s="1319" t="str">
        <f t="shared" si="36"/>
        <v/>
      </c>
      <c r="AI733" s="1320"/>
      <c r="AJ733" s="1321"/>
      <c r="AK733" s="1313" t="s">
        <v>810</v>
      </c>
      <c r="AL733" s="1314"/>
      <c r="AM733" s="1314"/>
      <c r="AN733" s="1314"/>
      <c r="AO733" s="1315"/>
      <c r="AP733" s="2"/>
      <c r="AQ733" s="2"/>
      <c r="AR733" s="2"/>
      <c r="AS733" s="2"/>
      <c r="AY733" s="763"/>
      <c r="AZ733" s="68" t="str">
        <f t="shared" si="9"/>
        <v>N/A</v>
      </c>
      <c r="BA733" s="2"/>
      <c r="BB733" s="2"/>
      <c r="BC733" s="2"/>
      <c r="BD733" s="2"/>
      <c r="BE733" s="113"/>
      <c r="BF733" s="178">
        <f t="shared" si="10"/>
        <v>0</v>
      </c>
      <c r="BG733" s="181">
        <f t="shared" si="11"/>
        <v>0</v>
      </c>
      <c r="BH733" s="182" t="str">
        <f t="shared" si="12"/>
        <v/>
      </c>
      <c r="BI733" s="2"/>
      <c r="BJ733" s="2"/>
      <c r="BK733" s="2"/>
      <c r="BL733" s="2"/>
      <c r="BM733" s="2"/>
      <c r="BN733" s="2"/>
      <c r="BS733" s="178">
        <f t="shared" si="13"/>
        <v>0</v>
      </c>
      <c r="BT733" s="181">
        <f t="shared" si="14"/>
        <v>0</v>
      </c>
      <c r="BU733" s="182" t="str">
        <f t="shared" si="15"/>
        <v/>
      </c>
      <c r="BV733" s="2"/>
      <c r="BW733" s="2"/>
      <c r="BX733" s="2"/>
      <c r="BY733" s="2"/>
      <c r="BZ733" s="2"/>
      <c r="CA733" s="2"/>
      <c r="CB733" s="2"/>
      <c r="CC733" s="2"/>
      <c r="CE733" s="2"/>
      <c r="CF733" s="2"/>
      <c r="CG733" s="1299">
        <f t="shared" si="37"/>
        <v>0</v>
      </c>
      <c r="CH733" s="1301"/>
      <c r="CI733" s="1299">
        <f t="shared" si="38"/>
        <v>0</v>
      </c>
      <c r="CJ733" s="1301"/>
      <c r="CK733" s="1299">
        <f t="shared" si="16"/>
        <v>0</v>
      </c>
      <c r="CL733" s="1301"/>
      <c r="CM733" s="1299">
        <f t="shared" si="17"/>
        <v>0</v>
      </c>
      <c r="CN733" s="1301"/>
      <c r="CO733" s="2"/>
      <c r="CP733" s="1296">
        <f t="shared" si="18"/>
        <v>0</v>
      </c>
      <c r="CQ733" s="1297"/>
      <c r="CR733" s="1297"/>
      <c r="CS733" s="1297"/>
      <c r="CT733" s="1298"/>
      <c r="CU733" s="1312">
        <f t="shared" si="19"/>
        <v>0</v>
      </c>
      <c r="CV733" s="1312"/>
      <c r="CW733" s="1312"/>
      <c r="CX733" s="1312"/>
      <c r="CY733" s="1312"/>
      <c r="CZ733" s="1312">
        <f t="shared" si="20"/>
        <v>0</v>
      </c>
      <c r="DA733" s="1312"/>
      <c r="DB733" s="1312"/>
      <c r="DC733" s="1312"/>
      <c r="DD733" s="1312"/>
      <c r="DE733" s="1312">
        <f t="shared" si="21"/>
        <v>0</v>
      </c>
      <c r="DF733" s="1312"/>
      <c r="DG733" s="1312"/>
      <c r="DH733" s="1312"/>
      <c r="DI733" s="1312"/>
      <c r="DJ733" s="1312">
        <f t="shared" si="22"/>
        <v>0</v>
      </c>
      <c r="DK733" s="1312"/>
      <c r="DL733" s="1312"/>
      <c r="DM733" s="1312"/>
      <c r="DN733" s="1312"/>
      <c r="DO733" s="1312">
        <f t="shared" si="23"/>
        <v>0</v>
      </c>
      <c r="DP733" s="1312"/>
      <c r="DQ733" s="1312"/>
      <c r="DR733" s="1312"/>
      <c r="DS733" s="1312"/>
      <c r="DT733" s="1179"/>
      <c r="DU733" s="1326">
        <f t="shared" si="24"/>
        <v>0</v>
      </c>
      <c r="DV733" s="1326"/>
      <c r="DW733" s="1326"/>
      <c r="DX733" s="1326"/>
      <c r="DY733" s="1326"/>
      <c r="DZ733" s="1326">
        <f t="shared" si="25"/>
        <v>0</v>
      </c>
      <c r="EA733" s="1326"/>
      <c r="EB733" s="1326"/>
      <c r="EC733" s="1326"/>
      <c r="ED733" s="1326"/>
      <c r="EE733" s="1326">
        <f t="shared" si="26"/>
        <v>0</v>
      </c>
      <c r="EF733" s="1326"/>
      <c r="EG733" s="1326"/>
      <c r="EH733" s="1326"/>
      <c r="EI733" s="1326"/>
      <c r="EJ733" s="1326">
        <f t="shared" si="27"/>
        <v>0</v>
      </c>
      <c r="EK733" s="1326"/>
      <c r="EL733" s="1326"/>
      <c r="EM733" s="1326"/>
      <c r="EN733" s="1326"/>
      <c r="EO733" s="1326">
        <f t="shared" si="28"/>
        <v>0</v>
      </c>
      <c r="EP733" s="1326"/>
      <c r="EQ733" s="1326"/>
      <c r="ER733" s="1326"/>
      <c r="ES733" s="1326"/>
      <c r="ET733" s="1326">
        <f t="shared" si="29"/>
        <v>0</v>
      </c>
      <c r="EU733" s="1326"/>
      <c r="EV733" s="1326"/>
      <c r="EW733" s="1326"/>
      <c r="EX733" s="1326"/>
      <c r="EZ733" s="1299" t="str">
        <f t="shared" si="30"/>
        <v/>
      </c>
      <c r="FA733" s="1300"/>
      <c r="FB733" s="1300"/>
      <c r="FC733" s="1300"/>
      <c r="FD733" s="1301"/>
      <c r="FE733" s="1299" t="str">
        <f t="shared" si="31"/>
        <v/>
      </c>
      <c r="FF733" s="1300"/>
      <c r="FG733" s="1300"/>
      <c r="FH733" s="1300"/>
      <c r="FI733" s="1301"/>
      <c r="FJ733" s="1299" t="str">
        <f t="shared" si="32"/>
        <v/>
      </c>
      <c r="FK733" s="1300"/>
      <c r="FL733" s="1300"/>
      <c r="FM733" s="1300"/>
      <c r="FN733" s="1301"/>
      <c r="FO733" s="1299" t="str">
        <f t="shared" si="33"/>
        <v/>
      </c>
      <c r="FP733" s="1300"/>
      <c r="FQ733" s="1300"/>
      <c r="FR733" s="1300"/>
      <c r="FS733" s="1301"/>
      <c r="FT733" s="1299" t="str">
        <f t="shared" si="34"/>
        <v/>
      </c>
      <c r="FU733" s="1300"/>
      <c r="FV733" s="1300"/>
      <c r="FW733" s="1300"/>
      <c r="FX733" s="1301"/>
      <c r="FY733" s="1299" t="str">
        <f t="shared" si="35"/>
        <v/>
      </c>
      <c r="FZ733" s="1300"/>
      <c r="GA733" s="1300"/>
      <c r="GB733" s="1300"/>
      <c r="GC733" s="1301"/>
    </row>
    <row r="734" spans="1:185" ht="13.2" customHeight="1">
      <c r="B734" s="1313"/>
      <c r="C734" s="1314"/>
      <c r="D734" s="1314"/>
      <c r="E734" s="1314"/>
      <c r="F734" s="1315"/>
      <c r="G734" s="1322"/>
      <c r="H734" s="1323"/>
      <c r="I734" s="1323"/>
      <c r="J734" s="1324"/>
      <c r="K734" s="1539"/>
      <c r="L734" s="1540"/>
      <c r="M734" s="1540"/>
      <c r="N734" s="1541"/>
      <c r="O734" s="1424"/>
      <c r="P734" s="1425"/>
      <c r="Q734" s="1425"/>
      <c r="R734" s="1425"/>
      <c r="S734" s="1426"/>
      <c r="T734" s="1424"/>
      <c r="U734" s="1425"/>
      <c r="V734" s="1425"/>
      <c r="W734" s="1426"/>
      <c r="X734" s="1316">
        <f t="shared" si="8"/>
        <v>0</v>
      </c>
      <c r="Y734" s="1317"/>
      <c r="Z734" s="1317"/>
      <c r="AA734" s="1317"/>
      <c r="AB734" s="1318"/>
      <c r="AC734" s="1548"/>
      <c r="AD734" s="1549"/>
      <c r="AE734" s="1549"/>
      <c r="AF734" s="1549"/>
      <c r="AG734" s="1550"/>
      <c r="AH734" s="1319" t="str">
        <f t="shared" si="36"/>
        <v/>
      </c>
      <c r="AI734" s="1320"/>
      <c r="AJ734" s="1321"/>
      <c r="AK734" s="1313" t="s">
        <v>810</v>
      </c>
      <c r="AL734" s="1314"/>
      <c r="AM734" s="1314"/>
      <c r="AN734" s="1314"/>
      <c r="AO734" s="1315"/>
      <c r="AP734" s="2"/>
      <c r="AQ734" s="2"/>
      <c r="AR734" s="2"/>
      <c r="AS734" s="2"/>
      <c r="AY734" s="763"/>
      <c r="AZ734" s="68" t="str">
        <f t="shared" si="9"/>
        <v>N/A</v>
      </c>
      <c r="BA734" s="2"/>
      <c r="BB734" s="2"/>
      <c r="BC734" s="2"/>
      <c r="BD734" s="2"/>
      <c r="BE734" s="113"/>
      <c r="BF734" s="178">
        <f t="shared" si="10"/>
        <v>0</v>
      </c>
      <c r="BG734" s="181">
        <f t="shared" si="11"/>
        <v>0</v>
      </c>
      <c r="BH734" s="182" t="str">
        <f t="shared" si="12"/>
        <v/>
      </c>
      <c r="BI734" s="2"/>
      <c r="BJ734" s="2"/>
      <c r="BK734" s="2"/>
      <c r="BL734" s="2"/>
      <c r="BM734" s="2"/>
      <c r="BN734" s="2"/>
      <c r="BS734" s="178">
        <f t="shared" si="13"/>
        <v>0</v>
      </c>
      <c r="BT734" s="181">
        <f t="shared" si="14"/>
        <v>0</v>
      </c>
      <c r="BU734" s="182" t="str">
        <f t="shared" si="15"/>
        <v/>
      </c>
      <c r="BV734" s="2"/>
      <c r="BW734" s="2"/>
      <c r="BX734" s="2"/>
      <c r="BY734" s="2"/>
      <c r="BZ734" s="2"/>
      <c r="CA734" s="2"/>
      <c r="CB734" s="2"/>
      <c r="CC734" s="2"/>
      <c r="CE734" s="2"/>
      <c r="CF734" s="2"/>
      <c r="CG734" s="1299">
        <f t="shared" si="37"/>
        <v>0</v>
      </c>
      <c r="CH734" s="1301"/>
      <c r="CI734" s="1299">
        <f t="shared" si="38"/>
        <v>0</v>
      </c>
      <c r="CJ734" s="1301"/>
      <c r="CK734" s="1299">
        <f t="shared" si="16"/>
        <v>0</v>
      </c>
      <c r="CL734" s="1301"/>
      <c r="CM734" s="1299">
        <f t="shared" si="17"/>
        <v>0</v>
      </c>
      <c r="CN734" s="1301"/>
      <c r="CO734" s="2"/>
      <c r="CP734" s="1296">
        <f t="shared" si="18"/>
        <v>0</v>
      </c>
      <c r="CQ734" s="1297"/>
      <c r="CR734" s="1297"/>
      <c r="CS734" s="1297"/>
      <c r="CT734" s="1298"/>
      <c r="CU734" s="1312">
        <f t="shared" si="19"/>
        <v>0</v>
      </c>
      <c r="CV734" s="1312"/>
      <c r="CW734" s="1312"/>
      <c r="CX734" s="1312"/>
      <c r="CY734" s="1312"/>
      <c r="CZ734" s="1312">
        <f t="shared" si="20"/>
        <v>0</v>
      </c>
      <c r="DA734" s="1312"/>
      <c r="DB734" s="1312"/>
      <c r="DC734" s="1312"/>
      <c r="DD734" s="1312"/>
      <c r="DE734" s="1312">
        <f t="shared" si="21"/>
        <v>0</v>
      </c>
      <c r="DF734" s="1312"/>
      <c r="DG734" s="1312"/>
      <c r="DH734" s="1312"/>
      <c r="DI734" s="1312"/>
      <c r="DJ734" s="1312">
        <f t="shared" si="22"/>
        <v>0</v>
      </c>
      <c r="DK734" s="1312"/>
      <c r="DL734" s="1312"/>
      <c r="DM734" s="1312"/>
      <c r="DN734" s="1312"/>
      <c r="DO734" s="1312">
        <f t="shared" si="23"/>
        <v>0</v>
      </c>
      <c r="DP734" s="1312"/>
      <c r="DQ734" s="1312"/>
      <c r="DR734" s="1312"/>
      <c r="DS734" s="1312"/>
      <c r="DT734" s="1179"/>
      <c r="DU734" s="1326">
        <f t="shared" si="24"/>
        <v>0</v>
      </c>
      <c r="DV734" s="1326"/>
      <c r="DW734" s="1326"/>
      <c r="DX734" s="1326"/>
      <c r="DY734" s="1326"/>
      <c r="DZ734" s="1326">
        <f t="shared" si="25"/>
        <v>0</v>
      </c>
      <c r="EA734" s="1326"/>
      <c r="EB734" s="1326"/>
      <c r="EC734" s="1326"/>
      <c r="ED734" s="1326"/>
      <c r="EE734" s="1326">
        <f t="shared" si="26"/>
        <v>0</v>
      </c>
      <c r="EF734" s="1326"/>
      <c r="EG734" s="1326"/>
      <c r="EH734" s="1326"/>
      <c r="EI734" s="1326"/>
      <c r="EJ734" s="1326">
        <f t="shared" si="27"/>
        <v>0</v>
      </c>
      <c r="EK734" s="1326"/>
      <c r="EL734" s="1326"/>
      <c r="EM734" s="1326"/>
      <c r="EN734" s="1326"/>
      <c r="EO734" s="1326">
        <f t="shared" si="28"/>
        <v>0</v>
      </c>
      <c r="EP734" s="1326"/>
      <c r="EQ734" s="1326"/>
      <c r="ER734" s="1326"/>
      <c r="ES734" s="1326"/>
      <c r="ET734" s="1326">
        <f t="shared" si="29"/>
        <v>0</v>
      </c>
      <c r="EU734" s="1326"/>
      <c r="EV734" s="1326"/>
      <c r="EW734" s="1326"/>
      <c r="EX734" s="1326"/>
      <c r="EZ734" s="1299" t="str">
        <f t="shared" si="30"/>
        <v/>
      </c>
      <c r="FA734" s="1300"/>
      <c r="FB734" s="1300"/>
      <c r="FC734" s="1300"/>
      <c r="FD734" s="1301"/>
      <c r="FE734" s="1299" t="str">
        <f t="shared" si="31"/>
        <v/>
      </c>
      <c r="FF734" s="1300"/>
      <c r="FG734" s="1300"/>
      <c r="FH734" s="1300"/>
      <c r="FI734" s="1301"/>
      <c r="FJ734" s="1299" t="str">
        <f t="shared" si="32"/>
        <v/>
      </c>
      <c r="FK734" s="1300"/>
      <c r="FL734" s="1300"/>
      <c r="FM734" s="1300"/>
      <c r="FN734" s="1301"/>
      <c r="FO734" s="1299" t="str">
        <f t="shared" si="33"/>
        <v/>
      </c>
      <c r="FP734" s="1300"/>
      <c r="FQ734" s="1300"/>
      <c r="FR734" s="1300"/>
      <c r="FS734" s="1301"/>
      <c r="FT734" s="1299" t="str">
        <f t="shared" si="34"/>
        <v/>
      </c>
      <c r="FU734" s="1300"/>
      <c r="FV734" s="1300"/>
      <c r="FW734" s="1300"/>
      <c r="FX734" s="1301"/>
      <c r="FY734" s="1299" t="str">
        <f t="shared" si="35"/>
        <v/>
      </c>
      <c r="FZ734" s="1300"/>
      <c r="GA734" s="1300"/>
      <c r="GB734" s="1300"/>
      <c r="GC734" s="1301"/>
    </row>
    <row r="735" spans="1:185" ht="13.2" customHeight="1">
      <c r="B735" s="1313"/>
      <c r="C735" s="1314"/>
      <c r="D735" s="1314"/>
      <c r="E735" s="1314"/>
      <c r="F735" s="1315"/>
      <c r="G735" s="1322"/>
      <c r="H735" s="1323"/>
      <c r="I735" s="1323"/>
      <c r="J735" s="1324"/>
      <c r="K735" s="1539"/>
      <c r="L735" s="1540"/>
      <c r="M735" s="1540"/>
      <c r="N735" s="1541"/>
      <c r="O735" s="1424"/>
      <c r="P735" s="1425"/>
      <c r="Q735" s="1425"/>
      <c r="R735" s="1425"/>
      <c r="S735" s="1426"/>
      <c r="T735" s="1424"/>
      <c r="U735" s="1425"/>
      <c r="V735" s="1425"/>
      <c r="W735" s="1426"/>
      <c r="X735" s="1316">
        <f t="shared" si="8"/>
        <v>0</v>
      </c>
      <c r="Y735" s="1317"/>
      <c r="Z735" s="1317"/>
      <c r="AA735" s="1317"/>
      <c r="AB735" s="1318"/>
      <c r="AC735" s="1548"/>
      <c r="AD735" s="1549"/>
      <c r="AE735" s="1549"/>
      <c r="AF735" s="1549"/>
      <c r="AG735" s="1550"/>
      <c r="AH735" s="1319" t="str">
        <f t="shared" si="36"/>
        <v/>
      </c>
      <c r="AI735" s="1320"/>
      <c r="AJ735" s="1321"/>
      <c r="AK735" s="1313" t="s">
        <v>810</v>
      </c>
      <c r="AL735" s="1314"/>
      <c r="AM735" s="1314"/>
      <c r="AN735" s="1314"/>
      <c r="AO735" s="1315"/>
      <c r="AP735" s="2"/>
      <c r="AQ735" s="2"/>
      <c r="AR735" s="2"/>
      <c r="AS735" s="2"/>
      <c r="AY735" s="763"/>
      <c r="AZ735" s="68" t="str">
        <f t="shared" si="9"/>
        <v>N/A</v>
      </c>
      <c r="BA735" s="2"/>
      <c r="BB735" s="2"/>
      <c r="BC735" s="2"/>
      <c r="BD735" s="2"/>
      <c r="BE735" s="113"/>
      <c r="BF735" s="178">
        <f t="shared" si="10"/>
        <v>0</v>
      </c>
      <c r="BG735" s="181">
        <f t="shared" si="11"/>
        <v>0</v>
      </c>
      <c r="BH735" s="182" t="str">
        <f t="shared" si="12"/>
        <v/>
      </c>
      <c r="BI735" s="2"/>
      <c r="BJ735" s="2"/>
      <c r="BK735" s="2"/>
      <c r="BL735" s="2"/>
      <c r="BM735" s="2"/>
      <c r="BN735" s="2"/>
      <c r="BS735" s="178">
        <f t="shared" si="13"/>
        <v>0</v>
      </c>
      <c r="BT735" s="181">
        <f t="shared" si="14"/>
        <v>0</v>
      </c>
      <c r="BU735" s="182" t="str">
        <f t="shared" si="15"/>
        <v/>
      </c>
      <c r="BV735" s="2"/>
      <c r="BW735" s="2"/>
      <c r="BX735" s="2"/>
      <c r="BY735" s="2"/>
      <c r="BZ735" s="2"/>
      <c r="CA735" s="2"/>
      <c r="CB735" s="2"/>
      <c r="CC735" s="2"/>
      <c r="CE735" s="2"/>
      <c r="CF735" s="2"/>
      <c r="CG735" s="1299">
        <f t="shared" si="37"/>
        <v>0</v>
      </c>
      <c r="CH735" s="1301"/>
      <c r="CI735" s="1299">
        <f t="shared" si="38"/>
        <v>0</v>
      </c>
      <c r="CJ735" s="1301"/>
      <c r="CK735" s="1299">
        <f t="shared" si="16"/>
        <v>0</v>
      </c>
      <c r="CL735" s="1301"/>
      <c r="CM735" s="1299">
        <f t="shared" si="17"/>
        <v>0</v>
      </c>
      <c r="CN735" s="1301"/>
      <c r="CO735" s="2"/>
      <c r="CP735" s="1296">
        <f t="shared" si="18"/>
        <v>0</v>
      </c>
      <c r="CQ735" s="1297"/>
      <c r="CR735" s="1297"/>
      <c r="CS735" s="1297"/>
      <c r="CT735" s="1298"/>
      <c r="CU735" s="1312">
        <f t="shared" si="19"/>
        <v>0</v>
      </c>
      <c r="CV735" s="1312"/>
      <c r="CW735" s="1312"/>
      <c r="CX735" s="1312"/>
      <c r="CY735" s="1312"/>
      <c r="CZ735" s="1312">
        <f t="shared" si="20"/>
        <v>0</v>
      </c>
      <c r="DA735" s="1312"/>
      <c r="DB735" s="1312"/>
      <c r="DC735" s="1312"/>
      <c r="DD735" s="1312"/>
      <c r="DE735" s="1312">
        <f t="shared" si="21"/>
        <v>0</v>
      </c>
      <c r="DF735" s="1312"/>
      <c r="DG735" s="1312"/>
      <c r="DH735" s="1312"/>
      <c r="DI735" s="1312"/>
      <c r="DJ735" s="1312">
        <f t="shared" si="22"/>
        <v>0</v>
      </c>
      <c r="DK735" s="1312"/>
      <c r="DL735" s="1312"/>
      <c r="DM735" s="1312"/>
      <c r="DN735" s="1312"/>
      <c r="DO735" s="1312">
        <f t="shared" si="23"/>
        <v>0</v>
      </c>
      <c r="DP735" s="1312"/>
      <c r="DQ735" s="1312"/>
      <c r="DR735" s="1312"/>
      <c r="DS735" s="1312"/>
      <c r="DT735" s="1179"/>
      <c r="DU735" s="1326">
        <f t="shared" si="24"/>
        <v>0</v>
      </c>
      <c r="DV735" s="1326"/>
      <c r="DW735" s="1326"/>
      <c r="DX735" s="1326"/>
      <c r="DY735" s="1326"/>
      <c r="DZ735" s="1326">
        <f t="shared" si="25"/>
        <v>0</v>
      </c>
      <c r="EA735" s="1326"/>
      <c r="EB735" s="1326"/>
      <c r="EC735" s="1326"/>
      <c r="ED735" s="1326"/>
      <c r="EE735" s="1326">
        <f t="shared" si="26"/>
        <v>0</v>
      </c>
      <c r="EF735" s="1326"/>
      <c r="EG735" s="1326"/>
      <c r="EH735" s="1326"/>
      <c r="EI735" s="1326"/>
      <c r="EJ735" s="1326">
        <f t="shared" si="27"/>
        <v>0</v>
      </c>
      <c r="EK735" s="1326"/>
      <c r="EL735" s="1326"/>
      <c r="EM735" s="1326"/>
      <c r="EN735" s="1326"/>
      <c r="EO735" s="1326">
        <f t="shared" si="28"/>
        <v>0</v>
      </c>
      <c r="EP735" s="1326"/>
      <c r="EQ735" s="1326"/>
      <c r="ER735" s="1326"/>
      <c r="ES735" s="1326"/>
      <c r="ET735" s="1326">
        <f t="shared" si="29"/>
        <v>0</v>
      </c>
      <c r="EU735" s="1326"/>
      <c r="EV735" s="1326"/>
      <c r="EW735" s="1326"/>
      <c r="EX735" s="1326"/>
      <c r="EZ735" s="1299" t="str">
        <f t="shared" si="30"/>
        <v/>
      </c>
      <c r="FA735" s="1300"/>
      <c r="FB735" s="1300"/>
      <c r="FC735" s="1300"/>
      <c r="FD735" s="1301"/>
      <c r="FE735" s="1299" t="str">
        <f t="shared" si="31"/>
        <v/>
      </c>
      <c r="FF735" s="1300"/>
      <c r="FG735" s="1300"/>
      <c r="FH735" s="1300"/>
      <c r="FI735" s="1301"/>
      <c r="FJ735" s="1299" t="str">
        <f t="shared" si="32"/>
        <v/>
      </c>
      <c r="FK735" s="1300"/>
      <c r="FL735" s="1300"/>
      <c r="FM735" s="1300"/>
      <c r="FN735" s="1301"/>
      <c r="FO735" s="1299" t="str">
        <f t="shared" si="33"/>
        <v/>
      </c>
      <c r="FP735" s="1300"/>
      <c r="FQ735" s="1300"/>
      <c r="FR735" s="1300"/>
      <c r="FS735" s="1301"/>
      <c r="FT735" s="1299" t="str">
        <f t="shared" si="34"/>
        <v/>
      </c>
      <c r="FU735" s="1300"/>
      <c r="FV735" s="1300"/>
      <c r="FW735" s="1300"/>
      <c r="FX735" s="1301"/>
      <c r="FY735" s="1299" t="str">
        <f t="shared" si="35"/>
        <v/>
      </c>
      <c r="FZ735" s="1300"/>
      <c r="GA735" s="1300"/>
      <c r="GB735" s="1300"/>
      <c r="GC735" s="1301"/>
    </row>
    <row r="736" spans="1:185" ht="13.2" customHeight="1">
      <c r="B736" s="1313"/>
      <c r="C736" s="1314"/>
      <c r="D736" s="1314"/>
      <c r="E736" s="1314"/>
      <c r="F736" s="1315"/>
      <c r="G736" s="1322"/>
      <c r="H736" s="1323"/>
      <c r="I736" s="1323"/>
      <c r="J736" s="1324"/>
      <c r="K736" s="1539"/>
      <c r="L736" s="1540"/>
      <c r="M736" s="1540"/>
      <c r="N736" s="1541"/>
      <c r="O736" s="1424"/>
      <c r="P736" s="1425"/>
      <c r="Q736" s="1425"/>
      <c r="R736" s="1425"/>
      <c r="S736" s="1426"/>
      <c r="T736" s="1424"/>
      <c r="U736" s="1425"/>
      <c r="V736" s="1425"/>
      <c r="W736" s="1426"/>
      <c r="X736" s="1316">
        <f t="shared" si="8"/>
        <v>0</v>
      </c>
      <c r="Y736" s="1317"/>
      <c r="Z736" s="1317"/>
      <c r="AA736" s="1317"/>
      <c r="AB736" s="1318"/>
      <c r="AC736" s="1548"/>
      <c r="AD736" s="1549"/>
      <c r="AE736" s="1549"/>
      <c r="AF736" s="1549"/>
      <c r="AG736" s="1550"/>
      <c r="AH736" s="1319" t="str">
        <f t="shared" si="36"/>
        <v/>
      </c>
      <c r="AI736" s="1320"/>
      <c r="AJ736" s="1321"/>
      <c r="AK736" s="1313" t="s">
        <v>810</v>
      </c>
      <c r="AL736" s="1314"/>
      <c r="AM736" s="1314"/>
      <c r="AN736" s="1314"/>
      <c r="AO736" s="1315"/>
      <c r="AP736" s="2"/>
      <c r="AQ736" s="2"/>
      <c r="AR736" s="2"/>
      <c r="AS736" s="2"/>
      <c r="AY736" s="763"/>
      <c r="AZ736" s="68" t="str">
        <f t="shared" si="9"/>
        <v>N/A</v>
      </c>
      <c r="BA736" s="2"/>
      <c r="BB736" s="2"/>
      <c r="BC736" s="2"/>
      <c r="BD736" s="2"/>
      <c r="BE736" s="113"/>
      <c r="BF736" s="178">
        <f t="shared" si="10"/>
        <v>0</v>
      </c>
      <c r="BG736" s="181">
        <f t="shared" si="11"/>
        <v>0</v>
      </c>
      <c r="BH736" s="182" t="str">
        <f t="shared" si="12"/>
        <v/>
      </c>
      <c r="BI736" s="2"/>
      <c r="BJ736" s="2"/>
      <c r="BK736" s="2"/>
      <c r="BL736" s="2"/>
      <c r="BM736" s="2"/>
      <c r="BN736" s="2"/>
      <c r="BS736" s="178">
        <f t="shared" si="13"/>
        <v>0</v>
      </c>
      <c r="BT736" s="181">
        <f t="shared" si="14"/>
        <v>0</v>
      </c>
      <c r="BU736" s="182" t="str">
        <f t="shared" si="15"/>
        <v/>
      </c>
      <c r="BV736" s="2"/>
      <c r="BW736" s="2"/>
      <c r="BX736" s="2"/>
      <c r="BY736" s="2"/>
      <c r="BZ736" s="2"/>
      <c r="CA736" s="2"/>
      <c r="CB736" s="2"/>
      <c r="CC736" s="2"/>
      <c r="CE736" s="2"/>
      <c r="CF736" s="2"/>
      <c r="CG736" s="1299">
        <f t="shared" si="37"/>
        <v>0</v>
      </c>
      <c r="CH736" s="1301"/>
      <c r="CI736" s="1299">
        <f t="shared" si="38"/>
        <v>0</v>
      </c>
      <c r="CJ736" s="1301"/>
      <c r="CK736" s="1299">
        <f t="shared" si="16"/>
        <v>0</v>
      </c>
      <c r="CL736" s="1301"/>
      <c r="CM736" s="1299">
        <f t="shared" si="17"/>
        <v>0</v>
      </c>
      <c r="CN736" s="1301"/>
      <c r="CO736" s="2"/>
      <c r="CP736" s="1296">
        <f t="shared" si="18"/>
        <v>0</v>
      </c>
      <c r="CQ736" s="1297"/>
      <c r="CR736" s="1297"/>
      <c r="CS736" s="1297"/>
      <c r="CT736" s="1298"/>
      <c r="CU736" s="1312">
        <f t="shared" si="19"/>
        <v>0</v>
      </c>
      <c r="CV736" s="1312"/>
      <c r="CW736" s="1312"/>
      <c r="CX736" s="1312"/>
      <c r="CY736" s="1312"/>
      <c r="CZ736" s="1312">
        <f t="shared" si="20"/>
        <v>0</v>
      </c>
      <c r="DA736" s="1312"/>
      <c r="DB736" s="1312"/>
      <c r="DC736" s="1312"/>
      <c r="DD736" s="1312"/>
      <c r="DE736" s="1312">
        <f t="shared" si="21"/>
        <v>0</v>
      </c>
      <c r="DF736" s="1312"/>
      <c r="DG736" s="1312"/>
      <c r="DH736" s="1312"/>
      <c r="DI736" s="1312"/>
      <c r="DJ736" s="1312">
        <f t="shared" si="22"/>
        <v>0</v>
      </c>
      <c r="DK736" s="1312"/>
      <c r="DL736" s="1312"/>
      <c r="DM736" s="1312"/>
      <c r="DN736" s="1312"/>
      <c r="DO736" s="1312">
        <f t="shared" si="23"/>
        <v>0</v>
      </c>
      <c r="DP736" s="1312"/>
      <c r="DQ736" s="1312"/>
      <c r="DR736" s="1312"/>
      <c r="DS736" s="1312"/>
      <c r="DT736" s="1179"/>
      <c r="DU736" s="1326">
        <f t="shared" si="24"/>
        <v>0</v>
      </c>
      <c r="DV736" s="1326"/>
      <c r="DW736" s="1326"/>
      <c r="DX736" s="1326"/>
      <c r="DY736" s="1326"/>
      <c r="DZ736" s="1326">
        <f t="shared" si="25"/>
        <v>0</v>
      </c>
      <c r="EA736" s="1326"/>
      <c r="EB736" s="1326"/>
      <c r="EC736" s="1326"/>
      <c r="ED736" s="1326"/>
      <c r="EE736" s="1326">
        <f t="shared" si="26"/>
        <v>0</v>
      </c>
      <c r="EF736" s="1326"/>
      <c r="EG736" s="1326"/>
      <c r="EH736" s="1326"/>
      <c r="EI736" s="1326"/>
      <c r="EJ736" s="1326">
        <f t="shared" si="27"/>
        <v>0</v>
      </c>
      <c r="EK736" s="1326"/>
      <c r="EL736" s="1326"/>
      <c r="EM736" s="1326"/>
      <c r="EN736" s="1326"/>
      <c r="EO736" s="1326">
        <f t="shared" si="28"/>
        <v>0</v>
      </c>
      <c r="EP736" s="1326"/>
      <c r="EQ736" s="1326"/>
      <c r="ER736" s="1326"/>
      <c r="ES736" s="1326"/>
      <c r="ET736" s="1326">
        <f t="shared" si="29"/>
        <v>0</v>
      </c>
      <c r="EU736" s="1326"/>
      <c r="EV736" s="1326"/>
      <c r="EW736" s="1326"/>
      <c r="EX736" s="1326"/>
      <c r="EZ736" s="1299" t="str">
        <f t="shared" si="30"/>
        <v/>
      </c>
      <c r="FA736" s="1300"/>
      <c r="FB736" s="1300"/>
      <c r="FC736" s="1300"/>
      <c r="FD736" s="1301"/>
      <c r="FE736" s="1299" t="str">
        <f t="shared" si="31"/>
        <v/>
      </c>
      <c r="FF736" s="1300"/>
      <c r="FG736" s="1300"/>
      <c r="FH736" s="1300"/>
      <c r="FI736" s="1301"/>
      <c r="FJ736" s="1299" t="str">
        <f t="shared" si="32"/>
        <v/>
      </c>
      <c r="FK736" s="1300"/>
      <c r="FL736" s="1300"/>
      <c r="FM736" s="1300"/>
      <c r="FN736" s="1301"/>
      <c r="FO736" s="1299" t="str">
        <f t="shared" si="33"/>
        <v/>
      </c>
      <c r="FP736" s="1300"/>
      <c r="FQ736" s="1300"/>
      <c r="FR736" s="1300"/>
      <c r="FS736" s="1301"/>
      <c r="FT736" s="1299" t="str">
        <f t="shared" si="34"/>
        <v/>
      </c>
      <c r="FU736" s="1300"/>
      <c r="FV736" s="1300"/>
      <c r="FW736" s="1300"/>
      <c r="FX736" s="1301"/>
      <c r="FY736" s="1299" t="str">
        <f t="shared" si="35"/>
        <v/>
      </c>
      <c r="FZ736" s="1300"/>
      <c r="GA736" s="1300"/>
      <c r="GB736" s="1300"/>
      <c r="GC736" s="1301"/>
    </row>
    <row r="737" spans="1:185" ht="13.2" customHeight="1">
      <c r="B737" s="1313"/>
      <c r="C737" s="1314"/>
      <c r="D737" s="1314"/>
      <c r="E737" s="1314"/>
      <c r="F737" s="1315"/>
      <c r="G737" s="1322"/>
      <c r="H737" s="1323"/>
      <c r="I737" s="1323"/>
      <c r="J737" s="1324"/>
      <c r="K737" s="1539"/>
      <c r="L737" s="1540"/>
      <c r="M737" s="1540"/>
      <c r="N737" s="1541"/>
      <c r="O737" s="1424"/>
      <c r="P737" s="1425"/>
      <c r="Q737" s="1425"/>
      <c r="R737" s="1425"/>
      <c r="S737" s="1426"/>
      <c r="T737" s="1424"/>
      <c r="U737" s="1425"/>
      <c r="V737" s="1425"/>
      <c r="W737" s="1426"/>
      <c r="X737" s="1316">
        <f t="shared" si="8"/>
        <v>0</v>
      </c>
      <c r="Y737" s="1317"/>
      <c r="Z737" s="1317"/>
      <c r="AA737" s="1317"/>
      <c r="AB737" s="1318"/>
      <c r="AC737" s="1548"/>
      <c r="AD737" s="1549"/>
      <c r="AE737" s="1549"/>
      <c r="AF737" s="1549"/>
      <c r="AG737" s="1550"/>
      <c r="AH737" s="1319" t="str">
        <f t="shared" si="36"/>
        <v/>
      </c>
      <c r="AI737" s="1320"/>
      <c r="AJ737" s="1321"/>
      <c r="AK737" s="1313" t="s">
        <v>810</v>
      </c>
      <c r="AL737" s="1314"/>
      <c r="AM737" s="1314"/>
      <c r="AN737" s="1314"/>
      <c r="AO737" s="1315"/>
      <c r="AP737" s="2"/>
      <c r="AQ737" s="2"/>
      <c r="AR737" s="2"/>
      <c r="AS737" s="2"/>
      <c r="AY737" s="763"/>
      <c r="AZ737" s="68" t="str">
        <f t="shared" si="9"/>
        <v>N/A</v>
      </c>
      <c r="BA737" s="2"/>
      <c r="BB737" s="2"/>
      <c r="BC737" s="2"/>
      <c r="BD737" s="2"/>
      <c r="BE737" s="113"/>
      <c r="BF737" s="178">
        <f t="shared" si="10"/>
        <v>0</v>
      </c>
      <c r="BG737" s="181">
        <f t="shared" si="11"/>
        <v>0</v>
      </c>
      <c r="BH737" s="182" t="str">
        <f t="shared" si="12"/>
        <v/>
      </c>
      <c r="BI737" s="2"/>
      <c r="BJ737" s="2"/>
      <c r="BK737" s="2"/>
      <c r="BL737" s="2"/>
      <c r="BM737" s="2"/>
      <c r="BN737" s="2"/>
      <c r="BS737" s="178">
        <f t="shared" si="13"/>
        <v>0</v>
      </c>
      <c r="BT737" s="181">
        <f t="shared" si="14"/>
        <v>0</v>
      </c>
      <c r="BU737" s="182" t="str">
        <f t="shared" si="15"/>
        <v/>
      </c>
      <c r="BV737" s="2"/>
      <c r="BW737" s="2"/>
      <c r="BX737" s="2"/>
      <c r="BY737" s="2"/>
      <c r="BZ737" s="2"/>
      <c r="CA737" s="2"/>
      <c r="CB737" s="2"/>
      <c r="CC737" s="2"/>
      <c r="CE737" s="2"/>
      <c r="CF737" s="2"/>
      <c r="CG737" s="1299">
        <f t="shared" si="37"/>
        <v>0</v>
      </c>
      <c r="CH737" s="1301"/>
      <c r="CI737" s="1299">
        <f t="shared" si="38"/>
        <v>0</v>
      </c>
      <c r="CJ737" s="1301"/>
      <c r="CK737" s="1299">
        <f t="shared" si="16"/>
        <v>0</v>
      </c>
      <c r="CL737" s="1301"/>
      <c r="CM737" s="1299">
        <f t="shared" si="17"/>
        <v>0</v>
      </c>
      <c r="CN737" s="1301"/>
      <c r="CO737" s="2"/>
      <c r="CP737" s="1296">
        <f t="shared" si="18"/>
        <v>0</v>
      </c>
      <c r="CQ737" s="1297"/>
      <c r="CR737" s="1297"/>
      <c r="CS737" s="1297"/>
      <c r="CT737" s="1298"/>
      <c r="CU737" s="1312">
        <f t="shared" si="19"/>
        <v>0</v>
      </c>
      <c r="CV737" s="1312"/>
      <c r="CW737" s="1312"/>
      <c r="CX737" s="1312"/>
      <c r="CY737" s="1312"/>
      <c r="CZ737" s="1312">
        <f t="shared" si="20"/>
        <v>0</v>
      </c>
      <c r="DA737" s="1312"/>
      <c r="DB737" s="1312"/>
      <c r="DC737" s="1312"/>
      <c r="DD737" s="1312"/>
      <c r="DE737" s="1312">
        <f t="shared" si="21"/>
        <v>0</v>
      </c>
      <c r="DF737" s="1312"/>
      <c r="DG737" s="1312"/>
      <c r="DH737" s="1312"/>
      <c r="DI737" s="1312"/>
      <c r="DJ737" s="1312">
        <f t="shared" si="22"/>
        <v>0</v>
      </c>
      <c r="DK737" s="1312"/>
      <c r="DL737" s="1312"/>
      <c r="DM737" s="1312"/>
      <c r="DN737" s="1312"/>
      <c r="DO737" s="1312">
        <f t="shared" si="23"/>
        <v>0</v>
      </c>
      <c r="DP737" s="1312"/>
      <c r="DQ737" s="1312"/>
      <c r="DR737" s="1312"/>
      <c r="DS737" s="1312"/>
      <c r="DT737" s="1179"/>
      <c r="DU737" s="1326">
        <f t="shared" si="24"/>
        <v>0</v>
      </c>
      <c r="DV737" s="1326"/>
      <c r="DW737" s="1326"/>
      <c r="DX737" s="1326"/>
      <c r="DY737" s="1326"/>
      <c r="DZ737" s="1326">
        <f t="shared" si="25"/>
        <v>0</v>
      </c>
      <c r="EA737" s="1326"/>
      <c r="EB737" s="1326"/>
      <c r="EC737" s="1326"/>
      <c r="ED737" s="1326"/>
      <c r="EE737" s="1326">
        <f t="shared" si="26"/>
        <v>0</v>
      </c>
      <c r="EF737" s="1326"/>
      <c r="EG737" s="1326"/>
      <c r="EH737" s="1326"/>
      <c r="EI737" s="1326"/>
      <c r="EJ737" s="1326">
        <f t="shared" si="27"/>
        <v>0</v>
      </c>
      <c r="EK737" s="1326"/>
      <c r="EL737" s="1326"/>
      <c r="EM737" s="1326"/>
      <c r="EN737" s="1326"/>
      <c r="EO737" s="1326">
        <f t="shared" si="28"/>
        <v>0</v>
      </c>
      <c r="EP737" s="1326"/>
      <c r="EQ737" s="1326"/>
      <c r="ER737" s="1326"/>
      <c r="ES737" s="1326"/>
      <c r="ET737" s="1326">
        <f t="shared" si="29"/>
        <v>0</v>
      </c>
      <c r="EU737" s="1326"/>
      <c r="EV737" s="1326"/>
      <c r="EW737" s="1326"/>
      <c r="EX737" s="1326"/>
      <c r="EZ737" s="1299" t="str">
        <f t="shared" si="30"/>
        <v/>
      </c>
      <c r="FA737" s="1300"/>
      <c r="FB737" s="1300"/>
      <c r="FC737" s="1300"/>
      <c r="FD737" s="1301"/>
      <c r="FE737" s="1299" t="str">
        <f t="shared" si="31"/>
        <v/>
      </c>
      <c r="FF737" s="1300"/>
      <c r="FG737" s="1300"/>
      <c r="FH737" s="1300"/>
      <c r="FI737" s="1301"/>
      <c r="FJ737" s="1299" t="str">
        <f t="shared" si="32"/>
        <v/>
      </c>
      <c r="FK737" s="1300"/>
      <c r="FL737" s="1300"/>
      <c r="FM737" s="1300"/>
      <c r="FN737" s="1301"/>
      <c r="FO737" s="1299" t="str">
        <f t="shared" si="33"/>
        <v/>
      </c>
      <c r="FP737" s="1300"/>
      <c r="FQ737" s="1300"/>
      <c r="FR737" s="1300"/>
      <c r="FS737" s="1301"/>
      <c r="FT737" s="1299" t="str">
        <f t="shared" si="34"/>
        <v/>
      </c>
      <c r="FU737" s="1300"/>
      <c r="FV737" s="1300"/>
      <c r="FW737" s="1300"/>
      <c r="FX737" s="1301"/>
      <c r="FY737" s="1299" t="str">
        <f t="shared" si="35"/>
        <v/>
      </c>
      <c r="FZ737" s="1300"/>
      <c r="GA737" s="1300"/>
      <c r="GB737" s="1300"/>
      <c r="GC737" s="1301"/>
    </row>
    <row r="738" spans="1:185" ht="13.2" customHeight="1">
      <c r="B738" s="1313"/>
      <c r="C738" s="1314"/>
      <c r="D738" s="1314"/>
      <c r="E738" s="1314"/>
      <c r="F738" s="1315"/>
      <c r="G738" s="1322"/>
      <c r="H738" s="1323"/>
      <c r="I738" s="1323"/>
      <c r="J738" s="1324"/>
      <c r="K738" s="1539"/>
      <c r="L738" s="1540"/>
      <c r="M738" s="1540"/>
      <c r="N738" s="1541"/>
      <c r="O738" s="1424"/>
      <c r="P738" s="1425"/>
      <c r="Q738" s="1425"/>
      <c r="R738" s="1425"/>
      <c r="S738" s="1426"/>
      <c r="T738" s="1424"/>
      <c r="U738" s="1425"/>
      <c r="V738" s="1425"/>
      <c r="W738" s="1426"/>
      <c r="X738" s="1316">
        <f t="shared" si="8"/>
        <v>0</v>
      </c>
      <c r="Y738" s="1317"/>
      <c r="Z738" s="1317"/>
      <c r="AA738" s="1317"/>
      <c r="AB738" s="1318"/>
      <c r="AC738" s="1548"/>
      <c r="AD738" s="1549"/>
      <c r="AE738" s="1549"/>
      <c r="AF738" s="1549"/>
      <c r="AG738" s="1550"/>
      <c r="AH738" s="1319" t="str">
        <f t="shared" si="36"/>
        <v/>
      </c>
      <c r="AI738" s="1320"/>
      <c r="AJ738" s="1321"/>
      <c r="AK738" s="1313" t="s">
        <v>810</v>
      </c>
      <c r="AL738" s="1314"/>
      <c r="AM738" s="1314"/>
      <c r="AN738" s="1314"/>
      <c r="AO738" s="1315"/>
      <c r="AP738" s="2"/>
      <c r="AQ738" s="2"/>
      <c r="AR738" s="2"/>
      <c r="AS738" s="2"/>
      <c r="AY738" s="763"/>
      <c r="AZ738" s="68" t="str">
        <f t="shared" si="9"/>
        <v>N/A</v>
      </c>
      <c r="BA738" s="2"/>
      <c r="BE738" s="113"/>
      <c r="BF738" s="178">
        <f t="shared" si="10"/>
        <v>0</v>
      </c>
      <c r="BG738" s="181">
        <f t="shared" si="11"/>
        <v>0</v>
      </c>
      <c r="BH738" s="182" t="str">
        <f t="shared" si="12"/>
        <v/>
      </c>
      <c r="BK738" s="2"/>
      <c r="BL738" s="2"/>
      <c r="BM738" s="2"/>
      <c r="BN738" s="2"/>
      <c r="BS738" s="178">
        <f t="shared" si="13"/>
        <v>0</v>
      </c>
      <c r="BT738" s="181">
        <f t="shared" si="14"/>
        <v>0</v>
      </c>
      <c r="BU738" s="182" t="str">
        <f t="shared" si="15"/>
        <v/>
      </c>
      <c r="BV738" s="2"/>
      <c r="BW738" s="2"/>
      <c r="BX738" s="2"/>
      <c r="BY738" s="2"/>
      <c r="BZ738" s="2"/>
      <c r="CA738" s="2"/>
      <c r="CB738" s="2"/>
      <c r="CC738" s="2"/>
      <c r="CE738" s="2"/>
      <c r="CF738" s="2"/>
      <c r="CG738" s="1299">
        <f t="shared" si="37"/>
        <v>0</v>
      </c>
      <c r="CH738" s="1301"/>
      <c r="CI738" s="1299">
        <f t="shared" si="38"/>
        <v>0</v>
      </c>
      <c r="CJ738" s="1301"/>
      <c r="CK738" s="1299">
        <f t="shared" si="16"/>
        <v>0</v>
      </c>
      <c r="CL738" s="1301"/>
      <c r="CM738" s="1299">
        <f t="shared" si="17"/>
        <v>0</v>
      </c>
      <c r="CN738" s="1301"/>
      <c r="CO738" s="2"/>
      <c r="CP738" s="1296">
        <f t="shared" si="18"/>
        <v>0</v>
      </c>
      <c r="CQ738" s="1297"/>
      <c r="CR738" s="1297"/>
      <c r="CS738" s="1297"/>
      <c r="CT738" s="1298"/>
      <c r="CU738" s="1312">
        <f t="shared" si="19"/>
        <v>0</v>
      </c>
      <c r="CV738" s="1312"/>
      <c r="CW738" s="1312"/>
      <c r="CX738" s="1312"/>
      <c r="CY738" s="1312"/>
      <c r="CZ738" s="1312">
        <f t="shared" si="20"/>
        <v>0</v>
      </c>
      <c r="DA738" s="1312"/>
      <c r="DB738" s="1312"/>
      <c r="DC738" s="1312"/>
      <c r="DD738" s="1312"/>
      <c r="DE738" s="1312">
        <f t="shared" si="21"/>
        <v>0</v>
      </c>
      <c r="DF738" s="1312"/>
      <c r="DG738" s="1312"/>
      <c r="DH738" s="1312"/>
      <c r="DI738" s="1312"/>
      <c r="DJ738" s="1312">
        <f t="shared" si="22"/>
        <v>0</v>
      </c>
      <c r="DK738" s="1312"/>
      <c r="DL738" s="1312"/>
      <c r="DM738" s="1312"/>
      <c r="DN738" s="1312"/>
      <c r="DO738" s="1312">
        <f t="shared" si="23"/>
        <v>0</v>
      </c>
      <c r="DP738" s="1312"/>
      <c r="DQ738" s="1312"/>
      <c r="DR738" s="1312"/>
      <c r="DS738" s="1312"/>
      <c r="DT738" s="1179"/>
      <c r="DU738" s="1326">
        <f t="shared" si="24"/>
        <v>0</v>
      </c>
      <c r="DV738" s="1326"/>
      <c r="DW738" s="1326"/>
      <c r="DX738" s="1326"/>
      <c r="DY738" s="1326"/>
      <c r="DZ738" s="1326">
        <f t="shared" si="25"/>
        <v>0</v>
      </c>
      <c r="EA738" s="1326"/>
      <c r="EB738" s="1326"/>
      <c r="EC738" s="1326"/>
      <c r="ED738" s="1326"/>
      <c r="EE738" s="1326">
        <f t="shared" si="26"/>
        <v>0</v>
      </c>
      <c r="EF738" s="1326"/>
      <c r="EG738" s="1326"/>
      <c r="EH738" s="1326"/>
      <c r="EI738" s="1326"/>
      <c r="EJ738" s="1326">
        <f t="shared" si="27"/>
        <v>0</v>
      </c>
      <c r="EK738" s="1326"/>
      <c r="EL738" s="1326"/>
      <c r="EM738" s="1326"/>
      <c r="EN738" s="1326"/>
      <c r="EO738" s="1326">
        <f t="shared" si="28"/>
        <v>0</v>
      </c>
      <c r="EP738" s="1326"/>
      <c r="EQ738" s="1326"/>
      <c r="ER738" s="1326"/>
      <c r="ES738" s="1326"/>
      <c r="ET738" s="1326">
        <f t="shared" si="29"/>
        <v>0</v>
      </c>
      <c r="EU738" s="1326"/>
      <c r="EV738" s="1326"/>
      <c r="EW738" s="1326"/>
      <c r="EX738" s="1326"/>
      <c r="EZ738" s="1299" t="str">
        <f t="shared" si="30"/>
        <v/>
      </c>
      <c r="FA738" s="1300"/>
      <c r="FB738" s="1300"/>
      <c r="FC738" s="1300"/>
      <c r="FD738" s="1301"/>
      <c r="FE738" s="1299" t="str">
        <f t="shared" si="31"/>
        <v/>
      </c>
      <c r="FF738" s="1300"/>
      <c r="FG738" s="1300"/>
      <c r="FH738" s="1300"/>
      <c r="FI738" s="1301"/>
      <c r="FJ738" s="1299" t="str">
        <f t="shared" si="32"/>
        <v/>
      </c>
      <c r="FK738" s="1300"/>
      <c r="FL738" s="1300"/>
      <c r="FM738" s="1300"/>
      <c r="FN738" s="1301"/>
      <c r="FO738" s="1299" t="str">
        <f t="shared" si="33"/>
        <v/>
      </c>
      <c r="FP738" s="1300"/>
      <c r="FQ738" s="1300"/>
      <c r="FR738" s="1300"/>
      <c r="FS738" s="1301"/>
      <c r="FT738" s="1299" t="str">
        <f t="shared" si="34"/>
        <v/>
      </c>
      <c r="FU738" s="1300"/>
      <c r="FV738" s="1300"/>
      <c r="FW738" s="1300"/>
      <c r="FX738" s="1301"/>
      <c r="FY738" s="1299" t="str">
        <f t="shared" si="35"/>
        <v/>
      </c>
      <c r="FZ738" s="1300"/>
      <c r="GA738" s="1300"/>
      <c r="GB738" s="1300"/>
      <c r="GC738" s="1301"/>
    </row>
    <row r="739" spans="1:185" ht="13.2" customHeight="1">
      <c r="B739" s="1313"/>
      <c r="C739" s="1314"/>
      <c r="D739" s="1314"/>
      <c r="E739" s="1314"/>
      <c r="F739" s="1315"/>
      <c r="G739" s="1322"/>
      <c r="H739" s="1323"/>
      <c r="I739" s="1323"/>
      <c r="J739" s="1324"/>
      <c r="K739" s="1539"/>
      <c r="L739" s="1540"/>
      <c r="M739" s="1540"/>
      <c r="N739" s="1541"/>
      <c r="O739" s="1424"/>
      <c r="P739" s="1425"/>
      <c r="Q739" s="1425"/>
      <c r="R739" s="1425"/>
      <c r="S739" s="1426"/>
      <c r="T739" s="1424"/>
      <c r="U739" s="1425"/>
      <c r="V739" s="1425"/>
      <c r="W739" s="1426"/>
      <c r="X739" s="1316">
        <f t="shared" si="8"/>
        <v>0</v>
      </c>
      <c r="Y739" s="1317"/>
      <c r="Z739" s="1317"/>
      <c r="AA739" s="1317"/>
      <c r="AB739" s="1318"/>
      <c r="AC739" s="1548"/>
      <c r="AD739" s="1549"/>
      <c r="AE739" s="1549"/>
      <c r="AF739" s="1549"/>
      <c r="AG739" s="1550"/>
      <c r="AH739" s="1319" t="str">
        <f t="shared" si="36"/>
        <v/>
      </c>
      <c r="AI739" s="1320"/>
      <c r="AJ739" s="1321"/>
      <c r="AK739" s="1313" t="s">
        <v>810</v>
      </c>
      <c r="AL739" s="1314"/>
      <c r="AM739" s="1314"/>
      <c r="AN739" s="1314"/>
      <c r="AO739" s="1315"/>
      <c r="AP739" s="2"/>
      <c r="AQ739" s="2"/>
      <c r="AR739" s="2"/>
      <c r="AS739" s="2"/>
      <c r="AY739" s="763"/>
      <c r="AZ739" s="68" t="str">
        <f t="shared" si="9"/>
        <v>N/A</v>
      </c>
      <c r="BA739" s="2"/>
      <c r="BE739" s="113"/>
      <c r="BF739" s="178">
        <f t="shared" si="10"/>
        <v>0</v>
      </c>
      <c r="BG739" s="181">
        <f t="shared" si="11"/>
        <v>0</v>
      </c>
      <c r="BH739" s="182" t="str">
        <f t="shared" si="12"/>
        <v/>
      </c>
      <c r="BK739" s="2"/>
      <c r="BL739" s="2"/>
      <c r="BM739" s="2"/>
      <c r="BN739" s="2"/>
      <c r="BS739" s="178">
        <f t="shared" si="13"/>
        <v>0</v>
      </c>
      <c r="BT739" s="181">
        <f t="shared" si="14"/>
        <v>0</v>
      </c>
      <c r="BU739" s="182" t="str">
        <f t="shared" si="15"/>
        <v/>
      </c>
      <c r="BV739" s="2"/>
      <c r="BW739" s="2"/>
      <c r="BX739" s="2"/>
      <c r="BY739" s="2"/>
      <c r="BZ739" s="2"/>
      <c r="CA739" s="2"/>
      <c r="CB739" s="2"/>
      <c r="CC739" s="2"/>
      <c r="CE739" s="2"/>
      <c r="CF739" s="2"/>
      <c r="CG739" s="1299">
        <f t="shared" si="37"/>
        <v>0</v>
      </c>
      <c r="CH739" s="1301"/>
      <c r="CI739" s="1299">
        <f t="shared" si="38"/>
        <v>0</v>
      </c>
      <c r="CJ739" s="1301"/>
      <c r="CK739" s="1299">
        <f t="shared" si="16"/>
        <v>0</v>
      </c>
      <c r="CL739" s="1301"/>
      <c r="CM739" s="1299">
        <f t="shared" si="17"/>
        <v>0</v>
      </c>
      <c r="CN739" s="1301"/>
      <c r="CO739" s="2"/>
      <c r="CP739" s="1296">
        <f t="shared" si="18"/>
        <v>0</v>
      </c>
      <c r="CQ739" s="1297"/>
      <c r="CR739" s="1297"/>
      <c r="CS739" s="1297"/>
      <c r="CT739" s="1298"/>
      <c r="CU739" s="1312">
        <f t="shared" si="19"/>
        <v>0</v>
      </c>
      <c r="CV739" s="1312"/>
      <c r="CW739" s="1312"/>
      <c r="CX739" s="1312"/>
      <c r="CY739" s="1312"/>
      <c r="CZ739" s="1312">
        <f t="shared" si="20"/>
        <v>0</v>
      </c>
      <c r="DA739" s="1312"/>
      <c r="DB739" s="1312"/>
      <c r="DC739" s="1312"/>
      <c r="DD739" s="1312"/>
      <c r="DE739" s="1312">
        <f t="shared" si="21"/>
        <v>0</v>
      </c>
      <c r="DF739" s="1312"/>
      <c r="DG739" s="1312"/>
      <c r="DH739" s="1312"/>
      <c r="DI739" s="1312"/>
      <c r="DJ739" s="1312">
        <f t="shared" si="22"/>
        <v>0</v>
      </c>
      <c r="DK739" s="1312"/>
      <c r="DL739" s="1312"/>
      <c r="DM739" s="1312"/>
      <c r="DN739" s="1312"/>
      <c r="DO739" s="1312">
        <f t="shared" si="23"/>
        <v>0</v>
      </c>
      <c r="DP739" s="1312"/>
      <c r="DQ739" s="1312"/>
      <c r="DR739" s="1312"/>
      <c r="DS739" s="1312"/>
      <c r="DT739" s="1179"/>
      <c r="DU739" s="1326">
        <f t="shared" si="24"/>
        <v>0</v>
      </c>
      <c r="DV739" s="1326"/>
      <c r="DW739" s="1326"/>
      <c r="DX739" s="1326"/>
      <c r="DY739" s="1326"/>
      <c r="DZ739" s="1326">
        <f t="shared" si="25"/>
        <v>0</v>
      </c>
      <c r="EA739" s="1326"/>
      <c r="EB739" s="1326"/>
      <c r="EC739" s="1326"/>
      <c r="ED739" s="1326"/>
      <c r="EE739" s="1326">
        <f t="shared" si="26"/>
        <v>0</v>
      </c>
      <c r="EF739" s="1326"/>
      <c r="EG739" s="1326"/>
      <c r="EH739" s="1326"/>
      <c r="EI739" s="1326"/>
      <c r="EJ739" s="1326">
        <f t="shared" si="27"/>
        <v>0</v>
      </c>
      <c r="EK739" s="1326"/>
      <c r="EL739" s="1326"/>
      <c r="EM739" s="1326"/>
      <c r="EN739" s="1326"/>
      <c r="EO739" s="1326">
        <f t="shared" si="28"/>
        <v>0</v>
      </c>
      <c r="EP739" s="1326"/>
      <c r="EQ739" s="1326"/>
      <c r="ER739" s="1326"/>
      <c r="ES739" s="1326"/>
      <c r="ET739" s="1326">
        <f t="shared" si="29"/>
        <v>0</v>
      </c>
      <c r="EU739" s="1326"/>
      <c r="EV739" s="1326"/>
      <c r="EW739" s="1326"/>
      <c r="EX739" s="1326"/>
      <c r="EZ739" s="1299" t="str">
        <f t="shared" si="30"/>
        <v/>
      </c>
      <c r="FA739" s="1300"/>
      <c r="FB739" s="1300"/>
      <c r="FC739" s="1300"/>
      <c r="FD739" s="1301"/>
      <c r="FE739" s="1299" t="str">
        <f t="shared" si="31"/>
        <v/>
      </c>
      <c r="FF739" s="1300"/>
      <c r="FG739" s="1300"/>
      <c r="FH739" s="1300"/>
      <c r="FI739" s="1301"/>
      <c r="FJ739" s="1299" t="str">
        <f t="shared" si="32"/>
        <v/>
      </c>
      <c r="FK739" s="1300"/>
      <c r="FL739" s="1300"/>
      <c r="FM739" s="1300"/>
      <c r="FN739" s="1301"/>
      <c r="FO739" s="1299" t="str">
        <f t="shared" si="33"/>
        <v/>
      </c>
      <c r="FP739" s="1300"/>
      <c r="FQ739" s="1300"/>
      <c r="FR739" s="1300"/>
      <c r="FS739" s="1301"/>
      <c r="FT739" s="1299" t="str">
        <f t="shared" si="34"/>
        <v/>
      </c>
      <c r="FU739" s="1300"/>
      <c r="FV739" s="1300"/>
      <c r="FW739" s="1300"/>
      <c r="FX739" s="1301"/>
      <c r="FY739" s="1299" t="str">
        <f t="shared" si="35"/>
        <v/>
      </c>
      <c r="FZ739" s="1300"/>
      <c r="GA739" s="1300"/>
      <c r="GB739" s="1300"/>
      <c r="GC739" s="1301"/>
    </row>
    <row r="740" spans="1:185" ht="13.2" customHeight="1">
      <c r="B740" s="1313"/>
      <c r="C740" s="1314"/>
      <c r="D740" s="1314"/>
      <c r="E740" s="1314"/>
      <c r="F740" s="1315"/>
      <c r="G740" s="1322"/>
      <c r="H740" s="1323"/>
      <c r="I740" s="1323"/>
      <c r="J740" s="1324"/>
      <c r="K740" s="1539"/>
      <c r="L740" s="1540"/>
      <c r="M740" s="1540"/>
      <c r="N740" s="1541"/>
      <c r="O740" s="1424"/>
      <c r="P740" s="1425"/>
      <c r="Q740" s="1425"/>
      <c r="R740" s="1425"/>
      <c r="S740" s="1426"/>
      <c r="T740" s="1424"/>
      <c r="U740" s="1425"/>
      <c r="V740" s="1425"/>
      <c r="W740" s="1426"/>
      <c r="X740" s="1316">
        <f t="shared" si="8"/>
        <v>0</v>
      </c>
      <c r="Y740" s="1317"/>
      <c r="Z740" s="1317"/>
      <c r="AA740" s="1317"/>
      <c r="AB740" s="1318"/>
      <c r="AC740" s="1548"/>
      <c r="AD740" s="1549"/>
      <c r="AE740" s="1549"/>
      <c r="AF740" s="1549"/>
      <c r="AG740" s="1550"/>
      <c r="AH740" s="1319" t="str">
        <f t="shared" si="36"/>
        <v/>
      </c>
      <c r="AI740" s="1320"/>
      <c r="AJ740" s="1321"/>
      <c r="AK740" s="1313" t="s">
        <v>810</v>
      </c>
      <c r="AL740" s="1314"/>
      <c r="AM740" s="1314"/>
      <c r="AN740" s="1314"/>
      <c r="AO740" s="1315"/>
      <c r="AP740" s="2"/>
      <c r="AQ740" s="2"/>
      <c r="AR740" s="2"/>
      <c r="AS740" s="2"/>
      <c r="AY740" s="763"/>
      <c r="AZ740" s="68" t="str">
        <f t="shared" si="9"/>
        <v>N/A</v>
      </c>
      <c r="BA740" s="2"/>
      <c r="BE740" s="113"/>
      <c r="BF740" s="178">
        <f t="shared" si="10"/>
        <v>0</v>
      </c>
      <c r="BG740" s="181">
        <f t="shared" si="11"/>
        <v>0</v>
      </c>
      <c r="BH740" s="182" t="str">
        <f t="shared" si="12"/>
        <v/>
      </c>
      <c r="BK740" s="2"/>
      <c r="BL740" s="2"/>
      <c r="BM740" s="2"/>
      <c r="BN740" s="2"/>
      <c r="BS740" s="178">
        <f t="shared" si="13"/>
        <v>0</v>
      </c>
      <c r="BT740" s="181">
        <f t="shared" si="14"/>
        <v>0</v>
      </c>
      <c r="BU740" s="182" t="str">
        <f t="shared" si="15"/>
        <v/>
      </c>
      <c r="BV740" s="2"/>
      <c r="BW740" s="2"/>
      <c r="BX740" s="2"/>
      <c r="BY740" s="2"/>
      <c r="BZ740" s="2"/>
      <c r="CA740" s="2"/>
      <c r="CB740" s="2"/>
      <c r="CC740" s="2"/>
      <c r="CE740" s="2"/>
      <c r="CF740" s="2"/>
      <c r="CG740" s="1299">
        <f t="shared" si="37"/>
        <v>0</v>
      </c>
      <c r="CH740" s="1301"/>
      <c r="CI740" s="1299">
        <f t="shared" si="38"/>
        <v>0</v>
      </c>
      <c r="CJ740" s="1301"/>
      <c r="CK740" s="1299">
        <f t="shared" si="16"/>
        <v>0</v>
      </c>
      <c r="CL740" s="1301"/>
      <c r="CM740" s="1299">
        <f t="shared" si="17"/>
        <v>0</v>
      </c>
      <c r="CN740" s="1301"/>
      <c r="CO740" s="2"/>
      <c r="CP740" s="1296">
        <f t="shared" si="18"/>
        <v>0</v>
      </c>
      <c r="CQ740" s="1297"/>
      <c r="CR740" s="1297"/>
      <c r="CS740" s="1297"/>
      <c r="CT740" s="1298"/>
      <c r="CU740" s="1312">
        <f t="shared" si="19"/>
        <v>0</v>
      </c>
      <c r="CV740" s="1312"/>
      <c r="CW740" s="1312"/>
      <c r="CX740" s="1312"/>
      <c r="CY740" s="1312"/>
      <c r="CZ740" s="1312">
        <f t="shared" si="20"/>
        <v>0</v>
      </c>
      <c r="DA740" s="1312"/>
      <c r="DB740" s="1312"/>
      <c r="DC740" s="1312"/>
      <c r="DD740" s="1312"/>
      <c r="DE740" s="1312">
        <f t="shared" si="21"/>
        <v>0</v>
      </c>
      <c r="DF740" s="1312"/>
      <c r="DG740" s="1312"/>
      <c r="DH740" s="1312"/>
      <c r="DI740" s="1312"/>
      <c r="DJ740" s="1312">
        <f t="shared" si="22"/>
        <v>0</v>
      </c>
      <c r="DK740" s="1312"/>
      <c r="DL740" s="1312"/>
      <c r="DM740" s="1312"/>
      <c r="DN740" s="1312"/>
      <c r="DO740" s="1312">
        <f t="shared" si="23"/>
        <v>0</v>
      </c>
      <c r="DP740" s="1312"/>
      <c r="DQ740" s="1312"/>
      <c r="DR740" s="1312"/>
      <c r="DS740" s="1312"/>
      <c r="DT740" s="1179"/>
      <c r="DU740" s="1326">
        <f t="shared" si="24"/>
        <v>0</v>
      </c>
      <c r="DV740" s="1326"/>
      <c r="DW740" s="1326"/>
      <c r="DX740" s="1326"/>
      <c r="DY740" s="1326"/>
      <c r="DZ740" s="1326">
        <f t="shared" si="25"/>
        <v>0</v>
      </c>
      <c r="EA740" s="1326"/>
      <c r="EB740" s="1326"/>
      <c r="EC740" s="1326"/>
      <c r="ED740" s="1326"/>
      <c r="EE740" s="1326">
        <f t="shared" si="26"/>
        <v>0</v>
      </c>
      <c r="EF740" s="1326"/>
      <c r="EG740" s="1326"/>
      <c r="EH740" s="1326"/>
      <c r="EI740" s="1326"/>
      <c r="EJ740" s="1326">
        <f t="shared" si="27"/>
        <v>0</v>
      </c>
      <c r="EK740" s="1326"/>
      <c r="EL740" s="1326"/>
      <c r="EM740" s="1326"/>
      <c r="EN740" s="1326"/>
      <c r="EO740" s="1326">
        <f t="shared" si="28"/>
        <v>0</v>
      </c>
      <c r="EP740" s="1326"/>
      <c r="EQ740" s="1326"/>
      <c r="ER740" s="1326"/>
      <c r="ES740" s="1326"/>
      <c r="ET740" s="1326">
        <f t="shared" si="29"/>
        <v>0</v>
      </c>
      <c r="EU740" s="1326"/>
      <c r="EV740" s="1326"/>
      <c r="EW740" s="1326"/>
      <c r="EX740" s="1326"/>
      <c r="EZ740" s="1299" t="str">
        <f t="shared" si="30"/>
        <v/>
      </c>
      <c r="FA740" s="1300"/>
      <c r="FB740" s="1300"/>
      <c r="FC740" s="1300"/>
      <c r="FD740" s="1301"/>
      <c r="FE740" s="1299" t="str">
        <f t="shared" si="31"/>
        <v/>
      </c>
      <c r="FF740" s="1300"/>
      <c r="FG740" s="1300"/>
      <c r="FH740" s="1300"/>
      <c r="FI740" s="1301"/>
      <c r="FJ740" s="1299" t="str">
        <f t="shared" si="32"/>
        <v/>
      </c>
      <c r="FK740" s="1300"/>
      <c r="FL740" s="1300"/>
      <c r="FM740" s="1300"/>
      <c r="FN740" s="1301"/>
      <c r="FO740" s="1299" t="str">
        <f t="shared" si="33"/>
        <v/>
      </c>
      <c r="FP740" s="1300"/>
      <c r="FQ740" s="1300"/>
      <c r="FR740" s="1300"/>
      <c r="FS740" s="1301"/>
      <c r="FT740" s="1299" t="str">
        <f t="shared" si="34"/>
        <v/>
      </c>
      <c r="FU740" s="1300"/>
      <c r="FV740" s="1300"/>
      <c r="FW740" s="1300"/>
      <c r="FX740" s="1301"/>
      <c r="FY740" s="1299" t="str">
        <f t="shared" si="35"/>
        <v/>
      </c>
      <c r="FZ740" s="1300"/>
      <c r="GA740" s="1300"/>
      <c r="GB740" s="1300"/>
      <c r="GC740" s="1301"/>
    </row>
    <row r="741" spans="1:185" ht="13.2" customHeight="1">
      <c r="B741" s="1313"/>
      <c r="C741" s="1314"/>
      <c r="D741" s="1314"/>
      <c r="E741" s="1314"/>
      <c r="F741" s="1315"/>
      <c r="G741" s="1322"/>
      <c r="H741" s="1323"/>
      <c r="I741" s="1323"/>
      <c r="J741" s="1324"/>
      <c r="K741" s="1539"/>
      <c r="L741" s="1540"/>
      <c r="M741" s="1540"/>
      <c r="N741" s="1541"/>
      <c r="O741" s="1424"/>
      <c r="P741" s="1425"/>
      <c r="Q741" s="1425"/>
      <c r="R741" s="1425"/>
      <c r="S741" s="1426"/>
      <c r="T741" s="1424"/>
      <c r="U741" s="1425"/>
      <c r="V741" s="1425"/>
      <c r="W741" s="1426"/>
      <c r="X741" s="1316">
        <f t="shared" si="8"/>
        <v>0</v>
      </c>
      <c r="Y741" s="1317"/>
      <c r="Z741" s="1317"/>
      <c r="AA741" s="1317"/>
      <c r="AB741" s="1318"/>
      <c r="AC741" s="1548"/>
      <c r="AD741" s="1549"/>
      <c r="AE741" s="1549"/>
      <c r="AF741" s="1549"/>
      <c r="AG741" s="1550"/>
      <c r="AH741" s="1319" t="str">
        <f t="shared" si="36"/>
        <v/>
      </c>
      <c r="AI741" s="1320"/>
      <c r="AJ741" s="1321"/>
      <c r="AK741" s="1313" t="s">
        <v>810</v>
      </c>
      <c r="AL741" s="1314"/>
      <c r="AM741" s="1314"/>
      <c r="AN741" s="1314"/>
      <c r="AO741" s="1315"/>
      <c r="AP741" s="2"/>
      <c r="AQ741" s="2"/>
      <c r="AR741" s="2"/>
      <c r="AS741" s="2"/>
      <c r="AY741" s="763"/>
      <c r="AZ741" s="68" t="str">
        <f t="shared" si="9"/>
        <v>N/A</v>
      </c>
      <c r="BA741" s="2"/>
      <c r="BE741" s="113"/>
      <c r="BF741" s="178">
        <f t="shared" si="10"/>
        <v>0</v>
      </c>
      <c r="BG741" s="181">
        <f t="shared" si="11"/>
        <v>0</v>
      </c>
      <c r="BH741" s="182" t="str">
        <f t="shared" si="12"/>
        <v/>
      </c>
      <c r="BK741" s="2"/>
      <c r="BL741" s="2"/>
      <c r="BM741" s="2"/>
      <c r="BN741" s="2"/>
      <c r="BS741" s="178">
        <f t="shared" si="13"/>
        <v>0</v>
      </c>
      <c r="BT741" s="181">
        <f t="shared" si="14"/>
        <v>0</v>
      </c>
      <c r="BU741" s="182" t="str">
        <f t="shared" si="15"/>
        <v/>
      </c>
      <c r="BV741" s="2"/>
      <c r="BW741" s="2"/>
      <c r="BX741" s="2"/>
      <c r="BY741" s="2"/>
      <c r="BZ741" s="2"/>
      <c r="CA741" s="2"/>
      <c r="CB741" s="2"/>
      <c r="CC741" s="2"/>
      <c r="CE741" s="2"/>
      <c r="CF741" s="2"/>
      <c r="CG741" s="1299">
        <f t="shared" si="37"/>
        <v>0</v>
      </c>
      <c r="CH741" s="1301"/>
      <c r="CI741" s="1299">
        <f t="shared" si="38"/>
        <v>0</v>
      </c>
      <c r="CJ741" s="1301"/>
      <c r="CK741" s="1299">
        <f t="shared" si="16"/>
        <v>0</v>
      </c>
      <c r="CL741" s="1301"/>
      <c r="CM741" s="1299">
        <f t="shared" si="17"/>
        <v>0</v>
      </c>
      <c r="CN741" s="1301"/>
      <c r="CO741" s="2"/>
      <c r="CP741" s="1296">
        <f t="shared" si="18"/>
        <v>0</v>
      </c>
      <c r="CQ741" s="1297"/>
      <c r="CR741" s="1297"/>
      <c r="CS741" s="1297"/>
      <c r="CT741" s="1298"/>
      <c r="CU741" s="1312">
        <f t="shared" si="19"/>
        <v>0</v>
      </c>
      <c r="CV741" s="1312"/>
      <c r="CW741" s="1312"/>
      <c r="CX741" s="1312"/>
      <c r="CY741" s="1312"/>
      <c r="CZ741" s="1312">
        <f t="shared" si="20"/>
        <v>0</v>
      </c>
      <c r="DA741" s="1312"/>
      <c r="DB741" s="1312"/>
      <c r="DC741" s="1312"/>
      <c r="DD741" s="1312"/>
      <c r="DE741" s="1312">
        <f t="shared" si="21"/>
        <v>0</v>
      </c>
      <c r="DF741" s="1312"/>
      <c r="DG741" s="1312"/>
      <c r="DH741" s="1312"/>
      <c r="DI741" s="1312"/>
      <c r="DJ741" s="1312">
        <f t="shared" si="22"/>
        <v>0</v>
      </c>
      <c r="DK741" s="1312"/>
      <c r="DL741" s="1312"/>
      <c r="DM741" s="1312"/>
      <c r="DN741" s="1312"/>
      <c r="DO741" s="1312">
        <f t="shared" si="23"/>
        <v>0</v>
      </c>
      <c r="DP741" s="1312"/>
      <c r="DQ741" s="1312"/>
      <c r="DR741" s="1312"/>
      <c r="DS741" s="1312"/>
      <c r="DT741" s="1179"/>
      <c r="DU741" s="1326">
        <f t="shared" si="24"/>
        <v>0</v>
      </c>
      <c r="DV741" s="1326"/>
      <c r="DW741" s="1326"/>
      <c r="DX741" s="1326"/>
      <c r="DY741" s="1326"/>
      <c r="DZ741" s="1326">
        <f t="shared" si="25"/>
        <v>0</v>
      </c>
      <c r="EA741" s="1326"/>
      <c r="EB741" s="1326"/>
      <c r="EC741" s="1326"/>
      <c r="ED741" s="1326"/>
      <c r="EE741" s="1326">
        <f t="shared" si="26"/>
        <v>0</v>
      </c>
      <c r="EF741" s="1326"/>
      <c r="EG741" s="1326"/>
      <c r="EH741" s="1326"/>
      <c r="EI741" s="1326"/>
      <c r="EJ741" s="1326">
        <f t="shared" si="27"/>
        <v>0</v>
      </c>
      <c r="EK741" s="1326"/>
      <c r="EL741" s="1326"/>
      <c r="EM741" s="1326"/>
      <c r="EN741" s="1326"/>
      <c r="EO741" s="1326">
        <f t="shared" si="28"/>
        <v>0</v>
      </c>
      <c r="EP741" s="1326"/>
      <c r="EQ741" s="1326"/>
      <c r="ER741" s="1326"/>
      <c r="ES741" s="1326"/>
      <c r="ET741" s="1326">
        <f t="shared" si="29"/>
        <v>0</v>
      </c>
      <c r="EU741" s="1326"/>
      <c r="EV741" s="1326"/>
      <c r="EW741" s="1326"/>
      <c r="EX741" s="1326"/>
      <c r="EZ741" s="1299" t="str">
        <f t="shared" si="30"/>
        <v/>
      </c>
      <c r="FA741" s="1300"/>
      <c r="FB741" s="1300"/>
      <c r="FC741" s="1300"/>
      <c r="FD741" s="1301"/>
      <c r="FE741" s="1299" t="str">
        <f t="shared" si="31"/>
        <v/>
      </c>
      <c r="FF741" s="1300"/>
      <c r="FG741" s="1300"/>
      <c r="FH741" s="1300"/>
      <c r="FI741" s="1301"/>
      <c r="FJ741" s="1299" t="str">
        <f t="shared" si="32"/>
        <v/>
      </c>
      <c r="FK741" s="1300"/>
      <c r="FL741" s="1300"/>
      <c r="FM741" s="1300"/>
      <c r="FN741" s="1301"/>
      <c r="FO741" s="1299" t="str">
        <f t="shared" si="33"/>
        <v/>
      </c>
      <c r="FP741" s="1300"/>
      <c r="FQ741" s="1300"/>
      <c r="FR741" s="1300"/>
      <c r="FS741" s="1301"/>
      <c r="FT741" s="1299" t="str">
        <f t="shared" si="34"/>
        <v/>
      </c>
      <c r="FU741" s="1300"/>
      <c r="FV741" s="1300"/>
      <c r="FW741" s="1300"/>
      <c r="FX741" s="1301"/>
      <c r="FY741" s="1299" t="str">
        <f t="shared" si="35"/>
        <v/>
      </c>
      <c r="FZ741" s="1300"/>
      <c r="GA741" s="1300"/>
      <c r="GB741" s="1300"/>
      <c r="GC741" s="1301"/>
    </row>
    <row r="742" spans="1:185" ht="13.2" customHeight="1">
      <c r="B742" s="1313"/>
      <c r="C742" s="1314"/>
      <c r="D742" s="1314"/>
      <c r="E742" s="1314"/>
      <c r="F742" s="1315"/>
      <c r="G742" s="1322"/>
      <c r="H742" s="1323"/>
      <c r="I742" s="1323"/>
      <c r="J742" s="1324"/>
      <c r="K742" s="1539"/>
      <c r="L742" s="1540"/>
      <c r="M742" s="1540"/>
      <c r="N742" s="1541"/>
      <c r="O742" s="1424"/>
      <c r="P742" s="1425"/>
      <c r="Q742" s="1425"/>
      <c r="R742" s="1425"/>
      <c r="S742" s="1426"/>
      <c r="T742" s="1424"/>
      <c r="U742" s="1425"/>
      <c r="V742" s="1425"/>
      <c r="W742" s="1426"/>
      <c r="X742" s="1316">
        <f t="shared" ref="X742:X751" si="39">O742+T742</f>
        <v>0</v>
      </c>
      <c r="Y742" s="1317"/>
      <c r="Z742" s="1317"/>
      <c r="AA742" s="1317"/>
      <c r="AB742" s="1318"/>
      <c r="AC742" s="1548"/>
      <c r="AD742" s="1549"/>
      <c r="AE742" s="1549"/>
      <c r="AF742" s="1549"/>
      <c r="AG742" s="1550"/>
      <c r="AH742" s="1319" t="str">
        <f t="shared" si="36"/>
        <v/>
      </c>
      <c r="AI742" s="1320"/>
      <c r="AJ742" s="1321"/>
      <c r="AK742" s="1313" t="s">
        <v>810</v>
      </c>
      <c r="AL742" s="1314"/>
      <c r="AM742" s="1314"/>
      <c r="AN742" s="1314"/>
      <c r="AO742" s="1315"/>
      <c r="AP742" s="2"/>
      <c r="AQ742" s="2"/>
      <c r="AR742" s="2"/>
      <c r="AS742" s="2"/>
      <c r="AY742" s="763"/>
      <c r="AZ742" s="68" t="str">
        <f t="shared" si="9"/>
        <v>N/A</v>
      </c>
      <c r="BA742" s="2"/>
      <c r="BB742" s="2"/>
      <c r="BE742" s="113"/>
      <c r="BF742" s="178">
        <f t="shared" si="10"/>
        <v>0</v>
      </c>
      <c r="BG742" s="181">
        <f t="shared" si="11"/>
        <v>0</v>
      </c>
      <c r="BH742" s="182" t="str">
        <f t="shared" si="12"/>
        <v/>
      </c>
      <c r="BL742" s="2"/>
      <c r="BM742" s="2"/>
      <c r="BN742" s="2"/>
      <c r="BS742" s="178">
        <f t="shared" si="13"/>
        <v>0</v>
      </c>
      <c r="BT742" s="181">
        <f t="shared" si="14"/>
        <v>0</v>
      </c>
      <c r="BU742" s="182" t="str">
        <f t="shared" si="15"/>
        <v/>
      </c>
      <c r="BV742" s="2"/>
      <c r="BW742" s="2"/>
      <c r="BX742" s="2"/>
      <c r="BY742" s="2"/>
      <c r="BZ742" s="2"/>
      <c r="CA742" s="2"/>
      <c r="CB742" s="2"/>
      <c r="CC742" s="2"/>
      <c r="CE742" s="2"/>
      <c r="CF742" s="2"/>
      <c r="CG742" s="1299">
        <f t="shared" si="37"/>
        <v>0</v>
      </c>
      <c r="CH742" s="1301"/>
      <c r="CI742" s="1299">
        <f t="shared" si="38"/>
        <v>0</v>
      </c>
      <c r="CJ742" s="1301"/>
      <c r="CK742" s="1299">
        <f t="shared" si="16"/>
        <v>0</v>
      </c>
      <c r="CL742" s="1301"/>
      <c r="CM742" s="1299">
        <f t="shared" si="17"/>
        <v>0</v>
      </c>
      <c r="CN742" s="1301"/>
      <c r="CO742" s="2"/>
      <c r="CP742" s="1296">
        <f t="shared" si="18"/>
        <v>0</v>
      </c>
      <c r="CQ742" s="1297"/>
      <c r="CR742" s="1297"/>
      <c r="CS742" s="1297"/>
      <c r="CT742" s="1298"/>
      <c r="CU742" s="1312">
        <f t="shared" si="19"/>
        <v>0</v>
      </c>
      <c r="CV742" s="1312"/>
      <c r="CW742" s="1312"/>
      <c r="CX742" s="1312"/>
      <c r="CY742" s="1312"/>
      <c r="CZ742" s="1312">
        <f t="shared" si="20"/>
        <v>0</v>
      </c>
      <c r="DA742" s="1312"/>
      <c r="DB742" s="1312"/>
      <c r="DC742" s="1312"/>
      <c r="DD742" s="1312"/>
      <c r="DE742" s="1312">
        <f t="shared" si="21"/>
        <v>0</v>
      </c>
      <c r="DF742" s="1312"/>
      <c r="DG742" s="1312"/>
      <c r="DH742" s="1312"/>
      <c r="DI742" s="1312"/>
      <c r="DJ742" s="1312">
        <f t="shared" si="22"/>
        <v>0</v>
      </c>
      <c r="DK742" s="1312"/>
      <c r="DL742" s="1312"/>
      <c r="DM742" s="1312"/>
      <c r="DN742" s="1312"/>
      <c r="DO742" s="1312">
        <f t="shared" si="23"/>
        <v>0</v>
      </c>
      <c r="DP742" s="1312"/>
      <c r="DQ742" s="1312"/>
      <c r="DR742" s="1312"/>
      <c r="DS742" s="1312"/>
      <c r="DT742" s="1179"/>
      <c r="DU742" s="1326">
        <f t="shared" si="24"/>
        <v>0</v>
      </c>
      <c r="DV742" s="1326"/>
      <c r="DW742" s="1326"/>
      <c r="DX742" s="1326"/>
      <c r="DY742" s="1326"/>
      <c r="DZ742" s="1326">
        <f t="shared" si="25"/>
        <v>0</v>
      </c>
      <c r="EA742" s="1326"/>
      <c r="EB742" s="1326"/>
      <c r="EC742" s="1326"/>
      <c r="ED742" s="1326"/>
      <c r="EE742" s="1326">
        <f t="shared" si="26"/>
        <v>0</v>
      </c>
      <c r="EF742" s="1326"/>
      <c r="EG742" s="1326"/>
      <c r="EH742" s="1326"/>
      <c r="EI742" s="1326"/>
      <c r="EJ742" s="1326">
        <f t="shared" si="27"/>
        <v>0</v>
      </c>
      <c r="EK742" s="1326"/>
      <c r="EL742" s="1326"/>
      <c r="EM742" s="1326"/>
      <c r="EN742" s="1326"/>
      <c r="EO742" s="1326">
        <f t="shared" si="28"/>
        <v>0</v>
      </c>
      <c r="EP742" s="1326"/>
      <c r="EQ742" s="1326"/>
      <c r="ER742" s="1326"/>
      <c r="ES742" s="1326"/>
      <c r="ET742" s="1326">
        <f t="shared" si="29"/>
        <v>0</v>
      </c>
      <c r="EU742" s="1326"/>
      <c r="EV742" s="1326"/>
      <c r="EW742" s="1326"/>
      <c r="EX742" s="1326"/>
      <c r="EZ742" s="1299" t="str">
        <f t="shared" si="30"/>
        <v/>
      </c>
      <c r="FA742" s="1300"/>
      <c r="FB742" s="1300"/>
      <c r="FC742" s="1300"/>
      <c r="FD742" s="1301"/>
      <c r="FE742" s="1299" t="str">
        <f t="shared" si="31"/>
        <v/>
      </c>
      <c r="FF742" s="1300"/>
      <c r="FG742" s="1300"/>
      <c r="FH742" s="1300"/>
      <c r="FI742" s="1301"/>
      <c r="FJ742" s="1299" t="str">
        <f t="shared" si="32"/>
        <v/>
      </c>
      <c r="FK742" s="1300"/>
      <c r="FL742" s="1300"/>
      <c r="FM742" s="1300"/>
      <c r="FN742" s="1301"/>
      <c r="FO742" s="1299" t="str">
        <f t="shared" si="33"/>
        <v/>
      </c>
      <c r="FP742" s="1300"/>
      <c r="FQ742" s="1300"/>
      <c r="FR742" s="1300"/>
      <c r="FS742" s="1301"/>
      <c r="FT742" s="1299" t="str">
        <f t="shared" si="34"/>
        <v/>
      </c>
      <c r="FU742" s="1300"/>
      <c r="FV742" s="1300"/>
      <c r="FW742" s="1300"/>
      <c r="FX742" s="1301"/>
      <c r="FY742" s="1299" t="str">
        <f t="shared" si="35"/>
        <v/>
      </c>
      <c r="FZ742" s="1300"/>
      <c r="GA742" s="1300"/>
      <c r="GB742" s="1300"/>
      <c r="GC742" s="1301"/>
    </row>
    <row r="743" spans="1:185" s="2" customFormat="1" ht="13.2" customHeight="1">
      <c r="A743"/>
      <c r="B743" s="1313"/>
      <c r="C743" s="1314"/>
      <c r="D743" s="1314"/>
      <c r="E743" s="1314"/>
      <c r="F743" s="1315"/>
      <c r="G743" s="1322"/>
      <c r="H743" s="1323"/>
      <c r="I743" s="1323"/>
      <c r="J743" s="1324"/>
      <c r="K743" s="1539"/>
      <c r="L743" s="1540"/>
      <c r="M743" s="1540"/>
      <c r="N743" s="1541"/>
      <c r="O743" s="1424"/>
      <c r="P743" s="1425"/>
      <c r="Q743" s="1425"/>
      <c r="R743" s="1425"/>
      <c r="S743" s="1426"/>
      <c r="T743" s="1424"/>
      <c r="U743" s="1425"/>
      <c r="V743" s="1425"/>
      <c r="W743" s="1426"/>
      <c r="X743" s="1316">
        <f t="shared" si="39"/>
        <v>0</v>
      </c>
      <c r="Y743" s="1317"/>
      <c r="Z743" s="1317"/>
      <c r="AA743" s="1317"/>
      <c r="AB743" s="1318"/>
      <c r="AC743" s="1548"/>
      <c r="AD743" s="1549"/>
      <c r="AE743" s="1549"/>
      <c r="AF743" s="1549"/>
      <c r="AG743" s="1550"/>
      <c r="AH743" s="1319" t="str">
        <f t="shared" si="36"/>
        <v/>
      </c>
      <c r="AI743" s="1320"/>
      <c r="AJ743" s="1321"/>
      <c r="AK743" s="1313" t="s">
        <v>810</v>
      </c>
      <c r="AL743" s="1314"/>
      <c r="AM743" s="1314"/>
      <c r="AN743" s="1314"/>
      <c r="AO743" s="1315"/>
      <c r="AT743"/>
      <c r="AU743"/>
      <c r="AV743"/>
      <c r="AW743"/>
      <c r="AX743"/>
      <c r="AY743" s="763"/>
      <c r="AZ743" s="68" t="str">
        <f t="shared" si="9"/>
        <v>N/A</v>
      </c>
      <c r="BD743"/>
      <c r="BE743"/>
      <c r="BF743" s="178">
        <f t="shared" si="10"/>
        <v>0</v>
      </c>
      <c r="BG743" s="181">
        <f t="shared" si="11"/>
        <v>0</v>
      </c>
      <c r="BH743" s="182" t="str">
        <f t="shared" si="12"/>
        <v/>
      </c>
      <c r="BI743"/>
      <c r="BJ743"/>
      <c r="BK743"/>
      <c r="BL743"/>
      <c r="BM743"/>
      <c r="BN743"/>
      <c r="BO743"/>
      <c r="BP743"/>
      <c r="BQ743"/>
      <c r="BR743"/>
      <c r="BS743" s="178">
        <f t="shared" si="13"/>
        <v>0</v>
      </c>
      <c r="BT743" s="181">
        <f t="shared" si="14"/>
        <v>0</v>
      </c>
      <c r="BU743" s="182" t="str">
        <f t="shared" si="15"/>
        <v/>
      </c>
      <c r="CD743"/>
      <c r="CG743" s="1299">
        <f t="shared" si="37"/>
        <v>0</v>
      </c>
      <c r="CH743" s="1301"/>
      <c r="CI743" s="1299">
        <f t="shared" si="38"/>
        <v>0</v>
      </c>
      <c r="CJ743" s="1301"/>
      <c r="CK743" s="1299">
        <f t="shared" si="16"/>
        <v>0</v>
      </c>
      <c r="CL743" s="1301"/>
      <c r="CM743" s="1299">
        <f t="shared" si="17"/>
        <v>0</v>
      </c>
      <c r="CN743" s="1301"/>
      <c r="CP743" s="1296">
        <f t="shared" si="18"/>
        <v>0</v>
      </c>
      <c r="CQ743" s="1297"/>
      <c r="CR743" s="1297"/>
      <c r="CS743" s="1297"/>
      <c r="CT743" s="1298"/>
      <c r="CU743" s="1312">
        <f t="shared" si="19"/>
        <v>0</v>
      </c>
      <c r="CV743" s="1312"/>
      <c r="CW743" s="1312"/>
      <c r="CX743" s="1312"/>
      <c r="CY743" s="1312"/>
      <c r="CZ743" s="1312">
        <f t="shared" si="20"/>
        <v>0</v>
      </c>
      <c r="DA743" s="1312"/>
      <c r="DB743" s="1312"/>
      <c r="DC743" s="1312"/>
      <c r="DD743" s="1312"/>
      <c r="DE743" s="1312">
        <f t="shared" si="21"/>
        <v>0</v>
      </c>
      <c r="DF743" s="1312"/>
      <c r="DG743" s="1312"/>
      <c r="DH743" s="1312"/>
      <c r="DI743" s="1312"/>
      <c r="DJ743" s="1312">
        <f t="shared" si="22"/>
        <v>0</v>
      </c>
      <c r="DK743" s="1312"/>
      <c r="DL743" s="1312"/>
      <c r="DM743" s="1312"/>
      <c r="DN743" s="1312"/>
      <c r="DO743" s="1312">
        <f t="shared" si="23"/>
        <v>0</v>
      </c>
      <c r="DP743" s="1312"/>
      <c r="DQ743" s="1312"/>
      <c r="DR743" s="1312"/>
      <c r="DS743" s="1312"/>
      <c r="DT743" s="1179"/>
      <c r="DU743" s="1326">
        <f t="shared" si="24"/>
        <v>0</v>
      </c>
      <c r="DV743" s="1326"/>
      <c r="DW743" s="1326"/>
      <c r="DX743" s="1326"/>
      <c r="DY743" s="1326"/>
      <c r="DZ743" s="1326">
        <f t="shared" si="25"/>
        <v>0</v>
      </c>
      <c r="EA743" s="1326"/>
      <c r="EB743" s="1326"/>
      <c r="EC743" s="1326"/>
      <c r="ED743" s="1326"/>
      <c r="EE743" s="1326">
        <f t="shared" si="26"/>
        <v>0</v>
      </c>
      <c r="EF743" s="1326"/>
      <c r="EG743" s="1326"/>
      <c r="EH743" s="1326"/>
      <c r="EI743" s="1326"/>
      <c r="EJ743" s="1326">
        <f t="shared" si="27"/>
        <v>0</v>
      </c>
      <c r="EK743" s="1326"/>
      <c r="EL743" s="1326"/>
      <c r="EM743" s="1326"/>
      <c r="EN743" s="1326"/>
      <c r="EO743" s="1326">
        <f t="shared" si="28"/>
        <v>0</v>
      </c>
      <c r="EP743" s="1326"/>
      <c r="EQ743" s="1326"/>
      <c r="ER743" s="1326"/>
      <c r="ES743" s="1326"/>
      <c r="ET743" s="1326">
        <f t="shared" si="29"/>
        <v>0</v>
      </c>
      <c r="EU743" s="1326"/>
      <c r="EV743" s="1326"/>
      <c r="EW743" s="1326"/>
      <c r="EX743" s="1326"/>
      <c r="EY743"/>
      <c r="EZ743" s="1299" t="str">
        <f t="shared" si="30"/>
        <v/>
      </c>
      <c r="FA743" s="1300"/>
      <c r="FB743" s="1300"/>
      <c r="FC743" s="1300"/>
      <c r="FD743" s="1301"/>
      <c r="FE743" s="1299" t="str">
        <f t="shared" si="31"/>
        <v/>
      </c>
      <c r="FF743" s="1300"/>
      <c r="FG743" s="1300"/>
      <c r="FH743" s="1300"/>
      <c r="FI743" s="1301"/>
      <c r="FJ743" s="1299" t="str">
        <f t="shared" si="32"/>
        <v/>
      </c>
      <c r="FK743" s="1300"/>
      <c r="FL743" s="1300"/>
      <c r="FM743" s="1300"/>
      <c r="FN743" s="1301"/>
      <c r="FO743" s="1299" t="str">
        <f t="shared" si="33"/>
        <v/>
      </c>
      <c r="FP743" s="1300"/>
      <c r="FQ743" s="1300"/>
      <c r="FR743" s="1300"/>
      <c r="FS743" s="1301"/>
      <c r="FT743" s="1299" t="str">
        <f t="shared" si="34"/>
        <v/>
      </c>
      <c r="FU743" s="1300"/>
      <c r="FV743" s="1300"/>
      <c r="FW743" s="1300"/>
      <c r="FX743" s="1301"/>
      <c r="FY743" s="1299" t="str">
        <f t="shared" si="35"/>
        <v/>
      </c>
      <c r="FZ743" s="1300"/>
      <c r="GA743" s="1300"/>
      <c r="GB743" s="1300"/>
      <c r="GC743" s="1301"/>
    </row>
    <row r="744" spans="1:185" ht="13.2" customHeight="1">
      <c r="B744" s="1313"/>
      <c r="C744" s="1314"/>
      <c r="D744" s="1314"/>
      <c r="E744" s="1314"/>
      <c r="F744" s="1315"/>
      <c r="G744" s="1322"/>
      <c r="H744" s="1323"/>
      <c r="I744" s="1323"/>
      <c r="J744" s="1324"/>
      <c r="K744" s="1539"/>
      <c r="L744" s="1540"/>
      <c r="M744" s="1540"/>
      <c r="N744" s="1541"/>
      <c r="O744" s="1424"/>
      <c r="P744" s="1425"/>
      <c r="Q744" s="1425"/>
      <c r="R744" s="1425"/>
      <c r="S744" s="1426"/>
      <c r="T744" s="1424"/>
      <c r="U744" s="1425"/>
      <c r="V744" s="1425"/>
      <c r="W744" s="1426"/>
      <c r="X744" s="1316">
        <f t="shared" si="39"/>
        <v>0</v>
      </c>
      <c r="Y744" s="1317"/>
      <c r="Z744" s="1317"/>
      <c r="AA744" s="1317"/>
      <c r="AB744" s="1318"/>
      <c r="AC744" s="1548"/>
      <c r="AD744" s="1549"/>
      <c r="AE744" s="1549"/>
      <c r="AF744" s="1549"/>
      <c r="AG744" s="1550"/>
      <c r="AH744" s="1319" t="str">
        <f t="shared" si="36"/>
        <v/>
      </c>
      <c r="AI744" s="1320"/>
      <c r="AJ744" s="1321"/>
      <c r="AK744" s="1313" t="s">
        <v>810</v>
      </c>
      <c r="AL744" s="1314"/>
      <c r="AM744" s="1314"/>
      <c r="AN744" s="1314"/>
      <c r="AO744" s="1315"/>
      <c r="AP744" s="2"/>
      <c r="AQ744" s="2"/>
      <c r="AR744" s="2"/>
      <c r="AS744" s="2"/>
      <c r="AY744" s="763"/>
      <c r="AZ744" s="68" t="str">
        <f t="shared" si="9"/>
        <v>N/A</v>
      </c>
      <c r="BA744" s="2"/>
      <c r="BB744" s="2"/>
      <c r="BC744" s="2"/>
      <c r="BD744" s="2"/>
      <c r="BE744" s="2"/>
      <c r="BF744" s="178">
        <f t="shared" si="10"/>
        <v>0</v>
      </c>
      <c r="BG744" s="181">
        <f t="shared" si="11"/>
        <v>0</v>
      </c>
      <c r="BH744" s="182" t="str">
        <f t="shared" si="12"/>
        <v/>
      </c>
      <c r="BI744" s="2"/>
      <c r="BJ744" s="2"/>
      <c r="BK744" s="2"/>
      <c r="BL744" s="2"/>
      <c r="BM744" s="2"/>
      <c r="BN744" s="2"/>
      <c r="BS744" s="178">
        <f t="shared" si="13"/>
        <v>0</v>
      </c>
      <c r="BT744" s="181">
        <f t="shared" si="14"/>
        <v>0</v>
      </c>
      <c r="BU744" s="182" t="str">
        <f t="shared" si="15"/>
        <v/>
      </c>
      <c r="BV744" s="2"/>
      <c r="BW744" s="2"/>
      <c r="BX744" s="2"/>
      <c r="BY744" s="2"/>
      <c r="BZ744" s="2"/>
      <c r="CA744" s="2"/>
      <c r="CB744" s="2"/>
      <c r="CC744" s="2"/>
      <c r="CE744" s="2"/>
      <c r="CF744" s="2"/>
      <c r="CG744" s="1299">
        <f t="shared" si="37"/>
        <v>0</v>
      </c>
      <c r="CH744" s="1301"/>
      <c r="CI744" s="1299">
        <f t="shared" si="38"/>
        <v>0</v>
      </c>
      <c r="CJ744" s="1301"/>
      <c r="CK744" s="1299">
        <f t="shared" si="16"/>
        <v>0</v>
      </c>
      <c r="CL744" s="1301"/>
      <c r="CM744" s="1299">
        <f t="shared" si="17"/>
        <v>0</v>
      </c>
      <c r="CN744" s="1301"/>
      <c r="CO744" s="2"/>
      <c r="CP744" s="1296">
        <f t="shared" si="18"/>
        <v>0</v>
      </c>
      <c r="CQ744" s="1297"/>
      <c r="CR744" s="1297"/>
      <c r="CS744" s="1297"/>
      <c r="CT744" s="1298"/>
      <c r="CU744" s="1312">
        <f t="shared" si="19"/>
        <v>0</v>
      </c>
      <c r="CV744" s="1312"/>
      <c r="CW744" s="1312"/>
      <c r="CX744" s="1312"/>
      <c r="CY744" s="1312"/>
      <c r="CZ744" s="1312">
        <f t="shared" si="20"/>
        <v>0</v>
      </c>
      <c r="DA744" s="1312"/>
      <c r="DB744" s="1312"/>
      <c r="DC744" s="1312"/>
      <c r="DD744" s="1312"/>
      <c r="DE744" s="1312">
        <f t="shared" si="21"/>
        <v>0</v>
      </c>
      <c r="DF744" s="1312"/>
      <c r="DG744" s="1312"/>
      <c r="DH744" s="1312"/>
      <c r="DI744" s="1312"/>
      <c r="DJ744" s="1312">
        <f t="shared" si="22"/>
        <v>0</v>
      </c>
      <c r="DK744" s="1312"/>
      <c r="DL744" s="1312"/>
      <c r="DM744" s="1312"/>
      <c r="DN744" s="1312"/>
      <c r="DO744" s="1312">
        <f t="shared" si="23"/>
        <v>0</v>
      </c>
      <c r="DP744" s="1312"/>
      <c r="DQ744" s="1312"/>
      <c r="DR744" s="1312"/>
      <c r="DS744" s="1312"/>
      <c r="DT744" s="1179"/>
      <c r="DU744" s="1326">
        <f t="shared" si="24"/>
        <v>0</v>
      </c>
      <c r="DV744" s="1326"/>
      <c r="DW744" s="1326"/>
      <c r="DX744" s="1326"/>
      <c r="DY744" s="1326"/>
      <c r="DZ744" s="1326">
        <f t="shared" si="25"/>
        <v>0</v>
      </c>
      <c r="EA744" s="1326"/>
      <c r="EB744" s="1326"/>
      <c r="EC744" s="1326"/>
      <c r="ED744" s="1326"/>
      <c r="EE744" s="1326">
        <f t="shared" si="26"/>
        <v>0</v>
      </c>
      <c r="EF744" s="1326"/>
      <c r="EG744" s="1326"/>
      <c r="EH744" s="1326"/>
      <c r="EI744" s="1326"/>
      <c r="EJ744" s="1326">
        <f t="shared" si="27"/>
        <v>0</v>
      </c>
      <c r="EK744" s="1326"/>
      <c r="EL744" s="1326"/>
      <c r="EM744" s="1326"/>
      <c r="EN744" s="1326"/>
      <c r="EO744" s="1326">
        <f t="shared" si="28"/>
        <v>0</v>
      </c>
      <c r="EP744" s="1326"/>
      <c r="EQ744" s="1326"/>
      <c r="ER744" s="1326"/>
      <c r="ES744" s="1326"/>
      <c r="ET744" s="1326">
        <f t="shared" si="29"/>
        <v>0</v>
      </c>
      <c r="EU744" s="1326"/>
      <c r="EV744" s="1326"/>
      <c r="EW744" s="1326"/>
      <c r="EX744" s="1326"/>
      <c r="EZ744" s="1299" t="str">
        <f t="shared" si="30"/>
        <v/>
      </c>
      <c r="FA744" s="1300"/>
      <c r="FB744" s="1300"/>
      <c r="FC744" s="1300"/>
      <c r="FD744" s="1301"/>
      <c r="FE744" s="1299" t="str">
        <f t="shared" si="31"/>
        <v/>
      </c>
      <c r="FF744" s="1300"/>
      <c r="FG744" s="1300"/>
      <c r="FH744" s="1300"/>
      <c r="FI744" s="1301"/>
      <c r="FJ744" s="1299" t="str">
        <f t="shared" si="32"/>
        <v/>
      </c>
      <c r="FK744" s="1300"/>
      <c r="FL744" s="1300"/>
      <c r="FM744" s="1300"/>
      <c r="FN744" s="1301"/>
      <c r="FO744" s="1299" t="str">
        <f t="shared" si="33"/>
        <v/>
      </c>
      <c r="FP744" s="1300"/>
      <c r="FQ744" s="1300"/>
      <c r="FR744" s="1300"/>
      <c r="FS744" s="1301"/>
      <c r="FT744" s="1299" t="str">
        <f t="shared" si="34"/>
        <v/>
      </c>
      <c r="FU744" s="1300"/>
      <c r="FV744" s="1300"/>
      <c r="FW744" s="1300"/>
      <c r="FX744" s="1301"/>
      <c r="FY744" s="1299" t="str">
        <f t="shared" si="35"/>
        <v/>
      </c>
      <c r="FZ744" s="1300"/>
      <c r="GA744" s="1300"/>
      <c r="GB744" s="1300"/>
      <c r="GC744" s="1301"/>
    </row>
    <row r="745" spans="1:185" ht="13.2" customHeight="1">
      <c r="B745" s="1313"/>
      <c r="C745" s="1314"/>
      <c r="D745" s="1314"/>
      <c r="E745" s="1314"/>
      <c r="F745" s="1315"/>
      <c r="G745" s="1322"/>
      <c r="H745" s="1323"/>
      <c r="I745" s="1323"/>
      <c r="J745" s="1324"/>
      <c r="K745" s="1539"/>
      <c r="L745" s="1540"/>
      <c r="M745" s="1540"/>
      <c r="N745" s="1541"/>
      <c r="O745" s="1424"/>
      <c r="P745" s="1425"/>
      <c r="Q745" s="1425"/>
      <c r="R745" s="1425"/>
      <c r="S745" s="1426"/>
      <c r="T745" s="1424"/>
      <c r="U745" s="1425"/>
      <c r="V745" s="1425"/>
      <c r="W745" s="1426"/>
      <c r="X745" s="1316">
        <f t="shared" si="39"/>
        <v>0</v>
      </c>
      <c r="Y745" s="1317"/>
      <c r="Z745" s="1317"/>
      <c r="AA745" s="1317"/>
      <c r="AB745" s="1318"/>
      <c r="AC745" s="1548"/>
      <c r="AD745" s="1549"/>
      <c r="AE745" s="1549"/>
      <c r="AF745" s="1549"/>
      <c r="AG745" s="1550"/>
      <c r="AH745" s="1319" t="str">
        <f t="shared" si="36"/>
        <v/>
      </c>
      <c r="AI745" s="1320"/>
      <c r="AJ745" s="1321"/>
      <c r="AK745" s="1313" t="s">
        <v>810</v>
      </c>
      <c r="AL745" s="1314"/>
      <c r="AM745" s="1314"/>
      <c r="AN745" s="1314"/>
      <c r="AO745" s="1315"/>
      <c r="AP745" s="2"/>
      <c r="AQ745" s="2"/>
      <c r="AR745" s="2"/>
      <c r="AS745" s="2"/>
      <c r="AY745" s="763"/>
      <c r="AZ745" s="68" t="str">
        <f t="shared" si="9"/>
        <v>N/A</v>
      </c>
      <c r="BA745" s="2"/>
      <c r="BB745" s="2"/>
      <c r="BC745" s="2"/>
      <c r="BD745" s="2"/>
      <c r="BE745" s="2"/>
      <c r="BF745" s="178">
        <f t="shared" si="10"/>
        <v>0</v>
      </c>
      <c r="BG745" s="181">
        <f t="shared" si="11"/>
        <v>0</v>
      </c>
      <c r="BH745" s="182" t="str">
        <f t="shared" si="12"/>
        <v/>
      </c>
      <c r="BI745" s="2"/>
      <c r="BJ745" s="2"/>
      <c r="BK745" s="2"/>
      <c r="BL745" s="2"/>
      <c r="BM745" s="2"/>
      <c r="BN745" s="2"/>
      <c r="BS745" s="178">
        <f t="shared" si="13"/>
        <v>0</v>
      </c>
      <c r="BT745" s="181">
        <f t="shared" si="14"/>
        <v>0</v>
      </c>
      <c r="BU745" s="182" t="str">
        <f t="shared" si="15"/>
        <v/>
      </c>
      <c r="BV745" s="2"/>
      <c r="BW745" s="2"/>
      <c r="BX745" s="2"/>
      <c r="BY745" s="2"/>
      <c r="BZ745" s="2"/>
      <c r="CA745" s="2"/>
      <c r="CB745" s="2"/>
      <c r="CC745" s="2"/>
      <c r="CE745" s="2"/>
      <c r="CF745" s="2"/>
      <c r="CG745" s="1299">
        <f t="shared" si="37"/>
        <v>0</v>
      </c>
      <c r="CH745" s="1301"/>
      <c r="CI745" s="1299">
        <f t="shared" si="38"/>
        <v>0</v>
      </c>
      <c r="CJ745" s="1301"/>
      <c r="CK745" s="1299">
        <f t="shared" si="16"/>
        <v>0</v>
      </c>
      <c r="CL745" s="1301"/>
      <c r="CM745" s="1299">
        <f t="shared" si="17"/>
        <v>0</v>
      </c>
      <c r="CN745" s="1301"/>
      <c r="CO745" s="2"/>
      <c r="CP745" s="1296">
        <f t="shared" si="18"/>
        <v>0</v>
      </c>
      <c r="CQ745" s="1297"/>
      <c r="CR745" s="1297"/>
      <c r="CS745" s="1297"/>
      <c r="CT745" s="1298"/>
      <c r="CU745" s="1312">
        <f t="shared" si="19"/>
        <v>0</v>
      </c>
      <c r="CV745" s="1312"/>
      <c r="CW745" s="1312"/>
      <c r="CX745" s="1312"/>
      <c r="CY745" s="1312"/>
      <c r="CZ745" s="1312">
        <f t="shared" si="20"/>
        <v>0</v>
      </c>
      <c r="DA745" s="1312"/>
      <c r="DB745" s="1312"/>
      <c r="DC745" s="1312"/>
      <c r="DD745" s="1312"/>
      <c r="DE745" s="1312">
        <f t="shared" si="21"/>
        <v>0</v>
      </c>
      <c r="DF745" s="1312"/>
      <c r="DG745" s="1312"/>
      <c r="DH745" s="1312"/>
      <c r="DI745" s="1312"/>
      <c r="DJ745" s="1312">
        <f t="shared" si="22"/>
        <v>0</v>
      </c>
      <c r="DK745" s="1312"/>
      <c r="DL745" s="1312"/>
      <c r="DM745" s="1312"/>
      <c r="DN745" s="1312"/>
      <c r="DO745" s="1312">
        <f t="shared" si="23"/>
        <v>0</v>
      </c>
      <c r="DP745" s="1312"/>
      <c r="DQ745" s="1312"/>
      <c r="DR745" s="1312"/>
      <c r="DS745" s="1312"/>
      <c r="DT745" s="1179"/>
      <c r="DU745" s="1326">
        <f t="shared" si="24"/>
        <v>0</v>
      </c>
      <c r="DV745" s="1326"/>
      <c r="DW745" s="1326"/>
      <c r="DX745" s="1326"/>
      <c r="DY745" s="1326"/>
      <c r="DZ745" s="1326">
        <f t="shared" si="25"/>
        <v>0</v>
      </c>
      <c r="EA745" s="1326"/>
      <c r="EB745" s="1326"/>
      <c r="EC745" s="1326"/>
      <c r="ED745" s="1326"/>
      <c r="EE745" s="1326">
        <f t="shared" si="26"/>
        <v>0</v>
      </c>
      <c r="EF745" s="1326"/>
      <c r="EG745" s="1326"/>
      <c r="EH745" s="1326"/>
      <c r="EI745" s="1326"/>
      <c r="EJ745" s="1326">
        <f t="shared" si="27"/>
        <v>0</v>
      </c>
      <c r="EK745" s="1326"/>
      <c r="EL745" s="1326"/>
      <c r="EM745" s="1326"/>
      <c r="EN745" s="1326"/>
      <c r="EO745" s="1326">
        <f t="shared" si="28"/>
        <v>0</v>
      </c>
      <c r="EP745" s="1326"/>
      <c r="EQ745" s="1326"/>
      <c r="ER745" s="1326"/>
      <c r="ES745" s="1326"/>
      <c r="ET745" s="1326">
        <f t="shared" si="29"/>
        <v>0</v>
      </c>
      <c r="EU745" s="1326"/>
      <c r="EV745" s="1326"/>
      <c r="EW745" s="1326"/>
      <c r="EX745" s="1326"/>
      <c r="EZ745" s="1299" t="str">
        <f t="shared" si="30"/>
        <v/>
      </c>
      <c r="FA745" s="1300"/>
      <c r="FB745" s="1300"/>
      <c r="FC745" s="1300"/>
      <c r="FD745" s="1301"/>
      <c r="FE745" s="1299" t="str">
        <f t="shared" si="31"/>
        <v/>
      </c>
      <c r="FF745" s="1300"/>
      <c r="FG745" s="1300"/>
      <c r="FH745" s="1300"/>
      <c r="FI745" s="1301"/>
      <c r="FJ745" s="1299" t="str">
        <f t="shared" si="32"/>
        <v/>
      </c>
      <c r="FK745" s="1300"/>
      <c r="FL745" s="1300"/>
      <c r="FM745" s="1300"/>
      <c r="FN745" s="1301"/>
      <c r="FO745" s="1299" t="str">
        <f t="shared" si="33"/>
        <v/>
      </c>
      <c r="FP745" s="1300"/>
      <c r="FQ745" s="1300"/>
      <c r="FR745" s="1300"/>
      <c r="FS745" s="1301"/>
      <c r="FT745" s="1299" t="str">
        <f t="shared" si="34"/>
        <v/>
      </c>
      <c r="FU745" s="1300"/>
      <c r="FV745" s="1300"/>
      <c r="FW745" s="1300"/>
      <c r="FX745" s="1301"/>
      <c r="FY745" s="1299" t="str">
        <f t="shared" si="35"/>
        <v/>
      </c>
      <c r="FZ745" s="1300"/>
      <c r="GA745" s="1300"/>
      <c r="GB745" s="1300"/>
      <c r="GC745" s="1301"/>
    </row>
    <row r="746" spans="1:185" ht="13.2" customHeight="1">
      <c r="B746" s="1313"/>
      <c r="C746" s="1314"/>
      <c r="D746" s="1314"/>
      <c r="E746" s="1314"/>
      <c r="F746" s="1315"/>
      <c r="G746" s="1322"/>
      <c r="H746" s="1323"/>
      <c r="I746" s="1323"/>
      <c r="J746" s="1324"/>
      <c r="K746" s="1539"/>
      <c r="L746" s="1540"/>
      <c r="M746" s="1540"/>
      <c r="N746" s="1541"/>
      <c r="O746" s="1424"/>
      <c r="P746" s="1425"/>
      <c r="Q746" s="1425"/>
      <c r="R746" s="1425"/>
      <c r="S746" s="1426"/>
      <c r="T746" s="1424"/>
      <c r="U746" s="1425"/>
      <c r="V746" s="1425"/>
      <c r="W746" s="1426"/>
      <c r="X746" s="1316">
        <f t="shared" si="39"/>
        <v>0</v>
      </c>
      <c r="Y746" s="1317"/>
      <c r="Z746" s="1317"/>
      <c r="AA746" s="1317"/>
      <c r="AB746" s="1318"/>
      <c r="AC746" s="1548"/>
      <c r="AD746" s="1549"/>
      <c r="AE746" s="1549"/>
      <c r="AF746" s="1549"/>
      <c r="AG746" s="1550"/>
      <c r="AH746" s="1319" t="str">
        <f t="shared" si="36"/>
        <v/>
      </c>
      <c r="AI746" s="1320"/>
      <c r="AJ746" s="1321"/>
      <c r="AK746" s="1313" t="s">
        <v>810</v>
      </c>
      <c r="AL746" s="1314"/>
      <c r="AM746" s="1314"/>
      <c r="AN746" s="1314"/>
      <c r="AO746" s="1315"/>
      <c r="AP746" s="2"/>
      <c r="AQ746" s="2"/>
      <c r="AR746" s="2"/>
      <c r="AS746" s="2"/>
      <c r="AY746" s="763"/>
      <c r="AZ746" s="68" t="str">
        <f t="shared" si="9"/>
        <v>N/A</v>
      </c>
      <c r="BA746" s="2"/>
      <c r="BB746" s="2"/>
      <c r="BC746" s="2"/>
      <c r="BD746" s="2"/>
      <c r="BE746" s="2"/>
      <c r="BF746" s="178">
        <f t="shared" si="10"/>
        <v>0</v>
      </c>
      <c r="BG746" s="181">
        <f t="shared" si="11"/>
        <v>0</v>
      </c>
      <c r="BH746" s="182" t="str">
        <f t="shared" si="12"/>
        <v/>
      </c>
      <c r="BI746" s="2"/>
      <c r="BJ746" s="2"/>
      <c r="BK746" s="2"/>
      <c r="BL746" s="2"/>
      <c r="BM746" s="2"/>
      <c r="BN746" s="2"/>
      <c r="BS746" s="178">
        <f t="shared" si="13"/>
        <v>0</v>
      </c>
      <c r="BT746" s="181">
        <f t="shared" si="14"/>
        <v>0</v>
      </c>
      <c r="BU746" s="182" t="str">
        <f t="shared" si="15"/>
        <v/>
      </c>
      <c r="BV746" s="2"/>
      <c r="BW746" s="2"/>
      <c r="BX746" s="2"/>
      <c r="BY746" s="2"/>
      <c r="BZ746" s="2"/>
      <c r="CA746" s="2"/>
      <c r="CB746" s="2"/>
      <c r="CC746" s="2"/>
      <c r="CE746" s="2"/>
      <c r="CF746" s="2"/>
      <c r="CG746" s="1299">
        <f t="shared" si="37"/>
        <v>0</v>
      </c>
      <c r="CH746" s="1301"/>
      <c r="CI746" s="1299">
        <f t="shared" si="38"/>
        <v>0</v>
      </c>
      <c r="CJ746" s="1301"/>
      <c r="CK746" s="1299">
        <f t="shared" si="16"/>
        <v>0</v>
      </c>
      <c r="CL746" s="1301"/>
      <c r="CM746" s="1299">
        <f t="shared" si="17"/>
        <v>0</v>
      </c>
      <c r="CN746" s="1301"/>
      <c r="CO746" s="2"/>
      <c r="CP746" s="1296">
        <f t="shared" si="18"/>
        <v>0</v>
      </c>
      <c r="CQ746" s="1297"/>
      <c r="CR746" s="1297"/>
      <c r="CS746" s="1297"/>
      <c r="CT746" s="1298"/>
      <c r="CU746" s="1312">
        <f t="shared" si="19"/>
        <v>0</v>
      </c>
      <c r="CV746" s="1312"/>
      <c r="CW746" s="1312"/>
      <c r="CX746" s="1312"/>
      <c r="CY746" s="1312"/>
      <c r="CZ746" s="1312">
        <f t="shared" si="20"/>
        <v>0</v>
      </c>
      <c r="DA746" s="1312"/>
      <c r="DB746" s="1312"/>
      <c r="DC746" s="1312"/>
      <c r="DD746" s="1312"/>
      <c r="DE746" s="1312">
        <f t="shared" si="21"/>
        <v>0</v>
      </c>
      <c r="DF746" s="1312"/>
      <c r="DG746" s="1312"/>
      <c r="DH746" s="1312"/>
      <c r="DI746" s="1312"/>
      <c r="DJ746" s="1312">
        <f t="shared" si="22"/>
        <v>0</v>
      </c>
      <c r="DK746" s="1312"/>
      <c r="DL746" s="1312"/>
      <c r="DM746" s="1312"/>
      <c r="DN746" s="1312"/>
      <c r="DO746" s="1312">
        <f t="shared" si="23"/>
        <v>0</v>
      </c>
      <c r="DP746" s="1312"/>
      <c r="DQ746" s="1312"/>
      <c r="DR746" s="1312"/>
      <c r="DS746" s="1312"/>
      <c r="DT746" s="1179"/>
      <c r="DU746" s="1326">
        <f t="shared" si="24"/>
        <v>0</v>
      </c>
      <c r="DV746" s="1326"/>
      <c r="DW746" s="1326"/>
      <c r="DX746" s="1326"/>
      <c r="DY746" s="1326"/>
      <c r="DZ746" s="1326">
        <f t="shared" si="25"/>
        <v>0</v>
      </c>
      <c r="EA746" s="1326"/>
      <c r="EB746" s="1326"/>
      <c r="EC746" s="1326"/>
      <c r="ED746" s="1326"/>
      <c r="EE746" s="1326">
        <f t="shared" si="26"/>
        <v>0</v>
      </c>
      <c r="EF746" s="1326"/>
      <c r="EG746" s="1326"/>
      <c r="EH746" s="1326"/>
      <c r="EI746" s="1326"/>
      <c r="EJ746" s="1326">
        <f t="shared" si="27"/>
        <v>0</v>
      </c>
      <c r="EK746" s="1326"/>
      <c r="EL746" s="1326"/>
      <c r="EM746" s="1326"/>
      <c r="EN746" s="1326"/>
      <c r="EO746" s="1326">
        <f t="shared" si="28"/>
        <v>0</v>
      </c>
      <c r="EP746" s="1326"/>
      <c r="EQ746" s="1326"/>
      <c r="ER746" s="1326"/>
      <c r="ES746" s="1326"/>
      <c r="ET746" s="1326">
        <f t="shared" si="29"/>
        <v>0</v>
      </c>
      <c r="EU746" s="1326"/>
      <c r="EV746" s="1326"/>
      <c r="EW746" s="1326"/>
      <c r="EX746" s="1326"/>
      <c r="EZ746" s="1299" t="str">
        <f t="shared" si="30"/>
        <v/>
      </c>
      <c r="FA746" s="1300"/>
      <c r="FB746" s="1300"/>
      <c r="FC746" s="1300"/>
      <c r="FD746" s="1301"/>
      <c r="FE746" s="1299" t="str">
        <f t="shared" si="31"/>
        <v/>
      </c>
      <c r="FF746" s="1300"/>
      <c r="FG746" s="1300"/>
      <c r="FH746" s="1300"/>
      <c r="FI746" s="1301"/>
      <c r="FJ746" s="1299" t="str">
        <f t="shared" si="32"/>
        <v/>
      </c>
      <c r="FK746" s="1300"/>
      <c r="FL746" s="1300"/>
      <c r="FM746" s="1300"/>
      <c r="FN746" s="1301"/>
      <c r="FO746" s="1299" t="str">
        <f t="shared" si="33"/>
        <v/>
      </c>
      <c r="FP746" s="1300"/>
      <c r="FQ746" s="1300"/>
      <c r="FR746" s="1300"/>
      <c r="FS746" s="1301"/>
      <c r="FT746" s="1299" t="str">
        <f t="shared" si="34"/>
        <v/>
      </c>
      <c r="FU746" s="1300"/>
      <c r="FV746" s="1300"/>
      <c r="FW746" s="1300"/>
      <c r="FX746" s="1301"/>
      <c r="FY746" s="1299" t="str">
        <f t="shared" si="35"/>
        <v/>
      </c>
      <c r="FZ746" s="1300"/>
      <c r="GA746" s="1300"/>
      <c r="GB746" s="1300"/>
      <c r="GC746" s="1301"/>
    </row>
    <row r="747" spans="1:185" ht="13.2" customHeight="1">
      <c r="B747" s="1313"/>
      <c r="C747" s="1314"/>
      <c r="D747" s="1314"/>
      <c r="E747" s="1314"/>
      <c r="F747" s="1315"/>
      <c r="G747" s="1322"/>
      <c r="H747" s="1323"/>
      <c r="I747" s="1323"/>
      <c r="J747" s="1324"/>
      <c r="K747" s="1539"/>
      <c r="L747" s="1540"/>
      <c r="M747" s="1540"/>
      <c r="N747" s="1541"/>
      <c r="O747" s="1424"/>
      <c r="P747" s="1425"/>
      <c r="Q747" s="1425"/>
      <c r="R747" s="1425"/>
      <c r="S747" s="1426"/>
      <c r="T747" s="1424"/>
      <c r="U747" s="1425"/>
      <c r="V747" s="1425"/>
      <c r="W747" s="1426"/>
      <c r="X747" s="1316">
        <f t="shared" si="39"/>
        <v>0</v>
      </c>
      <c r="Y747" s="1317"/>
      <c r="Z747" s="1317"/>
      <c r="AA747" s="1317"/>
      <c r="AB747" s="1318"/>
      <c r="AC747" s="1548"/>
      <c r="AD747" s="1549"/>
      <c r="AE747" s="1549"/>
      <c r="AF747" s="1549"/>
      <c r="AG747" s="1550"/>
      <c r="AH747" s="1319" t="str">
        <f t="shared" si="36"/>
        <v/>
      </c>
      <c r="AI747" s="1320"/>
      <c r="AJ747" s="1321"/>
      <c r="AK747" s="1313" t="s">
        <v>810</v>
      </c>
      <c r="AL747" s="1314"/>
      <c r="AM747" s="1314"/>
      <c r="AN747" s="1314"/>
      <c r="AO747" s="1315"/>
      <c r="AP747" s="2"/>
      <c r="AQ747" s="2"/>
      <c r="AR747" s="2"/>
      <c r="AS747" s="2"/>
      <c r="AY747" s="763"/>
      <c r="AZ747" s="68" t="str">
        <f t="shared" si="9"/>
        <v>N/A</v>
      </c>
      <c r="BA747" s="2"/>
      <c r="BB747" s="2"/>
      <c r="BC747" s="2"/>
      <c r="BD747" s="2"/>
      <c r="BE747" s="2"/>
      <c r="BF747" s="178">
        <f t="shared" si="10"/>
        <v>0</v>
      </c>
      <c r="BG747" s="181">
        <f t="shared" si="11"/>
        <v>0</v>
      </c>
      <c r="BH747" s="182" t="str">
        <f t="shared" si="12"/>
        <v/>
      </c>
      <c r="BI747" s="2"/>
      <c r="BJ747" s="2"/>
      <c r="BK747" s="2"/>
      <c r="BL747" s="2"/>
      <c r="BM747" s="2"/>
      <c r="BN747" s="2"/>
      <c r="BS747" s="178">
        <f t="shared" si="13"/>
        <v>0</v>
      </c>
      <c r="BT747" s="181">
        <f t="shared" si="14"/>
        <v>0</v>
      </c>
      <c r="BU747" s="182" t="str">
        <f t="shared" si="15"/>
        <v/>
      </c>
      <c r="BV747" s="2"/>
      <c r="BW747" s="2"/>
      <c r="BX747" s="2"/>
      <c r="BY747" s="2"/>
      <c r="BZ747" s="2"/>
      <c r="CA747" s="2"/>
      <c r="CB747" s="2"/>
      <c r="CC747" s="2"/>
      <c r="CE747" s="2"/>
      <c r="CF747" s="2"/>
      <c r="CG747" s="1299">
        <f t="shared" si="37"/>
        <v>0</v>
      </c>
      <c r="CH747" s="1301"/>
      <c r="CI747" s="1299">
        <f t="shared" si="38"/>
        <v>0</v>
      </c>
      <c r="CJ747" s="1301"/>
      <c r="CK747" s="1299">
        <f t="shared" si="16"/>
        <v>0</v>
      </c>
      <c r="CL747" s="1301"/>
      <c r="CM747" s="1299">
        <f t="shared" si="17"/>
        <v>0</v>
      </c>
      <c r="CN747" s="1301"/>
      <c r="CO747" s="2"/>
      <c r="CP747" s="1296">
        <f t="shared" si="18"/>
        <v>0</v>
      </c>
      <c r="CQ747" s="1297"/>
      <c r="CR747" s="1297"/>
      <c r="CS747" s="1297"/>
      <c r="CT747" s="1298"/>
      <c r="CU747" s="1312">
        <f t="shared" si="19"/>
        <v>0</v>
      </c>
      <c r="CV747" s="1312"/>
      <c r="CW747" s="1312"/>
      <c r="CX747" s="1312"/>
      <c r="CY747" s="1312"/>
      <c r="CZ747" s="1312">
        <f t="shared" si="20"/>
        <v>0</v>
      </c>
      <c r="DA747" s="1312"/>
      <c r="DB747" s="1312"/>
      <c r="DC747" s="1312"/>
      <c r="DD747" s="1312"/>
      <c r="DE747" s="1312">
        <f t="shared" si="21"/>
        <v>0</v>
      </c>
      <c r="DF747" s="1312"/>
      <c r="DG747" s="1312"/>
      <c r="DH747" s="1312"/>
      <c r="DI747" s="1312"/>
      <c r="DJ747" s="1312">
        <f t="shared" si="22"/>
        <v>0</v>
      </c>
      <c r="DK747" s="1312"/>
      <c r="DL747" s="1312"/>
      <c r="DM747" s="1312"/>
      <c r="DN747" s="1312"/>
      <c r="DO747" s="1312">
        <f t="shared" si="23"/>
        <v>0</v>
      </c>
      <c r="DP747" s="1312"/>
      <c r="DQ747" s="1312"/>
      <c r="DR747" s="1312"/>
      <c r="DS747" s="1312"/>
      <c r="DT747" s="1179"/>
      <c r="DU747" s="1326">
        <f t="shared" si="24"/>
        <v>0</v>
      </c>
      <c r="DV747" s="1326"/>
      <c r="DW747" s="1326"/>
      <c r="DX747" s="1326"/>
      <c r="DY747" s="1326"/>
      <c r="DZ747" s="1326">
        <f t="shared" si="25"/>
        <v>0</v>
      </c>
      <c r="EA747" s="1326"/>
      <c r="EB747" s="1326"/>
      <c r="EC747" s="1326"/>
      <c r="ED747" s="1326"/>
      <c r="EE747" s="1326">
        <f t="shared" si="26"/>
        <v>0</v>
      </c>
      <c r="EF747" s="1326"/>
      <c r="EG747" s="1326"/>
      <c r="EH747" s="1326"/>
      <c r="EI747" s="1326"/>
      <c r="EJ747" s="1326">
        <f t="shared" si="27"/>
        <v>0</v>
      </c>
      <c r="EK747" s="1326"/>
      <c r="EL747" s="1326"/>
      <c r="EM747" s="1326"/>
      <c r="EN747" s="1326"/>
      <c r="EO747" s="1326">
        <f t="shared" si="28"/>
        <v>0</v>
      </c>
      <c r="EP747" s="1326"/>
      <c r="EQ747" s="1326"/>
      <c r="ER747" s="1326"/>
      <c r="ES747" s="1326"/>
      <c r="ET747" s="1326">
        <f t="shared" si="29"/>
        <v>0</v>
      </c>
      <c r="EU747" s="1326"/>
      <c r="EV747" s="1326"/>
      <c r="EW747" s="1326"/>
      <c r="EX747" s="1326"/>
      <c r="EZ747" s="1299" t="str">
        <f t="shared" si="30"/>
        <v/>
      </c>
      <c r="FA747" s="1300"/>
      <c r="FB747" s="1300"/>
      <c r="FC747" s="1300"/>
      <c r="FD747" s="1301"/>
      <c r="FE747" s="1299" t="str">
        <f t="shared" si="31"/>
        <v/>
      </c>
      <c r="FF747" s="1300"/>
      <c r="FG747" s="1300"/>
      <c r="FH747" s="1300"/>
      <c r="FI747" s="1301"/>
      <c r="FJ747" s="1299" t="str">
        <f t="shared" si="32"/>
        <v/>
      </c>
      <c r="FK747" s="1300"/>
      <c r="FL747" s="1300"/>
      <c r="FM747" s="1300"/>
      <c r="FN747" s="1301"/>
      <c r="FO747" s="1299" t="str">
        <f t="shared" si="33"/>
        <v/>
      </c>
      <c r="FP747" s="1300"/>
      <c r="FQ747" s="1300"/>
      <c r="FR747" s="1300"/>
      <c r="FS747" s="1301"/>
      <c r="FT747" s="1299" t="str">
        <f t="shared" si="34"/>
        <v/>
      </c>
      <c r="FU747" s="1300"/>
      <c r="FV747" s="1300"/>
      <c r="FW747" s="1300"/>
      <c r="FX747" s="1301"/>
      <c r="FY747" s="1299" t="str">
        <f t="shared" si="35"/>
        <v/>
      </c>
      <c r="FZ747" s="1300"/>
      <c r="GA747" s="1300"/>
      <c r="GB747" s="1300"/>
      <c r="GC747" s="1301"/>
    </row>
    <row r="748" spans="1:185" s="2" customFormat="1" ht="13.2" customHeight="1">
      <c r="A748"/>
      <c r="B748" s="1313"/>
      <c r="C748" s="1314"/>
      <c r="D748" s="1314"/>
      <c r="E748" s="1314"/>
      <c r="F748" s="1315"/>
      <c r="G748" s="1322"/>
      <c r="H748" s="1323"/>
      <c r="I748" s="1323"/>
      <c r="J748" s="1324"/>
      <c r="K748" s="1539"/>
      <c r="L748" s="1540"/>
      <c r="M748" s="1540"/>
      <c r="N748" s="1541"/>
      <c r="O748" s="1424"/>
      <c r="P748" s="1425"/>
      <c r="Q748" s="1425"/>
      <c r="R748" s="1425"/>
      <c r="S748" s="1426"/>
      <c r="T748" s="1424"/>
      <c r="U748" s="1425"/>
      <c r="V748" s="1425"/>
      <c r="W748" s="1426"/>
      <c r="X748" s="1316">
        <f t="shared" si="39"/>
        <v>0</v>
      </c>
      <c r="Y748" s="1317"/>
      <c r="Z748" s="1317"/>
      <c r="AA748" s="1317"/>
      <c r="AB748" s="1318"/>
      <c r="AC748" s="1548"/>
      <c r="AD748" s="1549"/>
      <c r="AE748" s="1549"/>
      <c r="AF748" s="1549"/>
      <c r="AG748" s="1550"/>
      <c r="AH748" s="1319" t="str">
        <f t="shared" si="36"/>
        <v/>
      </c>
      <c r="AI748" s="1320"/>
      <c r="AJ748" s="1321"/>
      <c r="AK748" s="1313" t="s">
        <v>810</v>
      </c>
      <c r="AL748" s="1314"/>
      <c r="AM748" s="1314"/>
      <c r="AN748" s="1314"/>
      <c r="AO748" s="1315"/>
      <c r="AT748"/>
      <c r="AU748"/>
      <c r="AV748"/>
      <c r="AW748"/>
      <c r="AX748"/>
      <c r="AY748" s="763"/>
      <c r="AZ748" s="68" t="str">
        <f t="shared" si="9"/>
        <v>N/A</v>
      </c>
      <c r="BF748" s="178">
        <f t="shared" si="10"/>
        <v>0</v>
      </c>
      <c r="BG748" s="181">
        <f t="shared" si="11"/>
        <v>0</v>
      </c>
      <c r="BH748" s="182" t="str">
        <f t="shared" si="12"/>
        <v/>
      </c>
      <c r="BO748"/>
      <c r="BP748"/>
      <c r="BQ748"/>
      <c r="BR748"/>
      <c r="BS748" s="178">
        <f t="shared" si="13"/>
        <v>0</v>
      </c>
      <c r="BT748" s="181">
        <f t="shared" si="14"/>
        <v>0</v>
      </c>
      <c r="BU748" s="182" t="str">
        <f t="shared" si="15"/>
        <v/>
      </c>
      <c r="CD748"/>
      <c r="CG748" s="1299">
        <f t="shared" si="37"/>
        <v>0</v>
      </c>
      <c r="CH748" s="1301"/>
      <c r="CI748" s="1299">
        <f t="shared" si="38"/>
        <v>0</v>
      </c>
      <c r="CJ748" s="1301"/>
      <c r="CK748" s="1299">
        <f t="shared" si="16"/>
        <v>0</v>
      </c>
      <c r="CL748" s="1301"/>
      <c r="CM748" s="1299">
        <f t="shared" si="17"/>
        <v>0</v>
      </c>
      <c r="CN748" s="1301"/>
      <c r="CP748" s="1296">
        <f t="shared" si="18"/>
        <v>0</v>
      </c>
      <c r="CQ748" s="1297"/>
      <c r="CR748" s="1297"/>
      <c r="CS748" s="1297"/>
      <c r="CT748" s="1298"/>
      <c r="CU748" s="1312">
        <f t="shared" si="19"/>
        <v>0</v>
      </c>
      <c r="CV748" s="1312"/>
      <c r="CW748" s="1312"/>
      <c r="CX748" s="1312"/>
      <c r="CY748" s="1312"/>
      <c r="CZ748" s="1312">
        <f t="shared" si="20"/>
        <v>0</v>
      </c>
      <c r="DA748" s="1312"/>
      <c r="DB748" s="1312"/>
      <c r="DC748" s="1312"/>
      <c r="DD748" s="1312"/>
      <c r="DE748" s="1312">
        <f t="shared" si="21"/>
        <v>0</v>
      </c>
      <c r="DF748" s="1312"/>
      <c r="DG748" s="1312"/>
      <c r="DH748" s="1312"/>
      <c r="DI748" s="1312"/>
      <c r="DJ748" s="1312">
        <f t="shared" si="22"/>
        <v>0</v>
      </c>
      <c r="DK748" s="1312"/>
      <c r="DL748" s="1312"/>
      <c r="DM748" s="1312"/>
      <c r="DN748" s="1312"/>
      <c r="DO748" s="1312">
        <f t="shared" si="23"/>
        <v>0</v>
      </c>
      <c r="DP748" s="1312"/>
      <c r="DQ748" s="1312"/>
      <c r="DR748" s="1312"/>
      <c r="DS748" s="1312"/>
      <c r="DT748" s="1179"/>
      <c r="DU748" s="1326">
        <f t="shared" si="24"/>
        <v>0</v>
      </c>
      <c r="DV748" s="1326"/>
      <c r="DW748" s="1326"/>
      <c r="DX748" s="1326"/>
      <c r="DY748" s="1326"/>
      <c r="DZ748" s="1326">
        <f t="shared" si="25"/>
        <v>0</v>
      </c>
      <c r="EA748" s="1326"/>
      <c r="EB748" s="1326"/>
      <c r="EC748" s="1326"/>
      <c r="ED748" s="1326"/>
      <c r="EE748" s="1326">
        <f t="shared" si="26"/>
        <v>0</v>
      </c>
      <c r="EF748" s="1326"/>
      <c r="EG748" s="1326"/>
      <c r="EH748" s="1326"/>
      <c r="EI748" s="1326"/>
      <c r="EJ748" s="1326">
        <f t="shared" si="27"/>
        <v>0</v>
      </c>
      <c r="EK748" s="1326"/>
      <c r="EL748" s="1326"/>
      <c r="EM748" s="1326"/>
      <c r="EN748" s="1326"/>
      <c r="EO748" s="1326">
        <f t="shared" si="28"/>
        <v>0</v>
      </c>
      <c r="EP748" s="1326"/>
      <c r="EQ748" s="1326"/>
      <c r="ER748" s="1326"/>
      <c r="ES748" s="1326"/>
      <c r="ET748" s="1326">
        <f t="shared" si="29"/>
        <v>0</v>
      </c>
      <c r="EU748" s="1326"/>
      <c r="EV748" s="1326"/>
      <c r="EW748" s="1326"/>
      <c r="EX748" s="1326"/>
      <c r="EY748"/>
      <c r="EZ748" s="1299" t="str">
        <f t="shared" si="30"/>
        <v/>
      </c>
      <c r="FA748" s="1300"/>
      <c r="FB748" s="1300"/>
      <c r="FC748" s="1300"/>
      <c r="FD748" s="1301"/>
      <c r="FE748" s="1299" t="str">
        <f t="shared" si="31"/>
        <v/>
      </c>
      <c r="FF748" s="1300"/>
      <c r="FG748" s="1300"/>
      <c r="FH748" s="1300"/>
      <c r="FI748" s="1301"/>
      <c r="FJ748" s="1299" t="str">
        <f t="shared" si="32"/>
        <v/>
      </c>
      <c r="FK748" s="1300"/>
      <c r="FL748" s="1300"/>
      <c r="FM748" s="1300"/>
      <c r="FN748" s="1301"/>
      <c r="FO748" s="1299" t="str">
        <f t="shared" si="33"/>
        <v/>
      </c>
      <c r="FP748" s="1300"/>
      <c r="FQ748" s="1300"/>
      <c r="FR748" s="1300"/>
      <c r="FS748" s="1301"/>
      <c r="FT748" s="1299" t="str">
        <f t="shared" si="34"/>
        <v/>
      </c>
      <c r="FU748" s="1300"/>
      <c r="FV748" s="1300"/>
      <c r="FW748" s="1300"/>
      <c r="FX748" s="1301"/>
      <c r="FY748" s="1299" t="str">
        <f t="shared" si="35"/>
        <v/>
      </c>
      <c r="FZ748" s="1300"/>
      <c r="GA748" s="1300"/>
      <c r="GB748" s="1300"/>
      <c r="GC748" s="1301"/>
    </row>
    <row r="749" spans="1:185" s="2" customFormat="1" ht="13.2" customHeight="1">
      <c r="A749"/>
      <c r="B749" s="1313"/>
      <c r="C749" s="1314"/>
      <c r="D749" s="1314"/>
      <c r="E749" s="1314"/>
      <c r="F749" s="1315"/>
      <c r="G749" s="1322"/>
      <c r="H749" s="1323"/>
      <c r="I749" s="1323"/>
      <c r="J749" s="1324"/>
      <c r="K749" s="1539"/>
      <c r="L749" s="1540"/>
      <c r="M749" s="1540"/>
      <c r="N749" s="1541"/>
      <c r="O749" s="1424"/>
      <c r="P749" s="1425"/>
      <c r="Q749" s="1425"/>
      <c r="R749" s="1425"/>
      <c r="S749" s="1426"/>
      <c r="T749" s="1424"/>
      <c r="U749" s="1425"/>
      <c r="V749" s="1425"/>
      <c r="W749" s="1426"/>
      <c r="X749" s="1316">
        <f t="shared" si="39"/>
        <v>0</v>
      </c>
      <c r="Y749" s="1317"/>
      <c r="Z749" s="1317"/>
      <c r="AA749" s="1317"/>
      <c r="AB749" s="1318"/>
      <c r="AC749" s="1548"/>
      <c r="AD749" s="1549"/>
      <c r="AE749" s="1549"/>
      <c r="AF749" s="1549"/>
      <c r="AG749" s="1550"/>
      <c r="AH749" s="1319" t="str">
        <f t="shared" si="36"/>
        <v/>
      </c>
      <c r="AI749" s="1320"/>
      <c r="AJ749" s="1321"/>
      <c r="AK749" s="1313" t="s">
        <v>810</v>
      </c>
      <c r="AL749" s="1314"/>
      <c r="AM749" s="1314"/>
      <c r="AN749" s="1314"/>
      <c r="AO749" s="1315"/>
      <c r="AT749"/>
      <c r="AU749"/>
      <c r="AV749"/>
      <c r="AW749"/>
      <c r="AX749"/>
      <c r="AY749" s="763"/>
      <c r="AZ749" s="68" t="str">
        <f t="shared" si="9"/>
        <v>N/A</v>
      </c>
      <c r="BF749" s="178">
        <f t="shared" si="10"/>
        <v>0</v>
      </c>
      <c r="BG749" s="181">
        <f t="shared" si="11"/>
        <v>0</v>
      </c>
      <c r="BH749" s="182" t="str">
        <f t="shared" si="12"/>
        <v/>
      </c>
      <c r="BO749"/>
      <c r="BP749"/>
      <c r="BQ749"/>
      <c r="BR749"/>
      <c r="BS749" s="178">
        <f t="shared" si="13"/>
        <v>0</v>
      </c>
      <c r="BT749" s="181">
        <f t="shared" si="14"/>
        <v>0</v>
      </c>
      <c r="BU749" s="182" t="str">
        <f t="shared" si="15"/>
        <v/>
      </c>
      <c r="CD749"/>
      <c r="CG749" s="1299">
        <f t="shared" si="37"/>
        <v>0</v>
      </c>
      <c r="CH749" s="1301"/>
      <c r="CI749" s="1299">
        <f t="shared" si="38"/>
        <v>0</v>
      </c>
      <c r="CJ749" s="1301"/>
      <c r="CK749" s="1299">
        <f t="shared" si="16"/>
        <v>0</v>
      </c>
      <c r="CL749" s="1301"/>
      <c r="CM749" s="1299">
        <f t="shared" si="17"/>
        <v>0</v>
      </c>
      <c r="CN749" s="1301"/>
      <c r="CP749" s="1296">
        <f t="shared" si="18"/>
        <v>0</v>
      </c>
      <c r="CQ749" s="1297"/>
      <c r="CR749" s="1297"/>
      <c r="CS749" s="1297"/>
      <c r="CT749" s="1298"/>
      <c r="CU749" s="1312">
        <f t="shared" si="19"/>
        <v>0</v>
      </c>
      <c r="CV749" s="1312"/>
      <c r="CW749" s="1312"/>
      <c r="CX749" s="1312"/>
      <c r="CY749" s="1312"/>
      <c r="CZ749" s="1312">
        <f t="shared" si="20"/>
        <v>0</v>
      </c>
      <c r="DA749" s="1312"/>
      <c r="DB749" s="1312"/>
      <c r="DC749" s="1312"/>
      <c r="DD749" s="1312"/>
      <c r="DE749" s="1312">
        <f t="shared" si="21"/>
        <v>0</v>
      </c>
      <c r="DF749" s="1312"/>
      <c r="DG749" s="1312"/>
      <c r="DH749" s="1312"/>
      <c r="DI749" s="1312"/>
      <c r="DJ749" s="1312">
        <f t="shared" si="22"/>
        <v>0</v>
      </c>
      <c r="DK749" s="1312"/>
      <c r="DL749" s="1312"/>
      <c r="DM749" s="1312"/>
      <c r="DN749" s="1312"/>
      <c r="DO749" s="1312">
        <f t="shared" si="23"/>
        <v>0</v>
      </c>
      <c r="DP749" s="1312"/>
      <c r="DQ749" s="1312"/>
      <c r="DR749" s="1312"/>
      <c r="DS749" s="1312"/>
      <c r="DT749" s="1179"/>
      <c r="DU749" s="1326">
        <f t="shared" si="24"/>
        <v>0</v>
      </c>
      <c r="DV749" s="1326"/>
      <c r="DW749" s="1326"/>
      <c r="DX749" s="1326"/>
      <c r="DY749" s="1326"/>
      <c r="DZ749" s="1326">
        <f t="shared" si="25"/>
        <v>0</v>
      </c>
      <c r="EA749" s="1326"/>
      <c r="EB749" s="1326"/>
      <c r="EC749" s="1326"/>
      <c r="ED749" s="1326"/>
      <c r="EE749" s="1326">
        <f t="shared" si="26"/>
        <v>0</v>
      </c>
      <c r="EF749" s="1326"/>
      <c r="EG749" s="1326"/>
      <c r="EH749" s="1326"/>
      <c r="EI749" s="1326"/>
      <c r="EJ749" s="1326">
        <f t="shared" si="27"/>
        <v>0</v>
      </c>
      <c r="EK749" s="1326"/>
      <c r="EL749" s="1326"/>
      <c r="EM749" s="1326"/>
      <c r="EN749" s="1326"/>
      <c r="EO749" s="1326">
        <f t="shared" si="28"/>
        <v>0</v>
      </c>
      <c r="EP749" s="1326"/>
      <c r="EQ749" s="1326"/>
      <c r="ER749" s="1326"/>
      <c r="ES749" s="1326"/>
      <c r="ET749" s="1326">
        <f t="shared" si="29"/>
        <v>0</v>
      </c>
      <c r="EU749" s="1326"/>
      <c r="EV749" s="1326"/>
      <c r="EW749" s="1326"/>
      <c r="EX749" s="1326"/>
      <c r="EY749"/>
      <c r="EZ749" s="1299" t="str">
        <f t="shared" si="30"/>
        <v/>
      </c>
      <c r="FA749" s="1300"/>
      <c r="FB749" s="1300"/>
      <c r="FC749" s="1300"/>
      <c r="FD749" s="1301"/>
      <c r="FE749" s="1299" t="str">
        <f t="shared" si="31"/>
        <v/>
      </c>
      <c r="FF749" s="1300"/>
      <c r="FG749" s="1300"/>
      <c r="FH749" s="1300"/>
      <c r="FI749" s="1301"/>
      <c r="FJ749" s="1299" t="str">
        <f t="shared" si="32"/>
        <v/>
      </c>
      <c r="FK749" s="1300"/>
      <c r="FL749" s="1300"/>
      <c r="FM749" s="1300"/>
      <c r="FN749" s="1301"/>
      <c r="FO749" s="1299" t="str">
        <f t="shared" si="33"/>
        <v/>
      </c>
      <c r="FP749" s="1300"/>
      <c r="FQ749" s="1300"/>
      <c r="FR749" s="1300"/>
      <c r="FS749" s="1301"/>
      <c r="FT749" s="1299" t="str">
        <f t="shared" si="34"/>
        <v/>
      </c>
      <c r="FU749" s="1300"/>
      <c r="FV749" s="1300"/>
      <c r="FW749" s="1300"/>
      <c r="FX749" s="1301"/>
      <c r="FY749" s="1299" t="str">
        <f t="shared" si="35"/>
        <v/>
      </c>
      <c r="FZ749" s="1300"/>
      <c r="GA749" s="1300"/>
      <c r="GB749" s="1300"/>
      <c r="GC749" s="1301"/>
    </row>
    <row r="750" spans="1:185" s="2" customFormat="1" ht="13.2" customHeight="1">
      <c r="A750"/>
      <c r="B750" s="1313"/>
      <c r="C750" s="1314"/>
      <c r="D750" s="1314"/>
      <c r="E750" s="1314"/>
      <c r="F750" s="1315"/>
      <c r="G750" s="1322"/>
      <c r="H750" s="1323"/>
      <c r="I750" s="1323"/>
      <c r="J750" s="1324"/>
      <c r="K750" s="1539"/>
      <c r="L750" s="1540"/>
      <c r="M750" s="1540"/>
      <c r="N750" s="1541"/>
      <c r="O750" s="1424"/>
      <c r="P750" s="1425"/>
      <c r="Q750" s="1425"/>
      <c r="R750" s="1425"/>
      <c r="S750" s="1426"/>
      <c r="T750" s="1424"/>
      <c r="U750" s="1425"/>
      <c r="V750" s="1425"/>
      <c r="W750" s="1426"/>
      <c r="X750" s="1316">
        <f t="shared" si="39"/>
        <v>0</v>
      </c>
      <c r="Y750" s="1317"/>
      <c r="Z750" s="1317"/>
      <c r="AA750" s="1317"/>
      <c r="AB750" s="1318"/>
      <c r="AC750" s="1548"/>
      <c r="AD750" s="1549"/>
      <c r="AE750" s="1549"/>
      <c r="AF750" s="1549"/>
      <c r="AG750" s="1550"/>
      <c r="AH750" s="1319" t="str">
        <f t="shared" si="36"/>
        <v/>
      </c>
      <c r="AI750" s="1320"/>
      <c r="AJ750" s="1321"/>
      <c r="AK750" s="1313" t="s">
        <v>810</v>
      </c>
      <c r="AL750" s="1314"/>
      <c r="AM750" s="1314"/>
      <c r="AN750" s="1314"/>
      <c r="AO750" s="1315"/>
      <c r="AT750"/>
      <c r="AU750"/>
      <c r="AV750"/>
      <c r="AW750"/>
      <c r="AX750"/>
      <c r="AY750"/>
      <c r="AZ750" s="68" t="str">
        <f t="shared" si="9"/>
        <v>N/A</v>
      </c>
      <c r="BF750" s="178">
        <f t="shared" si="10"/>
        <v>0</v>
      </c>
      <c r="BG750" s="181">
        <f t="shared" si="11"/>
        <v>0</v>
      </c>
      <c r="BH750" s="182" t="str">
        <f t="shared" si="12"/>
        <v/>
      </c>
      <c r="BO750"/>
      <c r="BP750"/>
      <c r="BQ750"/>
      <c r="BR750"/>
      <c r="BS750" s="178">
        <f t="shared" si="13"/>
        <v>0</v>
      </c>
      <c r="BT750" s="181">
        <f t="shared" si="14"/>
        <v>0</v>
      </c>
      <c r="BU750" s="182" t="str">
        <f t="shared" si="15"/>
        <v/>
      </c>
      <c r="CD750"/>
      <c r="CG750" s="1299">
        <f t="shared" si="37"/>
        <v>0</v>
      </c>
      <c r="CH750" s="1301"/>
      <c r="CI750" s="1299">
        <f t="shared" si="38"/>
        <v>0</v>
      </c>
      <c r="CJ750" s="1301"/>
      <c r="CK750" s="1299">
        <f t="shared" si="16"/>
        <v>0</v>
      </c>
      <c r="CL750" s="1301"/>
      <c r="CM750" s="1299">
        <f t="shared" si="17"/>
        <v>0</v>
      </c>
      <c r="CN750" s="1301"/>
      <c r="CP750" s="1296">
        <f t="shared" si="18"/>
        <v>0</v>
      </c>
      <c r="CQ750" s="1297"/>
      <c r="CR750" s="1297"/>
      <c r="CS750" s="1297"/>
      <c r="CT750" s="1298"/>
      <c r="CU750" s="1312">
        <f t="shared" si="19"/>
        <v>0</v>
      </c>
      <c r="CV750" s="1312"/>
      <c r="CW750" s="1312"/>
      <c r="CX750" s="1312"/>
      <c r="CY750" s="1312"/>
      <c r="CZ750" s="1312">
        <f t="shared" si="20"/>
        <v>0</v>
      </c>
      <c r="DA750" s="1312"/>
      <c r="DB750" s="1312"/>
      <c r="DC750" s="1312"/>
      <c r="DD750" s="1312"/>
      <c r="DE750" s="1312">
        <f t="shared" si="21"/>
        <v>0</v>
      </c>
      <c r="DF750" s="1312"/>
      <c r="DG750" s="1312"/>
      <c r="DH750" s="1312"/>
      <c r="DI750" s="1312"/>
      <c r="DJ750" s="1312">
        <f t="shared" si="22"/>
        <v>0</v>
      </c>
      <c r="DK750" s="1312"/>
      <c r="DL750" s="1312"/>
      <c r="DM750" s="1312"/>
      <c r="DN750" s="1312"/>
      <c r="DO750" s="1312">
        <f t="shared" si="23"/>
        <v>0</v>
      </c>
      <c r="DP750" s="1312"/>
      <c r="DQ750" s="1312"/>
      <c r="DR750" s="1312"/>
      <c r="DS750" s="1312"/>
      <c r="DT750" s="1179"/>
      <c r="DU750" s="1326">
        <f t="shared" si="24"/>
        <v>0</v>
      </c>
      <c r="DV750" s="1326"/>
      <c r="DW750" s="1326"/>
      <c r="DX750" s="1326"/>
      <c r="DY750" s="1326"/>
      <c r="DZ750" s="1326">
        <f t="shared" si="25"/>
        <v>0</v>
      </c>
      <c r="EA750" s="1326"/>
      <c r="EB750" s="1326"/>
      <c r="EC750" s="1326"/>
      <c r="ED750" s="1326"/>
      <c r="EE750" s="1326">
        <f t="shared" si="26"/>
        <v>0</v>
      </c>
      <c r="EF750" s="1326"/>
      <c r="EG750" s="1326"/>
      <c r="EH750" s="1326"/>
      <c r="EI750" s="1326"/>
      <c r="EJ750" s="1326">
        <f t="shared" si="27"/>
        <v>0</v>
      </c>
      <c r="EK750" s="1326"/>
      <c r="EL750" s="1326"/>
      <c r="EM750" s="1326"/>
      <c r="EN750" s="1326"/>
      <c r="EO750" s="1326">
        <f t="shared" si="28"/>
        <v>0</v>
      </c>
      <c r="EP750" s="1326"/>
      <c r="EQ750" s="1326"/>
      <c r="ER750" s="1326"/>
      <c r="ES750" s="1326"/>
      <c r="ET750" s="1326">
        <f t="shared" si="29"/>
        <v>0</v>
      </c>
      <c r="EU750" s="1326"/>
      <c r="EV750" s="1326"/>
      <c r="EW750" s="1326"/>
      <c r="EX750" s="1326"/>
      <c r="EY750"/>
      <c r="EZ750" s="1299" t="str">
        <f t="shared" si="30"/>
        <v/>
      </c>
      <c r="FA750" s="1300"/>
      <c r="FB750" s="1300"/>
      <c r="FC750" s="1300"/>
      <c r="FD750" s="1301"/>
      <c r="FE750" s="1299" t="str">
        <f t="shared" si="31"/>
        <v/>
      </c>
      <c r="FF750" s="1300"/>
      <c r="FG750" s="1300"/>
      <c r="FH750" s="1300"/>
      <c r="FI750" s="1301"/>
      <c r="FJ750" s="1299" t="str">
        <f t="shared" si="32"/>
        <v/>
      </c>
      <c r="FK750" s="1300"/>
      <c r="FL750" s="1300"/>
      <c r="FM750" s="1300"/>
      <c r="FN750" s="1301"/>
      <c r="FO750" s="1299" t="str">
        <f t="shared" si="33"/>
        <v/>
      </c>
      <c r="FP750" s="1300"/>
      <c r="FQ750" s="1300"/>
      <c r="FR750" s="1300"/>
      <c r="FS750" s="1301"/>
      <c r="FT750" s="1299" t="str">
        <f t="shared" si="34"/>
        <v/>
      </c>
      <c r="FU750" s="1300"/>
      <c r="FV750" s="1300"/>
      <c r="FW750" s="1300"/>
      <c r="FX750" s="1301"/>
      <c r="FY750" s="1299" t="str">
        <f t="shared" si="35"/>
        <v/>
      </c>
      <c r="FZ750" s="1300"/>
      <c r="GA750" s="1300"/>
      <c r="GB750" s="1300"/>
      <c r="GC750" s="1301"/>
    </row>
    <row r="751" spans="1:185" s="2" customFormat="1" ht="13.2" customHeight="1">
      <c r="A751"/>
      <c r="B751" s="1313"/>
      <c r="C751" s="1314"/>
      <c r="D751" s="1314"/>
      <c r="E751" s="1314"/>
      <c r="F751" s="1315"/>
      <c r="G751" s="1322"/>
      <c r="H751" s="1323"/>
      <c r="I751" s="1323"/>
      <c r="J751" s="1324"/>
      <c r="K751" s="1539"/>
      <c r="L751" s="1540"/>
      <c r="M751" s="1540"/>
      <c r="N751" s="1541"/>
      <c r="O751" s="1424"/>
      <c r="P751" s="1425"/>
      <c r="Q751" s="1425"/>
      <c r="R751" s="1425"/>
      <c r="S751" s="1426"/>
      <c r="T751" s="1424"/>
      <c r="U751" s="1425"/>
      <c r="V751" s="1425"/>
      <c r="W751" s="1426"/>
      <c r="X751" s="1316">
        <f t="shared" si="39"/>
        <v>0</v>
      </c>
      <c r="Y751" s="1317"/>
      <c r="Z751" s="1317"/>
      <c r="AA751" s="1317"/>
      <c r="AB751" s="1318"/>
      <c r="AC751" s="1548"/>
      <c r="AD751" s="1549"/>
      <c r="AE751" s="1549"/>
      <c r="AF751" s="1549"/>
      <c r="AG751" s="1550"/>
      <c r="AH751" s="1319" t="str">
        <f t="shared" si="36"/>
        <v/>
      </c>
      <c r="AI751" s="1320"/>
      <c r="AJ751" s="1321"/>
      <c r="AK751" s="1313" t="s">
        <v>810</v>
      </c>
      <c r="AL751" s="1314"/>
      <c r="AM751" s="1314"/>
      <c r="AN751" s="1314"/>
      <c r="AO751" s="1315"/>
      <c r="AT751"/>
      <c r="AU751"/>
      <c r="AV751"/>
      <c r="AW751"/>
      <c r="AX751"/>
      <c r="AY751"/>
      <c r="AZ751" s="68" t="str">
        <f t="shared" si="9"/>
        <v>N/A</v>
      </c>
      <c r="BF751" s="178">
        <f t="shared" si="10"/>
        <v>0</v>
      </c>
      <c r="BG751" s="181">
        <f t="shared" si="11"/>
        <v>0</v>
      </c>
      <c r="BH751" s="182" t="str">
        <f t="shared" si="12"/>
        <v/>
      </c>
      <c r="BO751"/>
      <c r="BP751"/>
      <c r="BQ751"/>
      <c r="BR751"/>
      <c r="BS751" s="178">
        <f t="shared" si="13"/>
        <v>0</v>
      </c>
      <c r="BT751" s="181">
        <f t="shared" si="14"/>
        <v>0</v>
      </c>
      <c r="BU751" s="182" t="str">
        <f t="shared" si="15"/>
        <v/>
      </c>
      <c r="CD751"/>
      <c r="CG751" s="1299">
        <f t="shared" si="37"/>
        <v>0</v>
      </c>
      <c r="CH751" s="1301"/>
      <c r="CI751" s="1299">
        <f t="shared" si="38"/>
        <v>0</v>
      </c>
      <c r="CJ751" s="1301"/>
      <c r="CK751" s="1299">
        <f t="shared" si="16"/>
        <v>0</v>
      </c>
      <c r="CL751" s="1301"/>
      <c r="CM751" s="1299">
        <f t="shared" si="17"/>
        <v>0</v>
      </c>
      <c r="CN751" s="1301"/>
      <c r="CP751" s="1296">
        <f t="shared" si="18"/>
        <v>0</v>
      </c>
      <c r="CQ751" s="1297"/>
      <c r="CR751" s="1297"/>
      <c r="CS751" s="1297"/>
      <c r="CT751" s="1298"/>
      <c r="CU751" s="1312">
        <f t="shared" si="19"/>
        <v>0</v>
      </c>
      <c r="CV751" s="1312"/>
      <c r="CW751" s="1312"/>
      <c r="CX751" s="1312"/>
      <c r="CY751" s="1312"/>
      <c r="CZ751" s="1312">
        <f t="shared" si="20"/>
        <v>0</v>
      </c>
      <c r="DA751" s="1312"/>
      <c r="DB751" s="1312"/>
      <c r="DC751" s="1312"/>
      <c r="DD751" s="1312"/>
      <c r="DE751" s="1312">
        <f t="shared" si="21"/>
        <v>0</v>
      </c>
      <c r="DF751" s="1312"/>
      <c r="DG751" s="1312"/>
      <c r="DH751" s="1312"/>
      <c r="DI751" s="1312"/>
      <c r="DJ751" s="1312">
        <f t="shared" si="22"/>
        <v>0</v>
      </c>
      <c r="DK751" s="1312"/>
      <c r="DL751" s="1312"/>
      <c r="DM751" s="1312"/>
      <c r="DN751" s="1312"/>
      <c r="DO751" s="1312">
        <f t="shared" si="23"/>
        <v>0</v>
      </c>
      <c r="DP751" s="1312"/>
      <c r="DQ751" s="1312"/>
      <c r="DR751" s="1312"/>
      <c r="DS751" s="1312"/>
      <c r="DT751" s="1179"/>
      <c r="DU751" s="1326">
        <f t="shared" si="24"/>
        <v>0</v>
      </c>
      <c r="DV751" s="1326"/>
      <c r="DW751" s="1326"/>
      <c r="DX751" s="1326"/>
      <c r="DY751" s="1326"/>
      <c r="DZ751" s="1326">
        <f t="shared" si="25"/>
        <v>0</v>
      </c>
      <c r="EA751" s="1326"/>
      <c r="EB751" s="1326"/>
      <c r="EC751" s="1326"/>
      <c r="ED751" s="1326"/>
      <c r="EE751" s="1326">
        <f t="shared" si="26"/>
        <v>0</v>
      </c>
      <c r="EF751" s="1326"/>
      <c r="EG751" s="1326"/>
      <c r="EH751" s="1326"/>
      <c r="EI751" s="1326"/>
      <c r="EJ751" s="1326">
        <f t="shared" si="27"/>
        <v>0</v>
      </c>
      <c r="EK751" s="1326"/>
      <c r="EL751" s="1326"/>
      <c r="EM751" s="1326"/>
      <c r="EN751" s="1326"/>
      <c r="EO751" s="1326">
        <f t="shared" si="28"/>
        <v>0</v>
      </c>
      <c r="EP751" s="1326"/>
      <c r="EQ751" s="1326"/>
      <c r="ER751" s="1326"/>
      <c r="ES751" s="1326"/>
      <c r="ET751" s="1326">
        <f t="shared" si="29"/>
        <v>0</v>
      </c>
      <c r="EU751" s="1326"/>
      <c r="EV751" s="1326"/>
      <c r="EW751" s="1326"/>
      <c r="EX751" s="1326"/>
      <c r="EY751"/>
      <c r="EZ751" s="1299" t="str">
        <f t="shared" si="30"/>
        <v/>
      </c>
      <c r="FA751" s="1300"/>
      <c r="FB751" s="1300"/>
      <c r="FC751" s="1300"/>
      <c r="FD751" s="1301"/>
      <c r="FE751" s="1299" t="str">
        <f t="shared" si="31"/>
        <v/>
      </c>
      <c r="FF751" s="1300"/>
      <c r="FG751" s="1300"/>
      <c r="FH751" s="1300"/>
      <c r="FI751" s="1301"/>
      <c r="FJ751" s="1299" t="str">
        <f t="shared" si="32"/>
        <v/>
      </c>
      <c r="FK751" s="1300"/>
      <c r="FL751" s="1300"/>
      <c r="FM751" s="1300"/>
      <c r="FN751" s="1301"/>
      <c r="FO751" s="1299" t="str">
        <f t="shared" si="33"/>
        <v/>
      </c>
      <c r="FP751" s="1300"/>
      <c r="FQ751" s="1300"/>
      <c r="FR751" s="1300"/>
      <c r="FS751" s="1301"/>
      <c r="FT751" s="1299" t="str">
        <f t="shared" si="34"/>
        <v/>
      </c>
      <c r="FU751" s="1300"/>
      <c r="FV751" s="1300"/>
      <c r="FW751" s="1300"/>
      <c r="FX751" s="1301"/>
      <c r="FY751" s="1299" t="str">
        <f t="shared" si="35"/>
        <v/>
      </c>
      <c r="FZ751" s="1300"/>
      <c r="GA751" s="1300"/>
      <c r="GB751" s="1300"/>
      <c r="GC751" s="1301"/>
    </row>
    <row r="752" spans="1:185" s="2" customFormat="1" ht="13.2" customHeight="1">
      <c r="A752"/>
      <c r="B752" s="1313"/>
      <c r="C752" s="1314"/>
      <c r="D752" s="1314"/>
      <c r="E752" s="1314"/>
      <c r="F752" s="1315"/>
      <c r="G752" s="1322"/>
      <c r="H752" s="1323"/>
      <c r="I752" s="1323"/>
      <c r="J752" s="1324"/>
      <c r="K752" s="1539"/>
      <c r="L752" s="1540"/>
      <c r="M752" s="1540"/>
      <c r="N752" s="1541"/>
      <c r="O752" s="1424"/>
      <c r="P752" s="1425"/>
      <c r="Q752" s="1425"/>
      <c r="R752" s="1425"/>
      <c r="S752" s="1426"/>
      <c r="T752" s="1424"/>
      <c r="U752" s="1425"/>
      <c r="V752" s="1425"/>
      <c r="W752" s="1426"/>
      <c r="X752" s="1316">
        <f>O752+T752</f>
        <v>0</v>
      </c>
      <c r="Y752" s="1317"/>
      <c r="Z752" s="1317"/>
      <c r="AA752" s="1317"/>
      <c r="AB752" s="1318"/>
      <c r="AC752" s="1548"/>
      <c r="AD752" s="1549"/>
      <c r="AE752" s="1549"/>
      <c r="AF752" s="1549"/>
      <c r="AG752" s="1550"/>
      <c r="AH752" s="1319" t="str">
        <f t="shared" si="36"/>
        <v/>
      </c>
      <c r="AI752" s="1320"/>
      <c r="AJ752" s="1321"/>
      <c r="AK752" s="1313" t="s">
        <v>810</v>
      </c>
      <c r="AL752" s="1314"/>
      <c r="AM752" s="1314"/>
      <c r="AN752" s="1314"/>
      <c r="AO752" s="1315"/>
      <c r="AT752"/>
      <c r="AU752"/>
      <c r="AV752"/>
      <c r="AW752"/>
      <c r="AX752"/>
      <c r="AY752"/>
      <c r="AZ752" s="68" t="str">
        <f t="shared" si="9"/>
        <v>N/A</v>
      </c>
      <c r="BE752"/>
      <c r="BF752" s="178">
        <f t="shared" si="10"/>
        <v>0</v>
      </c>
      <c r="BG752" s="181">
        <f t="shared" si="11"/>
        <v>0</v>
      </c>
      <c r="BH752" s="182" t="str">
        <f t="shared" si="12"/>
        <v/>
      </c>
      <c r="BO752"/>
      <c r="BP752"/>
      <c r="BQ752"/>
      <c r="BR752"/>
      <c r="BS752" s="682">
        <f t="shared" si="13"/>
        <v>0</v>
      </c>
      <c r="BT752" s="181">
        <f t="shared" si="14"/>
        <v>0</v>
      </c>
      <c r="BU752" s="182" t="str">
        <f t="shared" si="15"/>
        <v/>
      </c>
      <c r="CD752"/>
      <c r="CG752" s="1299">
        <f t="shared" si="37"/>
        <v>0</v>
      </c>
      <c r="CH752" s="1301"/>
      <c r="CI752" s="1299">
        <f t="shared" si="38"/>
        <v>0</v>
      </c>
      <c r="CJ752" s="1301"/>
      <c r="CK752" s="1299">
        <f t="shared" si="16"/>
        <v>0</v>
      </c>
      <c r="CL752" s="1301"/>
      <c r="CM752" s="1299">
        <f t="shared" si="17"/>
        <v>0</v>
      </c>
      <c r="CN752" s="1301"/>
      <c r="CP752" s="1296">
        <f t="shared" si="18"/>
        <v>0</v>
      </c>
      <c r="CQ752" s="1297"/>
      <c r="CR752" s="1297"/>
      <c r="CS752" s="1297"/>
      <c r="CT752" s="1298"/>
      <c r="CU752" s="1312">
        <f t="shared" si="19"/>
        <v>0</v>
      </c>
      <c r="CV752" s="1312"/>
      <c r="CW752" s="1312"/>
      <c r="CX752" s="1312"/>
      <c r="CY752" s="1312"/>
      <c r="CZ752" s="1312">
        <f t="shared" si="20"/>
        <v>0</v>
      </c>
      <c r="DA752" s="1312"/>
      <c r="DB752" s="1312"/>
      <c r="DC752" s="1312"/>
      <c r="DD752" s="1312"/>
      <c r="DE752" s="1312">
        <f t="shared" si="21"/>
        <v>0</v>
      </c>
      <c r="DF752" s="1312"/>
      <c r="DG752" s="1312"/>
      <c r="DH752" s="1312"/>
      <c r="DI752" s="1312"/>
      <c r="DJ752" s="1312">
        <f t="shared" si="22"/>
        <v>0</v>
      </c>
      <c r="DK752" s="1312"/>
      <c r="DL752" s="1312"/>
      <c r="DM752" s="1312"/>
      <c r="DN752" s="1312"/>
      <c r="DO752" s="1312">
        <f t="shared" si="23"/>
        <v>0</v>
      </c>
      <c r="DP752" s="1312"/>
      <c r="DQ752" s="1312"/>
      <c r="DR752" s="1312"/>
      <c r="DS752" s="1312"/>
      <c r="DT752" s="1179"/>
      <c r="DU752" s="1326">
        <f t="shared" si="24"/>
        <v>0</v>
      </c>
      <c r="DV752" s="1326"/>
      <c r="DW752" s="1326"/>
      <c r="DX752" s="1326"/>
      <c r="DY752" s="1326"/>
      <c r="DZ752" s="1326">
        <f t="shared" si="25"/>
        <v>0</v>
      </c>
      <c r="EA752" s="1326"/>
      <c r="EB752" s="1326"/>
      <c r="EC752" s="1326"/>
      <c r="ED752" s="1326"/>
      <c r="EE752" s="1326">
        <f t="shared" si="26"/>
        <v>0</v>
      </c>
      <c r="EF752" s="1326"/>
      <c r="EG752" s="1326"/>
      <c r="EH752" s="1326"/>
      <c r="EI752" s="1326"/>
      <c r="EJ752" s="1326">
        <f t="shared" si="27"/>
        <v>0</v>
      </c>
      <c r="EK752" s="1326"/>
      <c r="EL752" s="1326"/>
      <c r="EM752" s="1326"/>
      <c r="EN752" s="1326"/>
      <c r="EO752" s="1326">
        <f t="shared" si="28"/>
        <v>0</v>
      </c>
      <c r="EP752" s="1326"/>
      <c r="EQ752" s="1326"/>
      <c r="ER752" s="1326"/>
      <c r="ES752" s="1326"/>
      <c r="ET752" s="1326">
        <f t="shared" si="29"/>
        <v>0</v>
      </c>
      <c r="EU752" s="1326"/>
      <c r="EV752" s="1326"/>
      <c r="EW752" s="1326"/>
      <c r="EX752" s="1326"/>
      <c r="EY752"/>
      <c r="EZ752" s="1299" t="str">
        <f t="shared" si="30"/>
        <v/>
      </c>
      <c r="FA752" s="1300"/>
      <c r="FB752" s="1300"/>
      <c r="FC752" s="1300"/>
      <c r="FD752" s="1301"/>
      <c r="FE752" s="1299" t="str">
        <f t="shared" si="31"/>
        <v/>
      </c>
      <c r="FF752" s="1300"/>
      <c r="FG752" s="1300"/>
      <c r="FH752" s="1300"/>
      <c r="FI752" s="1301"/>
      <c r="FJ752" s="1299" t="str">
        <f t="shared" si="32"/>
        <v/>
      </c>
      <c r="FK752" s="1300"/>
      <c r="FL752" s="1300"/>
      <c r="FM752" s="1300"/>
      <c r="FN752" s="1301"/>
      <c r="FO752" s="1299" t="str">
        <f t="shared" si="33"/>
        <v/>
      </c>
      <c r="FP752" s="1300"/>
      <c r="FQ752" s="1300"/>
      <c r="FR752" s="1300"/>
      <c r="FS752" s="1301"/>
      <c r="FT752" s="1299" t="str">
        <f t="shared" si="34"/>
        <v/>
      </c>
      <c r="FU752" s="1300"/>
      <c r="FV752" s="1300"/>
      <c r="FW752" s="1300"/>
      <c r="FX752" s="1301"/>
      <c r="FY752" s="1299" t="str">
        <f t="shared" si="35"/>
        <v/>
      </c>
      <c r="FZ752" s="1300"/>
      <c r="GA752" s="1300"/>
      <c r="GB752" s="1300"/>
      <c r="GC752" s="1301"/>
    </row>
    <row r="753" spans="1:185" s="2" customFormat="1" ht="13.2" customHeight="1">
      <c r="A753"/>
      <c r="B753" s="1363" t="s">
        <v>1474</v>
      </c>
      <c r="C753" s="1364"/>
      <c r="D753" s="1364"/>
      <c r="E753" s="1364"/>
      <c r="F753" s="1366"/>
      <c r="G753" s="1656">
        <f>SUM(G718:G752)</f>
        <v>99</v>
      </c>
      <c r="H753" s="1657"/>
      <c r="I753" s="1657"/>
      <c r="J753" s="1658"/>
      <c r="K753" s="711" t="s">
        <v>1475</v>
      </c>
      <c r="L753" s="4"/>
      <c r="M753" s="4"/>
      <c r="N753" s="1106"/>
      <c r="O753" s="1316">
        <f>SUMPRODUCT(G718:G752,O718:O752)</f>
        <v>259011</v>
      </c>
      <c r="P753" s="1317"/>
      <c r="Q753" s="1317"/>
      <c r="R753" s="1317"/>
      <c r="S753" s="1318"/>
      <c r="T753"/>
      <c r="U753"/>
      <c r="V753"/>
      <c r="W753"/>
      <c r="X753" s="713" t="s">
        <v>1476</v>
      </c>
      <c r="Y753" s="712"/>
      <c r="Z753" s="712"/>
      <c r="AA753" s="712"/>
      <c r="AB753" s="714"/>
      <c r="AC753" s="1552">
        <f>BH753</f>
        <v>0.59999999999999987</v>
      </c>
      <c r="AD753" s="1553"/>
      <c r="AE753" s="1553"/>
      <c r="AF753" s="1553"/>
      <c r="AG753" s="1554"/>
      <c r="AH753" s="1552">
        <f>IFERROR(BU753,"")</f>
        <v>0.59990375297147314</v>
      </c>
      <c r="AI753" s="1553"/>
      <c r="AJ753" s="1554"/>
      <c r="AK753"/>
      <c r="AL753"/>
      <c r="AM753"/>
      <c r="AN753"/>
      <c r="AO753"/>
      <c r="AP753" s="114"/>
      <c r="AQ753" s="114"/>
      <c r="AR753" s="114"/>
      <c r="AS753" s="114"/>
      <c r="AT753"/>
      <c r="AU753"/>
      <c r="AV753"/>
      <c r="AW753"/>
      <c r="AX753"/>
      <c r="AY753"/>
      <c r="BE753" s="175" t="s">
        <v>1477</v>
      </c>
      <c r="BF753" s="183">
        <f>SUM(BF718:BF752)</f>
        <v>99</v>
      </c>
      <c r="BG753" s="184">
        <f>SUM(BG718:BG752)</f>
        <v>1</v>
      </c>
      <c r="BH753" s="184">
        <f>SUM(BH718:BH752)</f>
        <v>0.59999999999999987</v>
      </c>
      <c r="BI753"/>
      <c r="BJ753"/>
      <c r="BK753"/>
      <c r="BL753"/>
      <c r="BO753"/>
      <c r="BP753"/>
      <c r="BQ753"/>
      <c r="BR753"/>
      <c r="BS753" s="681">
        <f>SUM(BS718:BS752)</f>
        <v>99</v>
      </c>
      <c r="BT753" s="184">
        <f>SUM(BT718:BT752)</f>
        <v>1</v>
      </c>
      <c r="BU753" s="184">
        <f>SUM(BU718:BU752)</f>
        <v>0.59990375297147314</v>
      </c>
      <c r="CI753" s="1299">
        <f>SUM(CI718:CJ752)</f>
        <v>11</v>
      </c>
      <c r="CJ753" s="1301"/>
      <c r="CM753" s="1299">
        <f>SUM(CM718:CN752)</f>
        <v>11</v>
      </c>
      <c r="CN753" s="1301"/>
      <c r="CP753" s="1299">
        <f>SUM(CP718:CT752)</f>
        <v>0</v>
      </c>
      <c r="CQ753" s="1300"/>
      <c r="CR753" s="1300"/>
      <c r="CS753" s="1300"/>
      <c r="CT753" s="1301"/>
      <c r="CU753" s="1325">
        <f>SUM(CU718:CY752)</f>
        <v>36</v>
      </c>
      <c r="CV753" s="1325"/>
      <c r="CW753" s="1325"/>
      <c r="CX753" s="1325"/>
      <c r="CY753" s="1325"/>
      <c r="CZ753" s="1325">
        <f>SUM(CZ718:DD752)</f>
        <v>28</v>
      </c>
      <c r="DA753" s="1325"/>
      <c r="DB753" s="1325"/>
      <c r="DC753" s="1325"/>
      <c r="DD753" s="1325"/>
      <c r="DE753" s="1325">
        <f>SUM(DE718:DI752)</f>
        <v>35</v>
      </c>
      <c r="DF753" s="1325"/>
      <c r="DG753" s="1325"/>
      <c r="DH753" s="1325"/>
      <c r="DI753" s="1325"/>
      <c r="DJ753" s="1325">
        <f>SUM(DJ718:DN752)</f>
        <v>0</v>
      </c>
      <c r="DK753" s="1325"/>
      <c r="DL753" s="1325"/>
      <c r="DM753" s="1325"/>
      <c r="DN753" s="1325"/>
      <c r="DO753" s="1325">
        <f>SUM(DO718:DS752)</f>
        <v>0</v>
      </c>
      <c r="DP753" s="1325"/>
      <c r="DQ753" s="1325"/>
      <c r="DR753" s="1325"/>
      <c r="DS753" s="1325"/>
      <c r="DT753" s="1179"/>
      <c r="DU753" s="1325">
        <f>SUM(DU718:DY752)</f>
        <v>0</v>
      </c>
      <c r="DV753" s="1325"/>
      <c r="DW753" s="1325"/>
      <c r="DX753" s="1325"/>
      <c r="DY753" s="1325"/>
      <c r="DZ753" s="1325">
        <f>SUM(DZ718:ED752)</f>
        <v>4</v>
      </c>
      <c r="EA753" s="1325"/>
      <c r="EB753" s="1325"/>
      <c r="EC753" s="1325"/>
      <c r="ED753" s="1325"/>
      <c r="EE753" s="1325">
        <f>SUM(EE718:EI752)</f>
        <v>3</v>
      </c>
      <c r="EF753" s="1325"/>
      <c r="EG753" s="1325"/>
      <c r="EH753" s="1325"/>
      <c r="EI753" s="1325"/>
      <c r="EJ753" s="1325">
        <f>SUM(EJ718:EN752)</f>
        <v>4</v>
      </c>
      <c r="EK753" s="1325"/>
      <c r="EL753" s="1325"/>
      <c r="EM753" s="1325"/>
      <c r="EN753" s="1325"/>
      <c r="EO753" s="1325">
        <f>SUM(EO718:ES752)</f>
        <v>0</v>
      </c>
      <c r="EP753" s="1325"/>
      <c r="EQ753" s="1325"/>
      <c r="ER753" s="1325"/>
      <c r="ES753" s="1325"/>
      <c r="ET753" s="1325">
        <f>SUM(ET718:EX752)</f>
        <v>0</v>
      </c>
      <c r="EU753" s="1325"/>
      <c r="EV753" s="1325"/>
      <c r="EW753" s="1325"/>
      <c r="EX753" s="1325"/>
      <c r="EY753"/>
      <c r="EZ753" s="1325">
        <f>SUM(EZ718:FD752)</f>
        <v>0</v>
      </c>
      <c r="FA753" s="1325"/>
      <c r="FB753" s="1325"/>
      <c r="FC753" s="1325"/>
      <c r="FD753" s="1325"/>
      <c r="FE753" s="1325">
        <f>SUM(FE718:FI752)</f>
        <v>7675</v>
      </c>
      <c r="FF753" s="1325"/>
      <c r="FG753" s="1325"/>
      <c r="FH753" s="1325"/>
      <c r="FI753" s="1325"/>
      <c r="FJ753" s="1325">
        <f>SUM(FJ718:FN752)</f>
        <v>9175</v>
      </c>
      <c r="FK753" s="1325"/>
      <c r="FL753" s="1325"/>
      <c r="FM753" s="1325"/>
      <c r="FN753" s="1325"/>
      <c r="FO753" s="1325">
        <f>SUM(FO718:FS752)</f>
        <v>10553</v>
      </c>
      <c r="FP753" s="1325"/>
      <c r="FQ753" s="1325"/>
      <c r="FR753" s="1325"/>
      <c r="FS753" s="1325"/>
      <c r="FT753" s="1325">
        <f>SUM(FT718:FX752)</f>
        <v>0</v>
      </c>
      <c r="FU753" s="1325"/>
      <c r="FV753" s="1325"/>
      <c r="FW753" s="1325"/>
      <c r="FX753" s="1325"/>
      <c r="FY753" s="1325">
        <f>SUM(FY718:GC752)</f>
        <v>0</v>
      </c>
      <c r="FZ753" s="1325"/>
      <c r="GA753" s="1325"/>
      <c r="GB753" s="1325"/>
      <c r="GC753" s="1325"/>
    </row>
    <row r="754" spans="1:185" s="2" customFormat="1" ht="13.2" customHeight="1">
      <c r="A754"/>
      <c r="B754" s="1660" t="s">
        <v>1478</v>
      </c>
      <c r="C754" s="1660"/>
      <c r="D754" s="1660"/>
      <c r="E754" s="1660"/>
      <c r="F754" s="1660"/>
      <c r="G754" s="1660"/>
      <c r="H754" s="1660"/>
      <c r="I754" s="1660"/>
      <c r="J754" s="1660"/>
      <c r="K754" s="1660"/>
      <c r="L754" s="1660"/>
      <c r="M754" s="1660"/>
      <c r="N754" s="1660"/>
      <c r="O754" s="1660"/>
      <c r="P754" s="1660"/>
      <c r="Q754" s="1660"/>
      <c r="R754" s="1660"/>
      <c r="S754" s="1660"/>
      <c r="T754" s="1660"/>
      <c r="U754" s="1660"/>
      <c r="V754" s="1660"/>
      <c r="W754" s="1660"/>
      <c r="X754" s="1660"/>
      <c r="Y754" s="1660"/>
      <c r="Z754" s="1660"/>
      <c r="AA754" s="1660"/>
      <c r="AB754" s="1660"/>
      <c r="AC754" s="1660"/>
      <c r="AD754" s="1660"/>
      <c r="AE754" s="1660"/>
      <c r="AF754" s="1660"/>
      <c r="AG754" s="1660"/>
      <c r="AH754" s="1660"/>
      <c r="AI754"/>
      <c r="AJ754"/>
      <c r="AK754"/>
      <c r="AT754"/>
      <c r="AU754"/>
      <c r="AV754"/>
      <c r="AW754"/>
      <c r="AX754"/>
      <c r="AY754"/>
      <c r="CD754"/>
      <c r="DN754" s="37" t="s">
        <v>1479</v>
      </c>
      <c r="DO754" s="1299">
        <f>CP753+CU753+CZ753+DE753+DJ753+DO753</f>
        <v>99</v>
      </c>
      <c r="DP754" s="1300"/>
      <c r="DQ754" s="1300"/>
      <c r="DR754" s="1300"/>
      <c r="DS754" s="1301"/>
      <c r="DT754" s="1179"/>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2" customHeight="1">
      <c r="B755" s="1660"/>
      <c r="C755" s="1660"/>
      <c r="D755" s="1660"/>
      <c r="E755" s="1660"/>
      <c r="F755" s="1660"/>
      <c r="G755" s="1660"/>
      <c r="H755" s="1660"/>
      <c r="I755" s="1660"/>
      <c r="J755" s="1660"/>
      <c r="K755" s="1660"/>
      <c r="L755" s="1660"/>
      <c r="M755" s="1660"/>
      <c r="N755" s="1660"/>
      <c r="O755" s="1660"/>
      <c r="P755" s="1660"/>
      <c r="Q755" s="1660"/>
      <c r="R755" s="1660"/>
      <c r="S755" s="1660"/>
      <c r="T755" s="1660"/>
      <c r="U755" s="1660"/>
      <c r="V755" s="1660"/>
      <c r="W755" s="1660"/>
      <c r="X755" s="1660"/>
      <c r="Y755" s="1660"/>
      <c r="Z755" s="1660"/>
      <c r="AA755" s="1660"/>
      <c r="AB755" s="1660"/>
      <c r="AC755" s="1660"/>
      <c r="AD755" s="1660"/>
      <c r="AE755" s="1660"/>
      <c r="AF755" s="1660"/>
      <c r="AG755" s="1660"/>
      <c r="AH755" s="1660"/>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3">
        <f>CP753*1</f>
        <v>0</v>
      </c>
      <c r="CU755" s="2"/>
      <c r="CV755" s="2"/>
      <c r="CW755" s="2"/>
      <c r="CX755" s="2"/>
      <c r="CY755" s="683">
        <f>CU753*1</f>
        <v>36</v>
      </c>
      <c r="CZ755" s="2"/>
      <c r="DA755" s="2"/>
      <c r="DB755" s="2"/>
      <c r="DC755" s="2"/>
      <c r="DD755" s="683">
        <f>CZ753*2</f>
        <v>56</v>
      </c>
      <c r="DE755" s="2"/>
      <c r="DF755" s="2"/>
      <c r="DG755" s="2"/>
      <c r="DH755" s="2"/>
      <c r="DI755" s="683">
        <f>DE753*3</f>
        <v>105</v>
      </c>
      <c r="DJ755" s="2"/>
      <c r="DK755" s="2"/>
      <c r="DL755" s="2"/>
      <c r="DM755" s="2"/>
      <c r="DN755" s="683">
        <f>DJ753*4</f>
        <v>0</v>
      </c>
      <c r="DO755" s="2"/>
      <c r="DP755" s="2"/>
      <c r="DQ755" s="2"/>
      <c r="DR755" s="2"/>
      <c r="DS755" s="683">
        <f>DO753*5</f>
        <v>0</v>
      </c>
      <c r="DU755" s="683">
        <f>CT755+CY755+DD755+DI755+DN755+DS755</f>
        <v>197</v>
      </c>
      <c r="DV755" s="38" t="s">
        <v>1480</v>
      </c>
      <c r="DW755" s="2"/>
      <c r="DX755" s="2"/>
      <c r="DY755" s="2"/>
      <c r="DZ755" s="2"/>
      <c r="EA755" s="2"/>
      <c r="EB755" s="2"/>
      <c r="EC755" s="2"/>
      <c r="ED755" s="2"/>
      <c r="EE755" s="2"/>
      <c r="EF755" s="2"/>
      <c r="EG755" s="2"/>
      <c r="EH755" s="2"/>
    </row>
    <row r="756" spans="1:185" ht="13.2" customHeight="1">
      <c r="A756" s="2"/>
      <c r="B756" s="2"/>
      <c r="C756" s="68" t="s">
        <v>1481</v>
      </c>
      <c r="D756" s="819"/>
      <c r="E756" s="819"/>
      <c r="F756" s="819"/>
      <c r="G756" s="820"/>
      <c r="H756" s="820"/>
      <c r="I756" s="820"/>
      <c r="J756" s="820"/>
      <c r="K756" s="819"/>
      <c r="L756" s="819"/>
      <c r="M756" s="819"/>
      <c r="N756" s="819"/>
      <c r="O756" s="1325">
        <f>DU755</f>
        <v>197</v>
      </c>
      <c r="P756" s="1325"/>
      <c r="Q756" s="1325"/>
      <c r="R756" s="1325"/>
      <c r="S756" s="770"/>
      <c r="T756" s="770"/>
      <c r="U756" s="68" t="s">
        <v>1482</v>
      </c>
      <c r="V756" s="819"/>
      <c r="W756" s="819"/>
      <c r="X756" s="819"/>
      <c r="Y756" s="820"/>
      <c r="Z756" s="820"/>
      <c r="AA756" s="820"/>
      <c r="AB756" s="820"/>
      <c r="AC756" s="819"/>
      <c r="AD756" s="819"/>
      <c r="AE756" s="819"/>
      <c r="AF756" s="819"/>
      <c r="AG756" s="1652"/>
      <c r="AH756" s="1652"/>
      <c r="AI756" s="1652"/>
      <c r="AJ756" s="1652"/>
      <c r="AK756" s="2"/>
      <c r="AL756" s="2"/>
      <c r="AM756" s="2"/>
      <c r="AN756" s="2"/>
      <c r="AO756" s="2"/>
      <c r="AP756" s="2"/>
      <c r="AQ756" s="2"/>
      <c r="AR756" s="2"/>
      <c r="AS756" s="2"/>
      <c r="AZ756" s="2"/>
      <c r="BA756" s="2"/>
      <c r="BB756" s="175"/>
      <c r="BC756" s="175"/>
      <c r="BD756" s="175"/>
      <c r="BE756" s="175"/>
      <c r="BF756" s="175"/>
      <c r="BG756" s="175"/>
      <c r="BH756" s="175"/>
      <c r="BI756" s="175"/>
      <c r="BJ756" s="175"/>
      <c r="BK756" s="175"/>
      <c r="BL756" s="175"/>
      <c r="BM756" s="175"/>
      <c r="BN756" s="175"/>
      <c r="BO756" s="175"/>
      <c r="BP756" s="175"/>
      <c r="BQ756" s="175"/>
      <c r="BR756" s="175"/>
      <c r="BS756" s="175"/>
      <c r="BT756" s="175"/>
      <c r="BU756" s="175"/>
      <c r="BV756" s="175"/>
      <c r="BW756" s="175"/>
      <c r="BX756" s="175"/>
      <c r="BY756" s="175"/>
      <c r="BZ756" s="175"/>
      <c r="CA756" s="175"/>
      <c r="CB756" s="175"/>
      <c r="CC756" s="175"/>
      <c r="CE756" s="2"/>
      <c r="CF756" s="175"/>
      <c r="CG756" s="175"/>
      <c r="CH756" s="175"/>
      <c r="CI756" s="175"/>
      <c r="CJ756" s="175"/>
      <c r="CK756" s="175"/>
      <c r="CL756" s="175"/>
      <c r="CM756" s="175"/>
      <c r="CN756" s="175"/>
      <c r="CO756" s="175"/>
      <c r="CP756" s="175"/>
      <c r="CQ756" s="175"/>
      <c r="CR756" s="175"/>
      <c r="CS756" s="175"/>
      <c r="CT756" s="175"/>
      <c r="CU756" s="175"/>
      <c r="CV756" s="175"/>
      <c r="CW756" s="175"/>
      <c r="CX756" s="175"/>
      <c r="CY756" s="175"/>
      <c r="CZ756" s="175"/>
      <c r="DA756" s="175"/>
      <c r="DB756" s="175"/>
      <c r="DC756" s="175"/>
      <c r="DD756" s="175"/>
      <c r="DE756" s="175"/>
      <c r="DF756" s="175"/>
      <c r="DG756" s="175"/>
      <c r="DH756" s="175"/>
      <c r="DI756" s="175"/>
      <c r="DJ756" s="175"/>
      <c r="DK756" s="175"/>
      <c r="DL756" s="175"/>
      <c r="DM756" s="175"/>
      <c r="DN756" s="175"/>
      <c r="DO756" s="175"/>
      <c r="DP756" s="175"/>
      <c r="DQ756" s="175"/>
      <c r="DR756" s="175"/>
      <c r="DS756" s="175"/>
      <c r="DT756" s="175"/>
      <c r="DU756" s="175"/>
      <c r="DV756" s="175"/>
      <c r="DW756" s="175"/>
      <c r="FB756" s="175"/>
      <c r="FC756" s="175"/>
    </row>
    <row r="757" spans="1:185" ht="13.2" customHeight="1">
      <c r="B757" s="38"/>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175"/>
      <c r="AQ757" s="175"/>
      <c r="AR757" s="175"/>
      <c r="AS757" s="175"/>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3.2" customHeight="1">
      <c r="B758" s="38"/>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175"/>
      <c r="AQ758" s="175"/>
      <c r="AR758" s="175"/>
      <c r="AS758" s="175"/>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3.2" customHeight="1">
      <c r="B759" s="2"/>
      <c r="C759" s="68" t="s">
        <v>1483</v>
      </c>
      <c r="D759" s="821"/>
      <c r="E759" s="821"/>
      <c r="F759" s="821"/>
      <c r="G759" s="821"/>
      <c r="H759" s="821"/>
      <c r="I759" s="821"/>
      <c r="J759" s="821"/>
      <c r="K759" s="821"/>
      <c r="L759" s="821"/>
      <c r="M759" s="821"/>
      <c r="N759" s="821"/>
      <c r="O759" s="821"/>
      <c r="P759" s="821"/>
      <c r="Q759" s="821"/>
      <c r="R759" s="821"/>
      <c r="S759" s="821"/>
      <c r="T759" s="821"/>
      <c r="U759" s="821"/>
      <c r="V759" s="821"/>
      <c r="W759" s="821"/>
      <c r="X759" s="821"/>
      <c r="Y759" s="821"/>
      <c r="Z759" s="821"/>
      <c r="AA759" s="821"/>
      <c r="AB759" s="821"/>
      <c r="AC759" s="821"/>
      <c r="AD759" s="1659" t="s">
        <v>810</v>
      </c>
      <c r="AE759" s="1659"/>
      <c r="AF759" s="1659"/>
      <c r="AG759" s="821"/>
      <c r="AH759" s="821"/>
      <c r="AI759" s="821"/>
      <c r="AJ759" s="821"/>
      <c r="AK759" s="821"/>
      <c r="AL759" s="821"/>
      <c r="AM759" s="821"/>
      <c r="AN759" s="821"/>
      <c r="AO759" s="821"/>
      <c r="AP759" s="821"/>
      <c r="AQ759" s="821"/>
      <c r="AR759" s="821"/>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3.2" customHeight="1">
      <c r="C760" s="822" t="s">
        <v>1484</v>
      </c>
      <c r="D760" s="821"/>
      <c r="E760" s="821"/>
      <c r="F760" s="821"/>
      <c r="G760" s="821"/>
      <c r="H760" s="821"/>
      <c r="I760" s="821"/>
      <c r="J760" s="821"/>
      <c r="K760" s="821"/>
      <c r="L760" s="821"/>
      <c r="M760" s="821"/>
      <c r="N760" s="821"/>
      <c r="O760" s="821"/>
      <c r="P760" s="821"/>
      <c r="Q760" s="821"/>
      <c r="R760" s="821"/>
      <c r="S760" s="821"/>
      <c r="T760" s="821"/>
      <c r="U760" s="821"/>
      <c r="V760" s="821"/>
      <c r="W760" s="821"/>
      <c r="X760" s="821"/>
      <c r="Y760" s="821"/>
      <c r="Z760" s="821"/>
      <c r="AA760" s="821"/>
      <c r="AB760" s="821"/>
      <c r="AC760" s="821"/>
      <c r="AD760" s="821"/>
      <c r="AE760" s="821"/>
      <c r="AF760" s="821"/>
      <c r="AG760" s="821"/>
      <c r="AH760" s="821"/>
      <c r="AI760" s="821"/>
      <c r="AJ760" s="821"/>
      <c r="AK760" s="821"/>
      <c r="AL760" s="821"/>
      <c r="AM760" s="821"/>
      <c r="AN760" s="821"/>
      <c r="AO760" s="821"/>
      <c r="AP760" s="821"/>
      <c r="AQ760" s="821"/>
      <c r="AR760" s="821"/>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3.2" customHeight="1">
      <c r="A761" s="1" t="s">
        <v>912</v>
      </c>
      <c r="B761" s="37"/>
      <c r="C761" s="38" t="s">
        <v>1485</v>
      </c>
      <c r="D761" s="37"/>
      <c r="E761" s="37"/>
      <c r="F761" s="37"/>
      <c r="G761" s="1179"/>
      <c r="H761" s="1179"/>
      <c r="I761" s="1179"/>
      <c r="J761" s="1179"/>
      <c r="K761" s="1179"/>
      <c r="L761" s="37"/>
      <c r="M761" s="37"/>
      <c r="N761" s="37"/>
      <c r="O761" s="37"/>
      <c r="P761" s="37"/>
      <c r="Q761" s="1179"/>
      <c r="R761" s="1179"/>
      <c r="S761" s="1179"/>
      <c r="T761" s="1179"/>
      <c r="U761" s="1179"/>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3.2" customHeight="1">
      <c r="A762" s="2"/>
      <c r="B762" s="819"/>
      <c r="C762" s="68" t="s">
        <v>1486</v>
      </c>
      <c r="D762" s="819"/>
      <c r="E762" s="819"/>
      <c r="F762" s="819"/>
      <c r="G762" s="1179"/>
      <c r="H762" s="1179"/>
      <c r="I762" s="1179"/>
      <c r="J762" s="1179"/>
      <c r="K762" s="1179"/>
      <c r="L762" s="819"/>
      <c r="M762" s="819"/>
      <c r="N762" s="819"/>
      <c r="O762" s="819"/>
      <c r="P762" s="819"/>
      <c r="Q762" s="1179"/>
      <c r="R762" s="1179"/>
      <c r="S762" s="1179"/>
      <c r="T762" s="1179"/>
      <c r="U762" s="1179"/>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3.2" customHeight="1">
      <c r="A763" s="2"/>
      <c r="B763" s="819"/>
      <c r="C763" s="1230" t="s">
        <v>1487</v>
      </c>
      <c r="D763" s="1230"/>
      <c r="E763" s="1230"/>
      <c r="F763" s="1230"/>
      <c r="G763" s="1230"/>
      <c r="H763" s="1230"/>
      <c r="I763" s="1230"/>
      <c r="J763" s="1230"/>
      <c r="K763" s="1230"/>
      <c r="L763" s="1230"/>
      <c r="M763" s="1230"/>
      <c r="N763" s="1230"/>
      <c r="O763" s="1230"/>
      <c r="P763" s="1230"/>
      <c r="Q763" s="1230"/>
      <c r="R763" s="1230"/>
      <c r="S763" s="1230"/>
      <c r="T763" s="1230"/>
      <c r="U763" s="1230"/>
      <c r="V763" s="1230"/>
      <c r="W763" s="1230"/>
      <c r="X763" s="1230"/>
      <c r="Y763" s="1230"/>
      <c r="Z763" s="1230"/>
      <c r="AA763" s="1230"/>
      <c r="AB763" s="1230"/>
      <c r="AC763" s="1230"/>
      <c r="AD763" s="1230"/>
      <c r="AE763" s="1230"/>
      <c r="AF763" s="1230"/>
      <c r="AG763" s="1230"/>
      <c r="AH763" s="1230"/>
      <c r="AI763" s="1230"/>
      <c r="AJ763" s="1230"/>
      <c r="AK763" s="1230"/>
      <c r="AL763" s="1230"/>
      <c r="AM763" s="1230"/>
      <c r="AN763" s="1230"/>
      <c r="AO763" s="1230"/>
      <c r="AP763" s="1230"/>
      <c r="AQ763" s="1230"/>
      <c r="AR763" s="1230"/>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3.2" customHeight="1">
      <c r="A764" s="2"/>
      <c r="B764" s="819"/>
      <c r="C764" s="1230"/>
      <c r="D764" s="1230"/>
      <c r="E764" s="1230"/>
      <c r="F764" s="1230"/>
      <c r="G764" s="1230"/>
      <c r="H764" s="1230"/>
      <c r="I764" s="1230"/>
      <c r="J764" s="1230"/>
      <c r="K764" s="1230"/>
      <c r="L764" s="1230"/>
      <c r="M764" s="1230"/>
      <c r="N764" s="1230"/>
      <c r="O764" s="1230"/>
      <c r="P764" s="1230"/>
      <c r="Q764" s="1230"/>
      <c r="R764" s="1230"/>
      <c r="S764" s="1230"/>
      <c r="T764" s="1230"/>
      <c r="U764" s="1230"/>
      <c r="V764" s="1230"/>
      <c r="W764" s="1230"/>
      <c r="X764" s="1230"/>
      <c r="Y764" s="1230"/>
      <c r="Z764" s="1230"/>
      <c r="AA764" s="1230"/>
      <c r="AB764" s="1230"/>
      <c r="AC764" s="1230"/>
      <c r="AD764" s="1230"/>
      <c r="AE764" s="1230"/>
      <c r="AF764" s="1230"/>
      <c r="AG764" s="1230"/>
      <c r="AH764" s="1230"/>
      <c r="AI764" s="1230"/>
      <c r="AJ764" s="1230"/>
      <c r="AK764" s="1230"/>
      <c r="AL764" s="1230"/>
      <c r="AM764" s="1230"/>
      <c r="AN764" s="1230"/>
      <c r="AO764" s="1230"/>
      <c r="AP764" s="1230"/>
      <c r="AQ764" s="1230"/>
      <c r="AR764" s="1230"/>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3.2" customHeight="1">
      <c r="A765" s="2"/>
      <c r="B765" s="819"/>
      <c r="C765" s="1230"/>
      <c r="D765" s="1230"/>
      <c r="E765" s="1230"/>
      <c r="F765" s="1230"/>
      <c r="G765" s="1230"/>
      <c r="H765" s="1230"/>
      <c r="I765" s="1230"/>
      <c r="J765" s="1230"/>
      <c r="K765" s="1230"/>
      <c r="L765" s="1230"/>
      <c r="M765" s="1230"/>
      <c r="N765" s="1230"/>
      <c r="O765" s="1230"/>
      <c r="P765" s="1230"/>
      <c r="Q765" s="1230"/>
      <c r="R765" s="1230"/>
      <c r="S765" s="1230"/>
      <c r="T765" s="1230"/>
      <c r="U765" s="1230"/>
      <c r="V765" s="1230"/>
      <c r="W765" s="1230"/>
      <c r="X765" s="1230"/>
      <c r="Y765" s="1230"/>
      <c r="Z765" s="1230"/>
      <c r="AA765" s="1230"/>
      <c r="AB765" s="1230"/>
      <c r="AC765" s="1230"/>
      <c r="AD765" s="1230"/>
      <c r="AE765" s="1230"/>
      <c r="AF765" s="1230"/>
      <c r="AG765" s="1230"/>
      <c r="AH765" s="1230"/>
      <c r="AI765" s="1230"/>
      <c r="AJ765" s="1230"/>
      <c r="AK765" s="1230"/>
      <c r="AL765" s="1230"/>
      <c r="AM765" s="1230"/>
      <c r="AN765" s="1230"/>
      <c r="AO765" s="1230"/>
      <c r="AP765" s="1230"/>
      <c r="AQ765" s="1230"/>
      <c r="AR765" s="1230"/>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3.2" customHeight="1">
      <c r="A766" s="2"/>
      <c r="B766" s="819"/>
      <c r="C766" s="1230" t="s">
        <v>1488</v>
      </c>
      <c r="D766" s="1230"/>
      <c r="E766" s="1230"/>
      <c r="F766" s="1230"/>
      <c r="G766" s="1230"/>
      <c r="H766" s="1230"/>
      <c r="I766" s="1230"/>
      <c r="J766" s="1230"/>
      <c r="K766" s="1230"/>
      <c r="L766" s="1230"/>
      <c r="M766" s="1230"/>
      <c r="N766" s="1230"/>
      <c r="O766" s="1230"/>
      <c r="P766" s="1230"/>
      <c r="Q766" s="1230"/>
      <c r="R766" s="1230"/>
      <c r="S766" s="1230"/>
      <c r="T766" s="1230"/>
      <c r="U766" s="1230"/>
      <c r="V766" s="1230"/>
      <c r="W766" s="1230"/>
      <c r="X766" s="1230"/>
      <c r="Y766" s="1230"/>
      <c r="Z766" s="1230"/>
      <c r="AA766" s="1230"/>
      <c r="AB766" s="1230"/>
      <c r="AC766" s="1230"/>
      <c r="AD766" s="1230"/>
      <c r="AE766" s="1230"/>
      <c r="AF766" s="1230"/>
      <c r="AG766" s="1230"/>
      <c r="AH766" s="1230"/>
      <c r="AI766" s="1230"/>
      <c r="AJ766" s="1230"/>
      <c r="AK766" s="1230"/>
      <c r="AL766" s="1230"/>
      <c r="AM766" s="1230"/>
      <c r="AN766" s="1230"/>
      <c r="AO766" s="1230"/>
      <c r="AP766" s="1230"/>
      <c r="AQ766" s="1230"/>
      <c r="AR766" s="1230"/>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5"/>
      <c r="DY766" s="175"/>
      <c r="DZ766" s="175"/>
      <c r="EA766" s="175"/>
      <c r="EB766" s="175"/>
      <c r="EC766" s="175"/>
      <c r="ED766" s="175"/>
      <c r="EE766" s="175"/>
      <c r="EF766" s="175"/>
      <c r="EG766" s="175"/>
      <c r="EH766" s="175"/>
      <c r="EI766" s="175"/>
      <c r="EJ766" s="175"/>
      <c r="EK766" s="175"/>
      <c r="EL766" s="175"/>
      <c r="EM766" s="175"/>
      <c r="EN766" s="175"/>
      <c r="EO766" s="175"/>
      <c r="EP766" s="175"/>
      <c r="EQ766" s="175"/>
      <c r="ER766" s="175"/>
      <c r="ES766" s="175"/>
      <c r="ET766" s="175"/>
      <c r="EU766" s="175"/>
      <c r="EV766" s="175"/>
      <c r="EW766" s="175"/>
      <c r="EX766" s="175"/>
      <c r="EY766" s="175"/>
      <c r="EZ766" s="175"/>
      <c r="FA766" s="175"/>
    </row>
    <row r="767" spans="1:185" ht="13.2" customHeight="1">
      <c r="A767" s="2"/>
      <c r="B767" s="819"/>
      <c r="C767" s="1230"/>
      <c r="D767" s="1230"/>
      <c r="E767" s="1230"/>
      <c r="F767" s="1230"/>
      <c r="G767" s="1230"/>
      <c r="H767" s="1230"/>
      <c r="I767" s="1230"/>
      <c r="J767" s="1230"/>
      <c r="K767" s="1230"/>
      <c r="L767" s="1230"/>
      <c r="M767" s="1230"/>
      <c r="N767" s="1230"/>
      <c r="O767" s="1230"/>
      <c r="P767" s="1230"/>
      <c r="Q767" s="1230"/>
      <c r="R767" s="1230"/>
      <c r="S767" s="1230"/>
      <c r="T767" s="1230"/>
      <c r="U767" s="1230"/>
      <c r="V767" s="1230"/>
      <c r="W767" s="1230"/>
      <c r="X767" s="1230"/>
      <c r="Y767" s="1230"/>
      <c r="Z767" s="1230"/>
      <c r="AA767" s="1230"/>
      <c r="AB767" s="1230"/>
      <c r="AC767" s="1230"/>
      <c r="AD767" s="1230"/>
      <c r="AE767" s="1230"/>
      <c r="AF767" s="1230"/>
      <c r="AG767" s="1230"/>
      <c r="AH767" s="1230"/>
      <c r="AI767" s="1230"/>
      <c r="AJ767" s="1230"/>
      <c r="AK767" s="1230"/>
      <c r="AL767" s="1230"/>
      <c r="AM767" s="1230"/>
      <c r="AN767" s="1230"/>
      <c r="AO767" s="1230"/>
      <c r="AP767" s="1230"/>
      <c r="AQ767" s="1230"/>
      <c r="AR767" s="1230"/>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3.2" customHeight="1">
      <c r="A768" s="2"/>
      <c r="B768" s="819"/>
      <c r="C768" s="1230"/>
      <c r="D768" s="1230"/>
      <c r="E768" s="1230"/>
      <c r="F768" s="1230"/>
      <c r="G768" s="1230"/>
      <c r="H768" s="1230"/>
      <c r="I768" s="1230"/>
      <c r="J768" s="1230"/>
      <c r="K768" s="1230"/>
      <c r="L768" s="1230"/>
      <c r="M768" s="1230"/>
      <c r="N768" s="1230"/>
      <c r="O768" s="1230"/>
      <c r="P768" s="1230"/>
      <c r="Q768" s="1230"/>
      <c r="R768" s="1230"/>
      <c r="S768" s="1230"/>
      <c r="T768" s="1230"/>
      <c r="U768" s="1230"/>
      <c r="V768" s="1230"/>
      <c r="W768" s="1230"/>
      <c r="X768" s="1230"/>
      <c r="Y768" s="1230"/>
      <c r="Z768" s="1230"/>
      <c r="AA768" s="1230"/>
      <c r="AB768" s="1230"/>
      <c r="AC768" s="1230"/>
      <c r="AD768" s="1230"/>
      <c r="AE768" s="1230"/>
      <c r="AF768" s="1230"/>
      <c r="AG768" s="1230"/>
      <c r="AH768" s="1230"/>
      <c r="AI768" s="1230"/>
      <c r="AJ768" s="1230"/>
      <c r="AK768" s="1230"/>
      <c r="AL768" s="1230"/>
      <c r="AM768" s="1230"/>
      <c r="AN768" s="1230"/>
      <c r="AO768" s="1230"/>
      <c r="AP768" s="1230"/>
      <c r="AQ768" s="1230"/>
      <c r="AR768" s="1230"/>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3.2" customHeight="1">
      <c r="J769" s="1449" t="s">
        <v>1454</v>
      </c>
      <c r="K769" s="1450"/>
      <c r="L769" s="1450"/>
      <c r="M769" s="1450"/>
      <c r="N769" s="1451"/>
      <c r="O769" s="1537" t="s">
        <v>1455</v>
      </c>
      <c r="P769" s="1537"/>
      <c r="Q769" s="1537"/>
      <c r="R769" s="1537"/>
      <c r="S769" s="1537"/>
      <c r="T769" s="1465" t="s">
        <v>1456</v>
      </c>
      <c r="U769" s="1466"/>
      <c r="V769" s="1466"/>
      <c r="W769" s="1467"/>
      <c r="X769" s="1449" t="s">
        <v>1457</v>
      </c>
      <c r="Y769" s="1450"/>
      <c r="Z769" s="1450"/>
      <c r="AA769" s="1450"/>
      <c r="AB769" s="1451"/>
      <c r="AC769" s="1449" t="s">
        <v>1489</v>
      </c>
      <c r="AD769" s="1450"/>
      <c r="AE769" s="1450"/>
      <c r="AF769" s="1450"/>
      <c r="AG769" s="1451"/>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3.2" customHeight="1">
      <c r="J770" s="1452"/>
      <c r="K770" s="1453"/>
      <c r="L770" s="1453"/>
      <c r="M770" s="1453"/>
      <c r="N770" s="1454"/>
      <c r="O770" s="1537"/>
      <c r="P770" s="1537"/>
      <c r="Q770" s="1537"/>
      <c r="R770" s="1537"/>
      <c r="S770" s="1537"/>
      <c r="T770" s="1468"/>
      <c r="U770" s="1469"/>
      <c r="V770" s="1469"/>
      <c r="W770" s="1470"/>
      <c r="X770" s="1452"/>
      <c r="Y770" s="1453"/>
      <c r="Z770" s="1453"/>
      <c r="AA770" s="1453"/>
      <c r="AB770" s="1454"/>
      <c r="AC770" s="1452"/>
      <c r="AD770" s="1453"/>
      <c r="AE770" s="1453"/>
      <c r="AF770" s="1453"/>
      <c r="AG770" s="1454"/>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3.2" customHeight="1">
      <c r="J771" s="1452"/>
      <c r="K771" s="1453"/>
      <c r="L771" s="1453"/>
      <c r="M771" s="1453"/>
      <c r="N771" s="1454"/>
      <c r="O771" s="1537"/>
      <c r="P771" s="1537"/>
      <c r="Q771" s="1537"/>
      <c r="R771" s="1537"/>
      <c r="S771" s="1537"/>
      <c r="T771" s="1468"/>
      <c r="U771" s="1469"/>
      <c r="V771" s="1469"/>
      <c r="W771" s="1470"/>
      <c r="X771" s="1452"/>
      <c r="Y771" s="1453"/>
      <c r="Z771" s="1453"/>
      <c r="AA771" s="1453"/>
      <c r="AB771" s="1454"/>
      <c r="AC771" s="1452"/>
      <c r="AD771" s="1453"/>
      <c r="AE771" s="1453"/>
      <c r="AF771" s="1453"/>
      <c r="AG771" s="1454"/>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3.2" customHeight="1">
      <c r="J772" s="1455"/>
      <c r="K772" s="1456"/>
      <c r="L772" s="1456"/>
      <c r="M772" s="1456"/>
      <c r="N772" s="1457"/>
      <c r="O772" s="1537"/>
      <c r="P772" s="1537"/>
      <c r="Q772" s="1537"/>
      <c r="R772" s="1537"/>
      <c r="S772" s="1537"/>
      <c r="T772" s="1545"/>
      <c r="U772" s="1546"/>
      <c r="V772" s="1546"/>
      <c r="W772" s="1547"/>
      <c r="X772" s="1455"/>
      <c r="Y772" s="1456"/>
      <c r="Z772" s="1456"/>
      <c r="AA772" s="1456"/>
      <c r="AB772" s="1457"/>
      <c r="AC772" s="1455"/>
      <c r="AD772" s="1456"/>
      <c r="AE772" s="1456"/>
      <c r="AF772" s="1456"/>
      <c r="AG772" s="1457"/>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1490</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179"/>
      <c r="DU772" s="2"/>
      <c r="DV772" s="2"/>
    </row>
    <row r="773" spans="1:126" ht="13.2" customHeight="1">
      <c r="J773" s="1313" t="s">
        <v>833</v>
      </c>
      <c r="K773" s="1314"/>
      <c r="L773" s="1314"/>
      <c r="M773" s="1314"/>
      <c r="N773" s="1315"/>
      <c r="O773" s="1420">
        <v>1</v>
      </c>
      <c r="P773" s="1420"/>
      <c r="Q773" s="1420"/>
      <c r="R773" s="1420"/>
      <c r="S773" s="1420"/>
      <c r="T773" s="1539">
        <f>+K728</f>
        <v>1018</v>
      </c>
      <c r="U773" s="1540"/>
      <c r="V773" s="1540"/>
      <c r="W773" s="1541"/>
      <c r="X773" s="1424"/>
      <c r="Y773" s="1425"/>
      <c r="Z773" s="1425"/>
      <c r="AA773" s="1425"/>
      <c r="AB773" s="1426"/>
      <c r="AC773" s="1316">
        <f>X773*O773</f>
        <v>0</v>
      </c>
      <c r="AD773" s="1317"/>
      <c r="AE773" s="1317"/>
      <c r="AF773" s="1317"/>
      <c r="AG773" s="1318"/>
      <c r="AH773" s="1031"/>
      <c r="AI773" s="69"/>
      <c r="AJ773" s="69"/>
      <c r="AK773" s="1031"/>
      <c r="AL773" s="1031"/>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296">
        <f>IF(J773="SRO/Studio",O773,0)</f>
        <v>0</v>
      </c>
      <c r="CQ773" s="1297"/>
      <c r="CR773" s="1297"/>
      <c r="CS773" s="1297"/>
      <c r="CT773" s="1298"/>
      <c r="CU773" s="1312">
        <f>IF(J773="1 Bedroom",O773,0)</f>
        <v>0</v>
      </c>
      <c r="CV773" s="1312"/>
      <c r="CW773" s="1312"/>
      <c r="CX773" s="1312"/>
      <c r="CY773" s="1312"/>
      <c r="CZ773" s="1312">
        <f>IF(J773="2 Bedrooms",O773,0)</f>
        <v>0</v>
      </c>
      <c r="DA773" s="1312"/>
      <c r="DB773" s="1312"/>
      <c r="DC773" s="1312"/>
      <c r="DD773" s="1312"/>
      <c r="DE773" s="1312">
        <f>IF(J773="3 Bedrooms",O773,0)</f>
        <v>1</v>
      </c>
      <c r="DF773" s="1312"/>
      <c r="DG773" s="1312"/>
      <c r="DH773" s="1312"/>
      <c r="DI773" s="1312"/>
      <c r="DJ773" s="1312">
        <f>IF(J773="4 Bedrooms",O773,0)</f>
        <v>0</v>
      </c>
      <c r="DK773" s="1312"/>
      <c r="DL773" s="1312"/>
      <c r="DM773" s="1312"/>
      <c r="DN773" s="1312"/>
      <c r="DO773" s="1312">
        <f>IF(J773="5 Bedrooms",O773,0)</f>
        <v>0</v>
      </c>
      <c r="DP773" s="1312"/>
      <c r="DQ773" s="1312"/>
      <c r="DR773" s="1312"/>
      <c r="DS773" s="1312"/>
      <c r="DT773" s="1179"/>
      <c r="DU773" s="2"/>
      <c r="DV773" s="2"/>
    </row>
    <row r="774" spans="1:126" ht="13.2" customHeight="1">
      <c r="J774" s="1313"/>
      <c r="K774" s="1314"/>
      <c r="L774" s="1314"/>
      <c r="M774" s="1314"/>
      <c r="N774" s="1315"/>
      <c r="O774" s="1420"/>
      <c r="P774" s="1420"/>
      <c r="Q774" s="1420"/>
      <c r="R774" s="1420"/>
      <c r="S774" s="1420"/>
      <c r="T774" s="1539"/>
      <c r="U774" s="1540"/>
      <c r="V774" s="1540"/>
      <c r="W774" s="1541"/>
      <c r="X774" s="1424"/>
      <c r="Y774" s="1425"/>
      <c r="Z774" s="1425"/>
      <c r="AA774" s="1425"/>
      <c r="AB774" s="1426"/>
      <c r="AC774" s="1316">
        <f>X774*O774</f>
        <v>0</v>
      </c>
      <c r="AD774" s="1317"/>
      <c r="AE774" s="1317"/>
      <c r="AF774" s="1317"/>
      <c r="AG774" s="1318"/>
      <c r="AH774" s="1031"/>
      <c r="AI774" s="1031"/>
      <c r="AJ774" s="1031"/>
      <c r="AK774" s="1031"/>
      <c r="AL774" s="1031"/>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296">
        <f>IF(J774="SRO/Studio",O774,0)</f>
        <v>0</v>
      </c>
      <c r="CQ774" s="1297"/>
      <c r="CR774" s="1297"/>
      <c r="CS774" s="1297"/>
      <c r="CT774" s="1298"/>
      <c r="CU774" s="1312">
        <f>IF(J774="1 Bedroom",O774,0)</f>
        <v>0</v>
      </c>
      <c r="CV774" s="1312"/>
      <c r="CW774" s="1312"/>
      <c r="CX774" s="1312"/>
      <c r="CY774" s="1312"/>
      <c r="CZ774" s="1312">
        <f>IF(J774="2 Bedrooms",O774,0)</f>
        <v>0</v>
      </c>
      <c r="DA774" s="1312"/>
      <c r="DB774" s="1312"/>
      <c r="DC774" s="1312"/>
      <c r="DD774" s="1312"/>
      <c r="DE774" s="1312">
        <f>IF(J774="3 Bedrooms",O774,0)</f>
        <v>0</v>
      </c>
      <c r="DF774" s="1312"/>
      <c r="DG774" s="1312"/>
      <c r="DH774" s="1312"/>
      <c r="DI774" s="1312"/>
      <c r="DJ774" s="1312">
        <f>IF(J774="4 Bedrooms",O774,0)</f>
        <v>0</v>
      </c>
      <c r="DK774" s="1312"/>
      <c r="DL774" s="1312"/>
      <c r="DM774" s="1312"/>
      <c r="DN774" s="1312"/>
      <c r="DO774" s="1312">
        <f>IF(J774="5 Bedrooms",O774,0)</f>
        <v>0</v>
      </c>
      <c r="DP774" s="1312"/>
      <c r="DQ774" s="1312"/>
      <c r="DR774" s="1312"/>
      <c r="DS774" s="1312"/>
      <c r="DT774" s="1179"/>
      <c r="DU774" s="2"/>
      <c r="DV774" s="2"/>
    </row>
    <row r="775" spans="1:126" ht="13.2" customHeight="1">
      <c r="J775" s="1313"/>
      <c r="K775" s="1314"/>
      <c r="L775" s="1314"/>
      <c r="M775" s="1314"/>
      <c r="N775" s="1315"/>
      <c r="O775" s="1420"/>
      <c r="P775" s="1420"/>
      <c r="Q775" s="1420"/>
      <c r="R775" s="1420"/>
      <c r="S775" s="1420"/>
      <c r="T775" s="1539"/>
      <c r="U775" s="1540"/>
      <c r="V775" s="1540"/>
      <c r="W775" s="1541"/>
      <c r="X775" s="1424"/>
      <c r="Y775" s="1425"/>
      <c r="Z775" s="1425"/>
      <c r="AA775" s="1425"/>
      <c r="AB775" s="1426"/>
      <c r="AC775" s="1316">
        <f>X775*O775</f>
        <v>0</v>
      </c>
      <c r="AD775" s="1317"/>
      <c r="AE775" s="1317"/>
      <c r="AF775" s="1317"/>
      <c r="AG775" s="1318"/>
      <c r="AH775" s="1031"/>
      <c r="AI775" s="1031"/>
      <c r="AJ775" s="1031"/>
      <c r="AK775" s="1031"/>
      <c r="AL775" s="1031"/>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296">
        <f>IF(J775="SRO/Studio",O775,0)</f>
        <v>0</v>
      </c>
      <c r="CQ775" s="1297"/>
      <c r="CR775" s="1297"/>
      <c r="CS775" s="1297"/>
      <c r="CT775" s="1298"/>
      <c r="CU775" s="1312">
        <f>IF(J775="1 Bedroom",O775,0)</f>
        <v>0</v>
      </c>
      <c r="CV775" s="1312"/>
      <c r="CW775" s="1312"/>
      <c r="CX775" s="1312"/>
      <c r="CY775" s="1312"/>
      <c r="CZ775" s="1312">
        <f>IF(J775="2 Bedrooms",O775,0)</f>
        <v>0</v>
      </c>
      <c r="DA775" s="1312"/>
      <c r="DB775" s="1312"/>
      <c r="DC775" s="1312"/>
      <c r="DD775" s="1312"/>
      <c r="DE775" s="1312">
        <f>IF(J775="3 Bedrooms",O775,0)</f>
        <v>0</v>
      </c>
      <c r="DF775" s="1312"/>
      <c r="DG775" s="1312"/>
      <c r="DH775" s="1312"/>
      <c r="DI775" s="1312"/>
      <c r="DJ775" s="1312">
        <f>IF(J775="4 Bedrooms",O775,0)</f>
        <v>0</v>
      </c>
      <c r="DK775" s="1312"/>
      <c r="DL775" s="1312"/>
      <c r="DM775" s="1312"/>
      <c r="DN775" s="1312"/>
      <c r="DO775" s="1312">
        <f>IF(J775="5 Bedrooms",O775,0)</f>
        <v>0</v>
      </c>
      <c r="DP775" s="1312"/>
      <c r="DQ775" s="1312"/>
      <c r="DR775" s="1312"/>
      <c r="DS775" s="1312"/>
      <c r="DT775" s="1179"/>
    </row>
    <row r="776" spans="1:126" ht="13.2" customHeight="1">
      <c r="J776" s="1313"/>
      <c r="K776" s="1314"/>
      <c r="L776" s="1314"/>
      <c r="M776" s="1314"/>
      <c r="N776" s="1315"/>
      <c r="O776" s="1420"/>
      <c r="P776" s="1420"/>
      <c r="Q776" s="1420"/>
      <c r="R776" s="1420"/>
      <c r="S776" s="1420"/>
      <c r="T776" s="1539"/>
      <c r="U776" s="1540"/>
      <c r="V776" s="1540"/>
      <c r="W776" s="1541"/>
      <c r="X776" s="1424"/>
      <c r="Y776" s="1425"/>
      <c r="Z776" s="1425"/>
      <c r="AA776" s="1425"/>
      <c r="AB776" s="1426"/>
      <c r="AC776" s="1316">
        <f>X776*O776</f>
        <v>0</v>
      </c>
      <c r="AD776" s="1317"/>
      <c r="AE776" s="1317"/>
      <c r="AF776" s="1317"/>
      <c r="AG776" s="1318"/>
      <c r="AH776" s="1031"/>
      <c r="AI776" s="1031"/>
      <c r="AJ776" s="1031"/>
      <c r="AK776" s="1031"/>
      <c r="AL776" s="1031"/>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296">
        <f>IF(J776="SRO/Studio",O776,0)</f>
        <v>0</v>
      </c>
      <c r="CQ776" s="1297"/>
      <c r="CR776" s="1297"/>
      <c r="CS776" s="1297"/>
      <c r="CT776" s="1298"/>
      <c r="CU776" s="1312">
        <f>IF(J776="1 Bedroom",O776,0)</f>
        <v>0</v>
      </c>
      <c r="CV776" s="1312"/>
      <c r="CW776" s="1312"/>
      <c r="CX776" s="1312"/>
      <c r="CY776" s="1312"/>
      <c r="CZ776" s="1312">
        <f>IF(J776="2 Bedrooms",O776,0)</f>
        <v>0</v>
      </c>
      <c r="DA776" s="1312"/>
      <c r="DB776" s="1312"/>
      <c r="DC776" s="1312"/>
      <c r="DD776" s="1312"/>
      <c r="DE776" s="1312">
        <f>IF(J776="3 Bedrooms",O776,0)</f>
        <v>0</v>
      </c>
      <c r="DF776" s="1312"/>
      <c r="DG776" s="1312"/>
      <c r="DH776" s="1312"/>
      <c r="DI776" s="1312"/>
      <c r="DJ776" s="1312">
        <f>IF(J776="4 Bedrooms",O776,0)</f>
        <v>0</v>
      </c>
      <c r="DK776" s="1312"/>
      <c r="DL776" s="1312"/>
      <c r="DM776" s="1312"/>
      <c r="DN776" s="1312"/>
      <c r="DO776" s="1312">
        <f>IF(J776="5 Bedrooms",O776,0)</f>
        <v>0</v>
      </c>
      <c r="DP776" s="1312"/>
      <c r="DQ776" s="1312"/>
      <c r="DR776" s="1312"/>
      <c r="DS776" s="1312"/>
    </row>
    <row r="777" spans="1:126" ht="13.2" customHeight="1">
      <c r="J777" s="1363" t="s">
        <v>1474</v>
      </c>
      <c r="K777" s="1364"/>
      <c r="L777" s="1364"/>
      <c r="M777" s="1364"/>
      <c r="N777" s="1366"/>
      <c r="O777" s="1299">
        <f>SUM(O773:S776)</f>
        <v>1</v>
      </c>
      <c r="P777" s="1300"/>
      <c r="Q777" s="1300"/>
      <c r="R777" s="1300"/>
      <c r="S777" s="1301"/>
      <c r="X777" s="1363" t="s">
        <v>1475</v>
      </c>
      <c r="Y777" s="1364"/>
      <c r="Z777" s="1364"/>
      <c r="AA777" s="1364"/>
      <c r="AB777" s="1366"/>
      <c r="AC777" s="1316">
        <f>SUM(AC773:AG776)</f>
        <v>0</v>
      </c>
      <c r="AD777" s="1317"/>
      <c r="AE777" s="1317"/>
      <c r="AF777" s="1317"/>
      <c r="AG777" s="1318"/>
      <c r="AI777" s="1031"/>
      <c r="AJ777" s="1031"/>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299">
        <f>SUM(CP773:CT776)</f>
        <v>0</v>
      </c>
      <c r="CQ777" s="1300"/>
      <c r="CR777" s="1300"/>
      <c r="CS777" s="1300"/>
      <c r="CT777" s="1301"/>
      <c r="CU777" s="1299">
        <f>SUM(CU773:CY776)</f>
        <v>0</v>
      </c>
      <c r="CV777" s="1300"/>
      <c r="CW777" s="1300"/>
      <c r="CX777" s="1300"/>
      <c r="CY777" s="1301"/>
      <c r="CZ777" s="1299">
        <f>SUM(CZ773:DD776)</f>
        <v>0</v>
      </c>
      <c r="DA777" s="1300"/>
      <c r="DB777" s="1300"/>
      <c r="DC777" s="1300"/>
      <c r="DD777" s="1301"/>
      <c r="DE777" s="1299">
        <f>SUM(DE773:DI776)</f>
        <v>1</v>
      </c>
      <c r="DF777" s="1300"/>
      <c r="DG777" s="1300"/>
      <c r="DH777" s="1300"/>
      <c r="DI777" s="1301"/>
      <c r="DJ777" s="1299">
        <f>SUM(DJ773:DN776)</f>
        <v>0</v>
      </c>
      <c r="DK777" s="1300"/>
      <c r="DL777" s="1300"/>
      <c r="DM777" s="1300"/>
      <c r="DN777" s="1301"/>
      <c r="DO777" s="1299">
        <f>SUM(DO773:DS776)</f>
        <v>0</v>
      </c>
      <c r="DP777" s="1300"/>
      <c r="DQ777" s="1300"/>
      <c r="DR777" s="1300"/>
      <c r="DS777" s="1301"/>
      <c r="DU777" s="683">
        <f>CP777+CU777+CZ777+DE777+DJ777+DO777</f>
        <v>1</v>
      </c>
      <c r="DV777" s="38" t="s">
        <v>1491</v>
      </c>
    </row>
    <row r="778" spans="1:126" ht="13.2" customHeight="1">
      <c r="J778" s="37"/>
      <c r="K778" s="37"/>
      <c r="L778" s="37"/>
      <c r="M778" s="37"/>
      <c r="N778" s="37"/>
      <c r="O778" s="1179"/>
      <c r="P778" s="1179"/>
      <c r="Q778" s="1179"/>
      <c r="R778" s="1179"/>
      <c r="S778" s="1179"/>
      <c r="T778" s="37"/>
      <c r="U778" s="37"/>
      <c r="V778" s="37"/>
      <c r="W778" s="37"/>
      <c r="X778" s="37"/>
      <c r="Y778" s="770"/>
      <c r="Z778" s="1154"/>
      <c r="AA778" s="1154"/>
      <c r="AB778" s="1154"/>
      <c r="AC778" s="1154"/>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3">
        <f>CP777*1</f>
        <v>0</v>
      </c>
      <c r="CU778" s="2"/>
      <c r="CV778" s="2"/>
      <c r="CW778" s="2"/>
      <c r="CX778" s="2"/>
      <c r="CY778" s="683">
        <f>CU777*1</f>
        <v>0</v>
      </c>
      <c r="CZ778" s="2"/>
      <c r="DA778" s="2"/>
      <c r="DB778" s="2"/>
      <c r="DC778" s="2"/>
      <c r="DD778" s="683">
        <f>CZ777*2</f>
        <v>0</v>
      </c>
      <c r="DE778" s="2"/>
      <c r="DF778" s="2"/>
      <c r="DG778" s="2"/>
      <c r="DH778" s="2"/>
      <c r="DI778" s="683">
        <f>DE777*3</f>
        <v>3</v>
      </c>
      <c r="DJ778" s="2"/>
      <c r="DK778" s="2"/>
      <c r="DL778" s="2"/>
      <c r="DM778" s="2"/>
      <c r="DN778" s="683">
        <f>DJ777*4</f>
        <v>0</v>
      </c>
      <c r="DO778" s="2"/>
      <c r="DP778" s="2"/>
      <c r="DQ778" s="2"/>
      <c r="DR778" s="2"/>
      <c r="DS778" s="683">
        <f>DO777*5</f>
        <v>0</v>
      </c>
      <c r="DU778" s="683">
        <f>CT778+CY778+DD778+DI778+DN778+DS778</f>
        <v>3</v>
      </c>
      <c r="DV778" s="38" t="s">
        <v>1492</v>
      </c>
    </row>
    <row r="779" spans="1:126" ht="13.2" customHeight="1">
      <c r="B779" s="37"/>
      <c r="C779" s="37"/>
      <c r="D779" s="37"/>
      <c r="E779" s="37"/>
      <c r="F779" s="37"/>
      <c r="G779" s="1179"/>
      <c r="H779" s="1179"/>
      <c r="I779" s="1179"/>
      <c r="J779" s="1347" t="s">
        <v>844</v>
      </c>
      <c r="K779" s="1347"/>
      <c r="L779" s="37"/>
      <c r="M779" s="68" t="s">
        <v>1493</v>
      </c>
      <c r="N779" s="37"/>
      <c r="O779" s="37"/>
      <c r="P779" s="37"/>
      <c r="Q779" s="1179"/>
      <c r="R779" s="1179"/>
      <c r="S779" s="1179"/>
      <c r="T779" s="1179"/>
      <c r="U779" s="1179"/>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3.2" customHeight="1">
      <c r="B780" s="37"/>
      <c r="C780" s="37"/>
      <c r="D780" s="37"/>
      <c r="E780" s="37"/>
      <c r="F780" s="37"/>
      <c r="G780" s="1179"/>
      <c r="H780" s="1179"/>
      <c r="I780" s="1179"/>
      <c r="J780" s="1179"/>
      <c r="K780" s="1179"/>
      <c r="L780" s="37"/>
      <c r="M780" s="68" t="s">
        <v>1494</v>
      </c>
      <c r="N780" s="37"/>
      <c r="O780" s="37"/>
      <c r="P780" s="37"/>
      <c r="Q780" s="1179"/>
      <c r="R780" s="1179"/>
      <c r="S780" s="1179"/>
      <c r="T780" s="1179"/>
      <c r="U780" s="1179"/>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3.2" customHeight="1">
      <c r="A781" s="1" t="s">
        <v>990</v>
      </c>
      <c r="B781" s="38"/>
      <c r="C781" s="38" t="s">
        <v>209</v>
      </c>
      <c r="D781" s="37"/>
      <c r="E781" s="37"/>
      <c r="F781" s="37"/>
      <c r="G781" s="1179"/>
      <c r="H781" s="1179"/>
      <c r="I781" s="1179"/>
      <c r="J781" s="1179"/>
      <c r="K781" s="1179"/>
      <c r="L781" s="37"/>
      <c r="M781" s="37"/>
      <c r="N781" s="37"/>
      <c r="O781" s="37"/>
      <c r="P781" s="37"/>
      <c r="Q781" s="1179"/>
      <c r="R781" s="1179"/>
      <c r="S781" s="1179"/>
      <c r="T781" s="1179"/>
      <c r="U781" s="1179"/>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3.2" customHeight="1">
      <c r="B782" s="37"/>
      <c r="C782" s="37"/>
      <c r="D782" s="37"/>
      <c r="E782" s="37"/>
      <c r="F782" s="37"/>
      <c r="G782" s="1179"/>
      <c r="H782" s="1179"/>
      <c r="I782" s="1179"/>
      <c r="J782" s="363"/>
      <c r="K782" s="1179"/>
      <c r="L782" s="37"/>
      <c r="M782" s="37"/>
      <c r="N782" s="37"/>
      <c r="O782" s="37"/>
      <c r="P782" s="37"/>
      <c r="Q782" s="1179"/>
      <c r="R782" s="1179"/>
      <c r="S782" s="1179"/>
      <c r="T782" s="1179"/>
      <c r="U782" s="1179"/>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3.2" customHeight="1">
      <c r="J783" s="1449" t="s">
        <v>1454</v>
      </c>
      <c r="K783" s="1450"/>
      <c r="L783" s="1450"/>
      <c r="M783" s="1450"/>
      <c r="N783" s="1451"/>
      <c r="O783" s="1537" t="s">
        <v>1455</v>
      </c>
      <c r="P783" s="1537"/>
      <c r="Q783" s="1537"/>
      <c r="R783" s="1537"/>
      <c r="S783" s="1537"/>
      <c r="T783" s="1465" t="s">
        <v>1456</v>
      </c>
      <c r="U783" s="1466"/>
      <c r="V783" s="1466"/>
      <c r="W783" s="1467"/>
      <c r="X783" s="1449" t="s">
        <v>1457</v>
      </c>
      <c r="Y783" s="1450"/>
      <c r="Z783" s="1450"/>
      <c r="AA783" s="1450"/>
      <c r="AB783" s="1451"/>
      <c r="AC783" s="1449" t="s">
        <v>1489</v>
      </c>
      <c r="AD783" s="1450"/>
      <c r="AE783" s="1450"/>
      <c r="AF783" s="1450"/>
      <c r="AG783" s="1451"/>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3.2" customHeight="1">
      <c r="J784" s="1452"/>
      <c r="K784" s="1453"/>
      <c r="L784" s="1453"/>
      <c r="M784" s="1453"/>
      <c r="N784" s="1454"/>
      <c r="O784" s="1537"/>
      <c r="P784" s="1537"/>
      <c r="Q784" s="1537"/>
      <c r="R784" s="1537"/>
      <c r="S784" s="1537"/>
      <c r="T784" s="1468"/>
      <c r="U784" s="1469"/>
      <c r="V784" s="1469"/>
      <c r="W784" s="1470"/>
      <c r="X784" s="1452"/>
      <c r="Y784" s="1453"/>
      <c r="Z784" s="1453"/>
      <c r="AA784" s="1453"/>
      <c r="AB784" s="1454"/>
      <c r="AC784" s="1452"/>
      <c r="AD784" s="1453"/>
      <c r="AE784" s="1453"/>
      <c r="AF784" s="1453"/>
      <c r="AG784" s="1454"/>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3.2" customHeight="1">
      <c r="J785" s="1452"/>
      <c r="K785" s="1453"/>
      <c r="L785" s="1453"/>
      <c r="M785" s="1453"/>
      <c r="N785" s="1454"/>
      <c r="O785" s="1537"/>
      <c r="P785" s="1537"/>
      <c r="Q785" s="1537"/>
      <c r="R785" s="1537"/>
      <c r="S785" s="1537"/>
      <c r="T785" s="1468"/>
      <c r="U785" s="1469"/>
      <c r="V785" s="1469"/>
      <c r="W785" s="1470"/>
      <c r="X785" s="1452"/>
      <c r="Y785" s="1453"/>
      <c r="Z785" s="1453"/>
      <c r="AA785" s="1453"/>
      <c r="AB785" s="1454"/>
      <c r="AC785" s="1452"/>
      <c r="AD785" s="1453"/>
      <c r="AE785" s="1453"/>
      <c r="AF785" s="1453"/>
      <c r="AG785" s="1454"/>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3.2" customHeight="1">
      <c r="J786" s="1455"/>
      <c r="K786" s="1456"/>
      <c r="L786" s="1456"/>
      <c r="M786" s="1456"/>
      <c r="N786" s="1457"/>
      <c r="O786" s="1537"/>
      <c r="P786" s="1537"/>
      <c r="Q786" s="1537"/>
      <c r="R786" s="1537"/>
      <c r="S786" s="1537"/>
      <c r="T786" s="1545"/>
      <c r="U786" s="1546"/>
      <c r="V786" s="1546"/>
      <c r="W786" s="1547"/>
      <c r="X786" s="1455"/>
      <c r="Y786" s="1456"/>
      <c r="Z786" s="1456"/>
      <c r="AA786" s="1456"/>
      <c r="AB786" s="1457"/>
      <c r="AC786" s="1455"/>
      <c r="AD786" s="1456"/>
      <c r="AE786" s="1456"/>
      <c r="AF786" s="1456"/>
      <c r="AG786" s="1457"/>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1495</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1496</v>
      </c>
      <c r="DV786" s="2"/>
      <c r="DW786" s="2"/>
      <c r="DX786" s="2"/>
      <c r="DY786" s="2"/>
      <c r="DZ786" s="2"/>
      <c r="EA786" s="2"/>
      <c r="EB786" s="2"/>
      <c r="EC786" s="2"/>
      <c r="ED786" s="2"/>
      <c r="EE786" s="2"/>
      <c r="EF786" s="2"/>
      <c r="EG786" s="2"/>
      <c r="EH786" s="2"/>
    </row>
    <row r="787" spans="1:154" ht="13.2" customHeight="1">
      <c r="J787" s="1313"/>
      <c r="K787" s="1314"/>
      <c r="L787" s="1314"/>
      <c r="M787" s="1314"/>
      <c r="N787" s="1315"/>
      <c r="O787" s="1420"/>
      <c r="P787" s="1420"/>
      <c r="Q787" s="1420"/>
      <c r="R787" s="1420"/>
      <c r="S787" s="1420"/>
      <c r="T787" s="1539"/>
      <c r="U787" s="1540"/>
      <c r="V787" s="1540"/>
      <c r="W787" s="1541"/>
      <c r="X787" s="1424"/>
      <c r="Y787" s="1425"/>
      <c r="Z787" s="1425"/>
      <c r="AA787" s="1425"/>
      <c r="AB787" s="1426"/>
      <c r="AC787" s="1316">
        <f t="shared" ref="AC787:AC796" si="40">X787*O787</f>
        <v>0</v>
      </c>
      <c r="AD787" s="1317"/>
      <c r="AE787" s="1317"/>
      <c r="AF787" s="1317"/>
      <c r="AG787" s="1318"/>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296">
        <f t="shared" ref="CP787:CP796" si="41">IF(J787="SRO/Studio",O787,0)</f>
        <v>0</v>
      </c>
      <c r="CQ787" s="1297"/>
      <c r="CR787" s="1297"/>
      <c r="CS787" s="1297"/>
      <c r="CT787" s="1298"/>
      <c r="CU787" s="1296">
        <f t="shared" ref="CU787:CU796" si="42">IF(J787="1 Bedroom",O787,0)</f>
        <v>0</v>
      </c>
      <c r="CV787" s="1297"/>
      <c r="CW787" s="1297"/>
      <c r="CX787" s="1297"/>
      <c r="CY787" s="1298"/>
      <c r="CZ787" s="1296">
        <f t="shared" ref="CZ787:CZ796" si="43">IF(J787="2 Bedrooms",O787,0)</f>
        <v>0</v>
      </c>
      <c r="DA787" s="1297"/>
      <c r="DB787" s="1297"/>
      <c r="DC787" s="1297"/>
      <c r="DD787" s="1298"/>
      <c r="DE787" s="1296">
        <f t="shared" ref="DE787:DE796" si="44">IF(J787="3 Bedrooms",O787,0)</f>
        <v>0</v>
      </c>
      <c r="DF787" s="1297"/>
      <c r="DG787" s="1297"/>
      <c r="DH787" s="1297"/>
      <c r="DI787" s="1298"/>
      <c r="DJ787" s="1296">
        <f t="shared" ref="DJ787:DJ796" si="45">IF(J787="4 Bedrooms",O787,0)</f>
        <v>0</v>
      </c>
      <c r="DK787" s="1297"/>
      <c r="DL787" s="1297"/>
      <c r="DM787" s="1297"/>
      <c r="DN787" s="1298"/>
      <c r="DO787" s="1296">
        <f t="shared" ref="DO787:DO796" si="46">IF(J787="5 Bedrooms",O787,0)</f>
        <v>0</v>
      </c>
      <c r="DP787" s="1297"/>
      <c r="DQ787" s="1297"/>
      <c r="DR787" s="1297"/>
      <c r="DS787" s="1298"/>
      <c r="DT787" s="1179"/>
      <c r="DU787" s="1296">
        <f t="shared" ref="DU787:DU796" si="47">IF(AND(CP787&gt;=1,AH787&gt;=0.1,AH787&lt;=1),O787,0)</f>
        <v>0</v>
      </c>
      <c r="DV787" s="1297"/>
      <c r="DW787" s="1297"/>
      <c r="DX787" s="1297"/>
      <c r="DY787" s="1298"/>
      <c r="DZ787" s="1296">
        <f t="shared" ref="DZ787:DZ796" si="48">IF(AND(CU787&gt;=1,AH787&gt;=0.1,AH787&lt;=1),O787,0)</f>
        <v>0</v>
      </c>
      <c r="EA787" s="1297"/>
      <c r="EB787" s="1297"/>
      <c r="EC787" s="1297"/>
      <c r="ED787" s="1298"/>
      <c r="EE787" s="1296">
        <f t="shared" ref="EE787:EE796" si="49">IF(AND(CZ787&gt;=1,AH787&gt;=0.1,AH787&lt;=1),O787,0)</f>
        <v>0</v>
      </c>
      <c r="EF787" s="1297"/>
      <c r="EG787" s="1297"/>
      <c r="EH787" s="1297"/>
      <c r="EI787" s="1298"/>
      <c r="EJ787" s="1296">
        <f t="shared" ref="EJ787:EJ796" si="50">IF(AND(DE787&gt;=1,AH787&gt;=0.1,AH787&lt;=1),O787,0)</f>
        <v>0</v>
      </c>
      <c r="EK787" s="1297"/>
      <c r="EL787" s="1297"/>
      <c r="EM787" s="1297"/>
      <c r="EN787" s="1298"/>
      <c r="EO787" s="1296">
        <f t="shared" ref="EO787:EO796" si="51">IF(AND(DJ787&gt;=1,AH787&gt;=0.1,AH787&lt;=1),O787,0)</f>
        <v>0</v>
      </c>
      <c r="EP787" s="1297"/>
      <c r="EQ787" s="1297"/>
      <c r="ER787" s="1297"/>
      <c r="ES787" s="1298"/>
      <c r="ET787" s="1296">
        <f t="shared" ref="ET787:ET796" si="52">IF(AND(DO787&gt;=1,AH787&gt;=0.1,AH787&lt;=1),O787,0)</f>
        <v>0</v>
      </c>
      <c r="EU787" s="1297"/>
      <c r="EV787" s="1297"/>
      <c r="EW787" s="1297"/>
      <c r="EX787" s="1298"/>
    </row>
    <row r="788" spans="1:154" s="11" customFormat="1" ht="13.2" customHeight="1">
      <c r="A788"/>
      <c r="B788"/>
      <c r="C788"/>
      <c r="D788"/>
      <c r="E788"/>
      <c r="F788"/>
      <c r="G788"/>
      <c r="H788"/>
      <c r="I788"/>
      <c r="J788" s="1313"/>
      <c r="K788" s="1314"/>
      <c r="L788" s="1314"/>
      <c r="M788" s="1314"/>
      <c r="N788" s="1315"/>
      <c r="O788" s="1420"/>
      <c r="P788" s="1420"/>
      <c r="Q788" s="1420"/>
      <c r="R788" s="1420"/>
      <c r="S788" s="1420"/>
      <c r="T788" s="1539"/>
      <c r="U788" s="1540"/>
      <c r="V788" s="1540"/>
      <c r="W788" s="1541"/>
      <c r="X788" s="1424"/>
      <c r="Y788" s="1425"/>
      <c r="Z788" s="1425"/>
      <c r="AA788" s="1425"/>
      <c r="AB788" s="1426"/>
      <c r="AC788" s="1316">
        <f t="shared" si="40"/>
        <v>0</v>
      </c>
      <c r="AD788" s="1317"/>
      <c r="AE788" s="1317"/>
      <c r="AF788" s="1317"/>
      <c r="AG788" s="1318"/>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296">
        <f t="shared" si="41"/>
        <v>0</v>
      </c>
      <c r="CQ788" s="1297"/>
      <c r="CR788" s="1297"/>
      <c r="CS788" s="1297"/>
      <c r="CT788" s="1298"/>
      <c r="CU788" s="1296">
        <f t="shared" si="42"/>
        <v>0</v>
      </c>
      <c r="CV788" s="1297"/>
      <c r="CW788" s="1297"/>
      <c r="CX788" s="1297"/>
      <c r="CY788" s="1298"/>
      <c r="CZ788" s="1296">
        <f t="shared" si="43"/>
        <v>0</v>
      </c>
      <c r="DA788" s="1297"/>
      <c r="DB788" s="1297"/>
      <c r="DC788" s="1297"/>
      <c r="DD788" s="1298"/>
      <c r="DE788" s="1296">
        <f t="shared" si="44"/>
        <v>0</v>
      </c>
      <c r="DF788" s="1297"/>
      <c r="DG788" s="1297"/>
      <c r="DH788" s="1297"/>
      <c r="DI788" s="1298"/>
      <c r="DJ788" s="1296">
        <f t="shared" si="45"/>
        <v>0</v>
      </c>
      <c r="DK788" s="1297"/>
      <c r="DL788" s="1297"/>
      <c r="DM788" s="1297"/>
      <c r="DN788" s="1298"/>
      <c r="DO788" s="1296">
        <f t="shared" si="46"/>
        <v>0</v>
      </c>
      <c r="DP788" s="1297"/>
      <c r="DQ788" s="1297"/>
      <c r="DR788" s="1297"/>
      <c r="DS788" s="1298"/>
      <c r="DT788" s="1179"/>
      <c r="DU788" s="1296">
        <f t="shared" si="47"/>
        <v>0</v>
      </c>
      <c r="DV788" s="1297"/>
      <c r="DW788" s="1297"/>
      <c r="DX788" s="1297"/>
      <c r="DY788" s="1298"/>
      <c r="DZ788" s="1296">
        <f t="shared" si="48"/>
        <v>0</v>
      </c>
      <c r="EA788" s="1297"/>
      <c r="EB788" s="1297"/>
      <c r="EC788" s="1297"/>
      <c r="ED788" s="1298"/>
      <c r="EE788" s="1296">
        <f t="shared" si="49"/>
        <v>0</v>
      </c>
      <c r="EF788" s="1297"/>
      <c r="EG788" s="1297"/>
      <c r="EH788" s="1297"/>
      <c r="EI788" s="1298"/>
      <c r="EJ788" s="1296">
        <f t="shared" si="50"/>
        <v>0</v>
      </c>
      <c r="EK788" s="1297"/>
      <c r="EL788" s="1297"/>
      <c r="EM788" s="1297"/>
      <c r="EN788" s="1298"/>
      <c r="EO788" s="1296">
        <f t="shared" si="51"/>
        <v>0</v>
      </c>
      <c r="EP788" s="1297"/>
      <c r="EQ788" s="1297"/>
      <c r="ER788" s="1297"/>
      <c r="ES788" s="1298"/>
      <c r="ET788" s="1296">
        <f t="shared" si="52"/>
        <v>0</v>
      </c>
      <c r="EU788" s="1297"/>
      <c r="EV788" s="1297"/>
      <c r="EW788" s="1297"/>
      <c r="EX788" s="1298"/>
    </row>
    <row r="789" spans="1:154" s="11" customFormat="1" ht="13.2" customHeight="1">
      <c r="A789"/>
      <c r="B789"/>
      <c r="C789"/>
      <c r="D789"/>
      <c r="E789"/>
      <c r="F789"/>
      <c r="G789"/>
      <c r="H789"/>
      <c r="I789"/>
      <c r="J789" s="1313"/>
      <c r="K789" s="1314"/>
      <c r="L789" s="1314"/>
      <c r="M789" s="1314"/>
      <c r="N789" s="1315"/>
      <c r="O789" s="1420"/>
      <c r="P789" s="1420"/>
      <c r="Q789" s="1420"/>
      <c r="R789" s="1420"/>
      <c r="S789" s="1420"/>
      <c r="T789" s="1539"/>
      <c r="U789" s="1540"/>
      <c r="V789" s="1540"/>
      <c r="W789" s="1541"/>
      <c r="X789" s="1424"/>
      <c r="Y789" s="1425"/>
      <c r="Z789" s="1425"/>
      <c r="AA789" s="1425"/>
      <c r="AB789" s="1426"/>
      <c r="AC789" s="1316">
        <f t="shared" si="40"/>
        <v>0</v>
      </c>
      <c r="AD789" s="1317"/>
      <c r="AE789" s="1317"/>
      <c r="AF789" s="1317"/>
      <c r="AG789" s="1318"/>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296">
        <f t="shared" si="41"/>
        <v>0</v>
      </c>
      <c r="CQ789" s="1297"/>
      <c r="CR789" s="1297"/>
      <c r="CS789" s="1297"/>
      <c r="CT789" s="1298"/>
      <c r="CU789" s="1296">
        <f t="shared" si="42"/>
        <v>0</v>
      </c>
      <c r="CV789" s="1297"/>
      <c r="CW789" s="1297"/>
      <c r="CX789" s="1297"/>
      <c r="CY789" s="1298"/>
      <c r="CZ789" s="1296">
        <f t="shared" si="43"/>
        <v>0</v>
      </c>
      <c r="DA789" s="1297"/>
      <c r="DB789" s="1297"/>
      <c r="DC789" s="1297"/>
      <c r="DD789" s="1298"/>
      <c r="DE789" s="1296">
        <f t="shared" si="44"/>
        <v>0</v>
      </c>
      <c r="DF789" s="1297"/>
      <c r="DG789" s="1297"/>
      <c r="DH789" s="1297"/>
      <c r="DI789" s="1298"/>
      <c r="DJ789" s="1296">
        <f t="shared" si="45"/>
        <v>0</v>
      </c>
      <c r="DK789" s="1297"/>
      <c r="DL789" s="1297"/>
      <c r="DM789" s="1297"/>
      <c r="DN789" s="1298"/>
      <c r="DO789" s="1296">
        <f t="shared" si="46"/>
        <v>0</v>
      </c>
      <c r="DP789" s="1297"/>
      <c r="DQ789" s="1297"/>
      <c r="DR789" s="1297"/>
      <c r="DS789" s="1298"/>
      <c r="DT789" s="1179"/>
      <c r="DU789" s="1296">
        <f t="shared" si="47"/>
        <v>0</v>
      </c>
      <c r="DV789" s="1297"/>
      <c r="DW789" s="1297"/>
      <c r="DX789" s="1297"/>
      <c r="DY789" s="1298"/>
      <c r="DZ789" s="1296">
        <f t="shared" si="48"/>
        <v>0</v>
      </c>
      <c r="EA789" s="1297"/>
      <c r="EB789" s="1297"/>
      <c r="EC789" s="1297"/>
      <c r="ED789" s="1298"/>
      <c r="EE789" s="1296">
        <f t="shared" si="49"/>
        <v>0</v>
      </c>
      <c r="EF789" s="1297"/>
      <c r="EG789" s="1297"/>
      <c r="EH789" s="1297"/>
      <c r="EI789" s="1298"/>
      <c r="EJ789" s="1296">
        <f t="shared" si="50"/>
        <v>0</v>
      </c>
      <c r="EK789" s="1297"/>
      <c r="EL789" s="1297"/>
      <c r="EM789" s="1297"/>
      <c r="EN789" s="1298"/>
      <c r="EO789" s="1296">
        <f t="shared" si="51"/>
        <v>0</v>
      </c>
      <c r="EP789" s="1297"/>
      <c r="EQ789" s="1297"/>
      <c r="ER789" s="1297"/>
      <c r="ES789" s="1298"/>
      <c r="ET789" s="1296">
        <f t="shared" si="52"/>
        <v>0</v>
      </c>
      <c r="EU789" s="1297"/>
      <c r="EV789" s="1297"/>
      <c r="EW789" s="1297"/>
      <c r="EX789" s="1298"/>
    </row>
    <row r="790" spans="1:154" s="11" customFormat="1" ht="13.2" customHeight="1">
      <c r="A790"/>
      <c r="B790"/>
      <c r="C790"/>
      <c r="D790"/>
      <c r="E790"/>
      <c r="F790"/>
      <c r="G790"/>
      <c r="H790"/>
      <c r="I790"/>
      <c r="J790" s="1313"/>
      <c r="K790" s="1314"/>
      <c r="L790" s="1314"/>
      <c r="M790" s="1314"/>
      <c r="N790" s="1315"/>
      <c r="O790" s="1420"/>
      <c r="P790" s="1420"/>
      <c r="Q790" s="1420"/>
      <c r="R790" s="1420"/>
      <c r="S790" s="1420"/>
      <c r="T790" s="1539"/>
      <c r="U790" s="1540"/>
      <c r="V790" s="1540"/>
      <c r="W790" s="1541"/>
      <c r="X790" s="1424"/>
      <c r="Y790" s="1425"/>
      <c r="Z790" s="1425"/>
      <c r="AA790" s="1425"/>
      <c r="AB790" s="1426"/>
      <c r="AC790" s="1316">
        <f t="shared" si="40"/>
        <v>0</v>
      </c>
      <c r="AD790" s="1317"/>
      <c r="AE790" s="1317"/>
      <c r="AF790" s="1317"/>
      <c r="AG790" s="1318"/>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296">
        <f t="shared" si="41"/>
        <v>0</v>
      </c>
      <c r="CQ790" s="1297"/>
      <c r="CR790" s="1297"/>
      <c r="CS790" s="1297"/>
      <c r="CT790" s="1298"/>
      <c r="CU790" s="1296">
        <f t="shared" si="42"/>
        <v>0</v>
      </c>
      <c r="CV790" s="1297"/>
      <c r="CW790" s="1297"/>
      <c r="CX790" s="1297"/>
      <c r="CY790" s="1298"/>
      <c r="CZ790" s="1296">
        <f t="shared" si="43"/>
        <v>0</v>
      </c>
      <c r="DA790" s="1297"/>
      <c r="DB790" s="1297"/>
      <c r="DC790" s="1297"/>
      <c r="DD790" s="1298"/>
      <c r="DE790" s="1296">
        <f t="shared" si="44"/>
        <v>0</v>
      </c>
      <c r="DF790" s="1297"/>
      <c r="DG790" s="1297"/>
      <c r="DH790" s="1297"/>
      <c r="DI790" s="1298"/>
      <c r="DJ790" s="1296">
        <f t="shared" si="45"/>
        <v>0</v>
      </c>
      <c r="DK790" s="1297"/>
      <c r="DL790" s="1297"/>
      <c r="DM790" s="1297"/>
      <c r="DN790" s="1298"/>
      <c r="DO790" s="1296">
        <f t="shared" si="46"/>
        <v>0</v>
      </c>
      <c r="DP790" s="1297"/>
      <c r="DQ790" s="1297"/>
      <c r="DR790" s="1297"/>
      <c r="DS790" s="1298"/>
      <c r="DT790" s="1179"/>
      <c r="DU790" s="1296">
        <f t="shared" si="47"/>
        <v>0</v>
      </c>
      <c r="DV790" s="1297"/>
      <c r="DW790" s="1297"/>
      <c r="DX790" s="1297"/>
      <c r="DY790" s="1298"/>
      <c r="DZ790" s="1296">
        <f t="shared" si="48"/>
        <v>0</v>
      </c>
      <c r="EA790" s="1297"/>
      <c r="EB790" s="1297"/>
      <c r="EC790" s="1297"/>
      <c r="ED790" s="1298"/>
      <c r="EE790" s="1296">
        <f t="shared" si="49"/>
        <v>0</v>
      </c>
      <c r="EF790" s="1297"/>
      <c r="EG790" s="1297"/>
      <c r="EH790" s="1297"/>
      <c r="EI790" s="1298"/>
      <c r="EJ790" s="1296">
        <f t="shared" si="50"/>
        <v>0</v>
      </c>
      <c r="EK790" s="1297"/>
      <c r="EL790" s="1297"/>
      <c r="EM790" s="1297"/>
      <c r="EN790" s="1298"/>
      <c r="EO790" s="1296">
        <f t="shared" si="51"/>
        <v>0</v>
      </c>
      <c r="EP790" s="1297"/>
      <c r="EQ790" s="1297"/>
      <c r="ER790" s="1297"/>
      <c r="ES790" s="1298"/>
      <c r="ET790" s="1296">
        <f t="shared" si="52"/>
        <v>0</v>
      </c>
      <c r="EU790" s="1297"/>
      <c r="EV790" s="1297"/>
      <c r="EW790" s="1297"/>
      <c r="EX790" s="1298"/>
    </row>
    <row r="791" spans="1:154" s="11" customFormat="1" ht="13.2" customHeight="1">
      <c r="A791"/>
      <c r="B791"/>
      <c r="C791"/>
      <c r="D791"/>
      <c r="E791"/>
      <c r="F791"/>
      <c r="G791"/>
      <c r="H791"/>
      <c r="I791"/>
      <c r="J791" s="1313"/>
      <c r="K791" s="1314"/>
      <c r="L791" s="1314"/>
      <c r="M791" s="1314"/>
      <c r="N791" s="1315"/>
      <c r="O791" s="1420"/>
      <c r="P791" s="1420"/>
      <c r="Q791" s="1420"/>
      <c r="R791" s="1420"/>
      <c r="S791" s="1420"/>
      <c r="T791" s="1539"/>
      <c r="U791" s="1540"/>
      <c r="V791" s="1540"/>
      <c r="W791" s="1541"/>
      <c r="X791" s="1424"/>
      <c r="Y791" s="1425"/>
      <c r="Z791" s="1425"/>
      <c r="AA791" s="1425"/>
      <c r="AB791" s="1426"/>
      <c r="AC791" s="1316">
        <f t="shared" si="40"/>
        <v>0</v>
      </c>
      <c r="AD791" s="1317"/>
      <c r="AE791" s="1317"/>
      <c r="AF791" s="1317"/>
      <c r="AG791" s="1318"/>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296">
        <f t="shared" si="41"/>
        <v>0</v>
      </c>
      <c r="CQ791" s="1297"/>
      <c r="CR791" s="1297"/>
      <c r="CS791" s="1297"/>
      <c r="CT791" s="1298"/>
      <c r="CU791" s="1296">
        <f t="shared" si="42"/>
        <v>0</v>
      </c>
      <c r="CV791" s="1297"/>
      <c r="CW791" s="1297"/>
      <c r="CX791" s="1297"/>
      <c r="CY791" s="1298"/>
      <c r="CZ791" s="1296">
        <f t="shared" si="43"/>
        <v>0</v>
      </c>
      <c r="DA791" s="1297"/>
      <c r="DB791" s="1297"/>
      <c r="DC791" s="1297"/>
      <c r="DD791" s="1298"/>
      <c r="DE791" s="1296">
        <f t="shared" si="44"/>
        <v>0</v>
      </c>
      <c r="DF791" s="1297"/>
      <c r="DG791" s="1297"/>
      <c r="DH791" s="1297"/>
      <c r="DI791" s="1298"/>
      <c r="DJ791" s="1296">
        <f t="shared" si="45"/>
        <v>0</v>
      </c>
      <c r="DK791" s="1297"/>
      <c r="DL791" s="1297"/>
      <c r="DM791" s="1297"/>
      <c r="DN791" s="1298"/>
      <c r="DO791" s="1296">
        <f t="shared" si="46"/>
        <v>0</v>
      </c>
      <c r="DP791" s="1297"/>
      <c r="DQ791" s="1297"/>
      <c r="DR791" s="1297"/>
      <c r="DS791" s="1298"/>
      <c r="DT791" s="1179"/>
      <c r="DU791" s="1296">
        <f t="shared" si="47"/>
        <v>0</v>
      </c>
      <c r="DV791" s="1297"/>
      <c r="DW791" s="1297"/>
      <c r="DX791" s="1297"/>
      <c r="DY791" s="1298"/>
      <c r="DZ791" s="1296">
        <f t="shared" si="48"/>
        <v>0</v>
      </c>
      <c r="EA791" s="1297"/>
      <c r="EB791" s="1297"/>
      <c r="EC791" s="1297"/>
      <c r="ED791" s="1298"/>
      <c r="EE791" s="1296">
        <f t="shared" si="49"/>
        <v>0</v>
      </c>
      <c r="EF791" s="1297"/>
      <c r="EG791" s="1297"/>
      <c r="EH791" s="1297"/>
      <c r="EI791" s="1298"/>
      <c r="EJ791" s="1296">
        <f t="shared" si="50"/>
        <v>0</v>
      </c>
      <c r="EK791" s="1297"/>
      <c r="EL791" s="1297"/>
      <c r="EM791" s="1297"/>
      <c r="EN791" s="1298"/>
      <c r="EO791" s="1296">
        <f t="shared" si="51"/>
        <v>0</v>
      </c>
      <c r="EP791" s="1297"/>
      <c r="EQ791" s="1297"/>
      <c r="ER791" s="1297"/>
      <c r="ES791" s="1298"/>
      <c r="ET791" s="1296">
        <f t="shared" si="52"/>
        <v>0</v>
      </c>
      <c r="EU791" s="1297"/>
      <c r="EV791" s="1297"/>
      <c r="EW791" s="1297"/>
      <c r="EX791" s="1298"/>
    </row>
    <row r="792" spans="1:154" s="11" customFormat="1" ht="13.2" customHeight="1">
      <c r="A792"/>
      <c r="B792"/>
      <c r="C792"/>
      <c r="D792"/>
      <c r="E792"/>
      <c r="F792"/>
      <c r="G792"/>
      <c r="H792"/>
      <c r="I792"/>
      <c r="J792" s="1313"/>
      <c r="K792" s="1314"/>
      <c r="L792" s="1314"/>
      <c r="M792" s="1314"/>
      <c r="N792" s="1315"/>
      <c r="O792" s="1420"/>
      <c r="P792" s="1420"/>
      <c r="Q792" s="1420"/>
      <c r="R792" s="1420"/>
      <c r="S792" s="1420"/>
      <c r="T792" s="1539"/>
      <c r="U792" s="1540"/>
      <c r="V792" s="1540"/>
      <c r="W792" s="1541"/>
      <c r="X792" s="1424"/>
      <c r="Y792" s="1425"/>
      <c r="Z792" s="1425"/>
      <c r="AA792" s="1425"/>
      <c r="AB792" s="1426"/>
      <c r="AC792" s="1316">
        <f t="shared" si="40"/>
        <v>0</v>
      </c>
      <c r="AD792" s="1317"/>
      <c r="AE792" s="1317"/>
      <c r="AF792" s="1317"/>
      <c r="AG792" s="1318"/>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296">
        <f t="shared" si="41"/>
        <v>0</v>
      </c>
      <c r="CQ792" s="1297"/>
      <c r="CR792" s="1297"/>
      <c r="CS792" s="1297"/>
      <c r="CT792" s="1298"/>
      <c r="CU792" s="1296">
        <f t="shared" si="42"/>
        <v>0</v>
      </c>
      <c r="CV792" s="1297"/>
      <c r="CW792" s="1297"/>
      <c r="CX792" s="1297"/>
      <c r="CY792" s="1298"/>
      <c r="CZ792" s="1296">
        <f t="shared" si="43"/>
        <v>0</v>
      </c>
      <c r="DA792" s="1297"/>
      <c r="DB792" s="1297"/>
      <c r="DC792" s="1297"/>
      <c r="DD792" s="1298"/>
      <c r="DE792" s="1296">
        <f t="shared" si="44"/>
        <v>0</v>
      </c>
      <c r="DF792" s="1297"/>
      <c r="DG792" s="1297"/>
      <c r="DH792" s="1297"/>
      <c r="DI792" s="1298"/>
      <c r="DJ792" s="1296">
        <f t="shared" si="45"/>
        <v>0</v>
      </c>
      <c r="DK792" s="1297"/>
      <c r="DL792" s="1297"/>
      <c r="DM792" s="1297"/>
      <c r="DN792" s="1298"/>
      <c r="DO792" s="1296">
        <f t="shared" si="46"/>
        <v>0</v>
      </c>
      <c r="DP792" s="1297"/>
      <c r="DQ792" s="1297"/>
      <c r="DR792" s="1297"/>
      <c r="DS792" s="1298"/>
      <c r="DT792" s="1179"/>
      <c r="DU792" s="1296">
        <f t="shared" si="47"/>
        <v>0</v>
      </c>
      <c r="DV792" s="1297"/>
      <c r="DW792" s="1297"/>
      <c r="DX792" s="1297"/>
      <c r="DY792" s="1298"/>
      <c r="DZ792" s="1296">
        <f t="shared" si="48"/>
        <v>0</v>
      </c>
      <c r="EA792" s="1297"/>
      <c r="EB792" s="1297"/>
      <c r="EC792" s="1297"/>
      <c r="ED792" s="1298"/>
      <c r="EE792" s="1296">
        <f t="shared" si="49"/>
        <v>0</v>
      </c>
      <c r="EF792" s="1297"/>
      <c r="EG792" s="1297"/>
      <c r="EH792" s="1297"/>
      <c r="EI792" s="1298"/>
      <c r="EJ792" s="1296">
        <f t="shared" si="50"/>
        <v>0</v>
      </c>
      <c r="EK792" s="1297"/>
      <c r="EL792" s="1297"/>
      <c r="EM792" s="1297"/>
      <c r="EN792" s="1298"/>
      <c r="EO792" s="1296">
        <f t="shared" si="51"/>
        <v>0</v>
      </c>
      <c r="EP792" s="1297"/>
      <c r="EQ792" s="1297"/>
      <c r="ER792" s="1297"/>
      <c r="ES792" s="1298"/>
      <c r="ET792" s="1296">
        <f t="shared" si="52"/>
        <v>0</v>
      </c>
      <c r="EU792" s="1297"/>
      <c r="EV792" s="1297"/>
      <c r="EW792" s="1297"/>
      <c r="EX792" s="1298"/>
    </row>
    <row r="793" spans="1:154" s="11" customFormat="1" ht="13.2" customHeight="1">
      <c r="A793"/>
      <c r="B793"/>
      <c r="C793"/>
      <c r="D793"/>
      <c r="E793"/>
      <c r="F793"/>
      <c r="G793"/>
      <c r="H793"/>
      <c r="I793"/>
      <c r="J793" s="1313"/>
      <c r="K793" s="1314"/>
      <c r="L793" s="1314"/>
      <c r="M793" s="1314"/>
      <c r="N793" s="1315"/>
      <c r="O793" s="1420"/>
      <c r="P793" s="1420"/>
      <c r="Q793" s="1420"/>
      <c r="R793" s="1420"/>
      <c r="S793" s="1420"/>
      <c r="T793" s="1539"/>
      <c r="U793" s="1540"/>
      <c r="V793" s="1540"/>
      <c r="W793" s="1541"/>
      <c r="X793" s="1424"/>
      <c r="Y793" s="1425"/>
      <c r="Z793" s="1425"/>
      <c r="AA793" s="1425"/>
      <c r="AB793" s="1426"/>
      <c r="AC793" s="1316">
        <f t="shared" si="40"/>
        <v>0</v>
      </c>
      <c r="AD793" s="1317"/>
      <c r="AE793" s="1317"/>
      <c r="AF793" s="1317"/>
      <c r="AG793" s="1318"/>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296">
        <f t="shared" si="41"/>
        <v>0</v>
      </c>
      <c r="CQ793" s="1297"/>
      <c r="CR793" s="1297"/>
      <c r="CS793" s="1297"/>
      <c r="CT793" s="1298"/>
      <c r="CU793" s="1296">
        <f t="shared" si="42"/>
        <v>0</v>
      </c>
      <c r="CV793" s="1297"/>
      <c r="CW793" s="1297"/>
      <c r="CX793" s="1297"/>
      <c r="CY793" s="1298"/>
      <c r="CZ793" s="1296">
        <f t="shared" si="43"/>
        <v>0</v>
      </c>
      <c r="DA793" s="1297"/>
      <c r="DB793" s="1297"/>
      <c r="DC793" s="1297"/>
      <c r="DD793" s="1298"/>
      <c r="DE793" s="1296">
        <f t="shared" si="44"/>
        <v>0</v>
      </c>
      <c r="DF793" s="1297"/>
      <c r="DG793" s="1297"/>
      <c r="DH793" s="1297"/>
      <c r="DI793" s="1298"/>
      <c r="DJ793" s="1296">
        <f t="shared" si="45"/>
        <v>0</v>
      </c>
      <c r="DK793" s="1297"/>
      <c r="DL793" s="1297"/>
      <c r="DM793" s="1297"/>
      <c r="DN793" s="1298"/>
      <c r="DO793" s="1296">
        <f t="shared" si="46"/>
        <v>0</v>
      </c>
      <c r="DP793" s="1297"/>
      <c r="DQ793" s="1297"/>
      <c r="DR793" s="1297"/>
      <c r="DS793" s="1298"/>
      <c r="DT793" s="1179"/>
      <c r="DU793" s="1296">
        <f t="shared" si="47"/>
        <v>0</v>
      </c>
      <c r="DV793" s="1297"/>
      <c r="DW793" s="1297"/>
      <c r="DX793" s="1297"/>
      <c r="DY793" s="1298"/>
      <c r="DZ793" s="1296">
        <f t="shared" si="48"/>
        <v>0</v>
      </c>
      <c r="EA793" s="1297"/>
      <c r="EB793" s="1297"/>
      <c r="EC793" s="1297"/>
      <c r="ED793" s="1298"/>
      <c r="EE793" s="1296">
        <f t="shared" si="49"/>
        <v>0</v>
      </c>
      <c r="EF793" s="1297"/>
      <c r="EG793" s="1297"/>
      <c r="EH793" s="1297"/>
      <c r="EI793" s="1298"/>
      <c r="EJ793" s="1296">
        <f t="shared" si="50"/>
        <v>0</v>
      </c>
      <c r="EK793" s="1297"/>
      <c r="EL793" s="1297"/>
      <c r="EM793" s="1297"/>
      <c r="EN793" s="1298"/>
      <c r="EO793" s="1296">
        <f t="shared" si="51"/>
        <v>0</v>
      </c>
      <c r="EP793" s="1297"/>
      <c r="EQ793" s="1297"/>
      <c r="ER793" s="1297"/>
      <c r="ES793" s="1298"/>
      <c r="ET793" s="1296">
        <f t="shared" si="52"/>
        <v>0</v>
      </c>
      <c r="EU793" s="1297"/>
      <c r="EV793" s="1297"/>
      <c r="EW793" s="1297"/>
      <c r="EX793" s="1298"/>
    </row>
    <row r="794" spans="1:154" s="11" customFormat="1" ht="13.2" customHeight="1">
      <c r="A794"/>
      <c r="B794"/>
      <c r="C794"/>
      <c r="D794"/>
      <c r="E794"/>
      <c r="F794"/>
      <c r="G794"/>
      <c r="H794"/>
      <c r="I794"/>
      <c r="J794" s="1313"/>
      <c r="K794" s="1314"/>
      <c r="L794" s="1314"/>
      <c r="M794" s="1314"/>
      <c r="N794" s="1315"/>
      <c r="O794" s="1420"/>
      <c r="P794" s="1420"/>
      <c r="Q794" s="1420"/>
      <c r="R794" s="1420"/>
      <c r="S794" s="1420"/>
      <c r="T794" s="1539"/>
      <c r="U794" s="1540"/>
      <c r="V794" s="1540"/>
      <c r="W794" s="1541"/>
      <c r="X794" s="1424"/>
      <c r="Y794" s="1425"/>
      <c r="Z794" s="1425"/>
      <c r="AA794" s="1425"/>
      <c r="AB794" s="1426"/>
      <c r="AC794" s="1316">
        <f t="shared" si="40"/>
        <v>0</v>
      </c>
      <c r="AD794" s="1317"/>
      <c r="AE794" s="1317"/>
      <c r="AF794" s="1317"/>
      <c r="AG794" s="1318"/>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296">
        <f t="shared" si="41"/>
        <v>0</v>
      </c>
      <c r="CQ794" s="1297"/>
      <c r="CR794" s="1297"/>
      <c r="CS794" s="1297"/>
      <c r="CT794" s="1298"/>
      <c r="CU794" s="1296">
        <f t="shared" si="42"/>
        <v>0</v>
      </c>
      <c r="CV794" s="1297"/>
      <c r="CW794" s="1297"/>
      <c r="CX794" s="1297"/>
      <c r="CY794" s="1298"/>
      <c r="CZ794" s="1296">
        <f t="shared" si="43"/>
        <v>0</v>
      </c>
      <c r="DA794" s="1297"/>
      <c r="DB794" s="1297"/>
      <c r="DC794" s="1297"/>
      <c r="DD794" s="1298"/>
      <c r="DE794" s="1296">
        <f t="shared" si="44"/>
        <v>0</v>
      </c>
      <c r="DF794" s="1297"/>
      <c r="DG794" s="1297"/>
      <c r="DH794" s="1297"/>
      <c r="DI794" s="1298"/>
      <c r="DJ794" s="1296">
        <f t="shared" si="45"/>
        <v>0</v>
      </c>
      <c r="DK794" s="1297"/>
      <c r="DL794" s="1297"/>
      <c r="DM794" s="1297"/>
      <c r="DN794" s="1298"/>
      <c r="DO794" s="1296">
        <f t="shared" si="46"/>
        <v>0</v>
      </c>
      <c r="DP794" s="1297"/>
      <c r="DQ794" s="1297"/>
      <c r="DR794" s="1297"/>
      <c r="DS794" s="1298"/>
      <c r="DT794" s="1179"/>
      <c r="DU794" s="1296">
        <f t="shared" si="47"/>
        <v>0</v>
      </c>
      <c r="DV794" s="1297"/>
      <c r="DW794" s="1297"/>
      <c r="DX794" s="1297"/>
      <c r="DY794" s="1298"/>
      <c r="DZ794" s="1296">
        <f t="shared" si="48"/>
        <v>0</v>
      </c>
      <c r="EA794" s="1297"/>
      <c r="EB794" s="1297"/>
      <c r="EC794" s="1297"/>
      <c r="ED794" s="1298"/>
      <c r="EE794" s="1296">
        <f t="shared" si="49"/>
        <v>0</v>
      </c>
      <c r="EF794" s="1297"/>
      <c r="EG794" s="1297"/>
      <c r="EH794" s="1297"/>
      <c r="EI794" s="1298"/>
      <c r="EJ794" s="1296">
        <f t="shared" si="50"/>
        <v>0</v>
      </c>
      <c r="EK794" s="1297"/>
      <c r="EL794" s="1297"/>
      <c r="EM794" s="1297"/>
      <c r="EN794" s="1298"/>
      <c r="EO794" s="1296">
        <f t="shared" si="51"/>
        <v>0</v>
      </c>
      <c r="EP794" s="1297"/>
      <c r="EQ794" s="1297"/>
      <c r="ER794" s="1297"/>
      <c r="ES794" s="1298"/>
      <c r="ET794" s="1296">
        <f t="shared" si="52"/>
        <v>0</v>
      </c>
      <c r="EU794" s="1297"/>
      <c r="EV794" s="1297"/>
      <c r="EW794" s="1297"/>
      <c r="EX794" s="1298"/>
    </row>
    <row r="795" spans="1:154" s="11" customFormat="1" ht="13.2" customHeight="1">
      <c r="A795"/>
      <c r="B795"/>
      <c r="C795"/>
      <c r="D795"/>
      <c r="E795"/>
      <c r="F795"/>
      <c r="G795"/>
      <c r="H795"/>
      <c r="I795"/>
      <c r="J795" s="1313"/>
      <c r="K795" s="1314"/>
      <c r="L795" s="1314"/>
      <c r="M795" s="1314"/>
      <c r="N795" s="1315"/>
      <c r="O795" s="1420"/>
      <c r="P795" s="1420"/>
      <c r="Q795" s="1420"/>
      <c r="R795" s="1420"/>
      <c r="S795" s="1420"/>
      <c r="T795" s="1539"/>
      <c r="U795" s="1540"/>
      <c r="V795" s="1540"/>
      <c r="W795" s="1541"/>
      <c r="X795" s="1424"/>
      <c r="Y795" s="1425"/>
      <c r="Z795" s="1425"/>
      <c r="AA795" s="1425"/>
      <c r="AB795" s="1426"/>
      <c r="AC795" s="1316">
        <f t="shared" si="40"/>
        <v>0</v>
      </c>
      <c r="AD795" s="1317"/>
      <c r="AE795" s="1317"/>
      <c r="AF795" s="1317"/>
      <c r="AG795" s="1318"/>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296">
        <f t="shared" si="41"/>
        <v>0</v>
      </c>
      <c r="CQ795" s="1297"/>
      <c r="CR795" s="1297"/>
      <c r="CS795" s="1297"/>
      <c r="CT795" s="1298"/>
      <c r="CU795" s="1296">
        <f t="shared" si="42"/>
        <v>0</v>
      </c>
      <c r="CV795" s="1297"/>
      <c r="CW795" s="1297"/>
      <c r="CX795" s="1297"/>
      <c r="CY795" s="1298"/>
      <c r="CZ795" s="1296">
        <f t="shared" si="43"/>
        <v>0</v>
      </c>
      <c r="DA795" s="1297"/>
      <c r="DB795" s="1297"/>
      <c r="DC795" s="1297"/>
      <c r="DD795" s="1298"/>
      <c r="DE795" s="1296">
        <f t="shared" si="44"/>
        <v>0</v>
      </c>
      <c r="DF795" s="1297"/>
      <c r="DG795" s="1297"/>
      <c r="DH795" s="1297"/>
      <c r="DI795" s="1298"/>
      <c r="DJ795" s="1296">
        <f t="shared" si="45"/>
        <v>0</v>
      </c>
      <c r="DK795" s="1297"/>
      <c r="DL795" s="1297"/>
      <c r="DM795" s="1297"/>
      <c r="DN795" s="1298"/>
      <c r="DO795" s="1296">
        <f t="shared" si="46"/>
        <v>0</v>
      </c>
      <c r="DP795" s="1297"/>
      <c r="DQ795" s="1297"/>
      <c r="DR795" s="1297"/>
      <c r="DS795" s="1298"/>
      <c r="DT795" s="1179"/>
      <c r="DU795" s="1296">
        <f t="shared" si="47"/>
        <v>0</v>
      </c>
      <c r="DV795" s="1297"/>
      <c r="DW795" s="1297"/>
      <c r="DX795" s="1297"/>
      <c r="DY795" s="1298"/>
      <c r="DZ795" s="1296">
        <f t="shared" si="48"/>
        <v>0</v>
      </c>
      <c r="EA795" s="1297"/>
      <c r="EB795" s="1297"/>
      <c r="EC795" s="1297"/>
      <c r="ED795" s="1298"/>
      <c r="EE795" s="1296">
        <f t="shared" si="49"/>
        <v>0</v>
      </c>
      <c r="EF795" s="1297"/>
      <c r="EG795" s="1297"/>
      <c r="EH795" s="1297"/>
      <c r="EI795" s="1298"/>
      <c r="EJ795" s="1296">
        <f t="shared" si="50"/>
        <v>0</v>
      </c>
      <c r="EK795" s="1297"/>
      <c r="EL795" s="1297"/>
      <c r="EM795" s="1297"/>
      <c r="EN795" s="1298"/>
      <c r="EO795" s="1296">
        <f t="shared" si="51"/>
        <v>0</v>
      </c>
      <c r="EP795" s="1297"/>
      <c r="EQ795" s="1297"/>
      <c r="ER795" s="1297"/>
      <c r="ES795" s="1298"/>
      <c r="ET795" s="1296">
        <f t="shared" si="52"/>
        <v>0</v>
      </c>
      <c r="EU795" s="1297"/>
      <c r="EV795" s="1297"/>
      <c r="EW795" s="1297"/>
      <c r="EX795" s="1298"/>
    </row>
    <row r="796" spans="1:154" s="3" customFormat="1" ht="13.2" customHeight="1">
      <c r="A796"/>
      <c r="B796"/>
      <c r="C796"/>
      <c r="D796"/>
      <c r="E796"/>
      <c r="F796"/>
      <c r="G796"/>
      <c r="H796"/>
      <c r="I796"/>
      <c r="J796" s="1313"/>
      <c r="K796" s="1314"/>
      <c r="L796" s="1314"/>
      <c r="M796" s="1314"/>
      <c r="N796" s="1315"/>
      <c r="O796" s="1420"/>
      <c r="P796" s="1420"/>
      <c r="Q796" s="1420"/>
      <c r="R796" s="1420"/>
      <c r="S796" s="1420"/>
      <c r="T796" s="1539"/>
      <c r="U796" s="1540"/>
      <c r="V796" s="1540"/>
      <c r="W796" s="1541"/>
      <c r="X796" s="1424"/>
      <c r="Y796" s="1425"/>
      <c r="Z796" s="1425"/>
      <c r="AA796" s="1425"/>
      <c r="AB796" s="1426"/>
      <c r="AC796" s="1316">
        <f t="shared" si="40"/>
        <v>0</v>
      </c>
      <c r="AD796" s="1317"/>
      <c r="AE796" s="1317"/>
      <c r="AF796" s="1317"/>
      <c r="AG796" s="1318"/>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296">
        <f t="shared" si="41"/>
        <v>0</v>
      </c>
      <c r="CQ796" s="1297"/>
      <c r="CR796" s="1297"/>
      <c r="CS796" s="1297"/>
      <c r="CT796" s="1298"/>
      <c r="CU796" s="1296">
        <f t="shared" si="42"/>
        <v>0</v>
      </c>
      <c r="CV796" s="1297"/>
      <c r="CW796" s="1297"/>
      <c r="CX796" s="1297"/>
      <c r="CY796" s="1298"/>
      <c r="CZ796" s="1296">
        <f t="shared" si="43"/>
        <v>0</v>
      </c>
      <c r="DA796" s="1297"/>
      <c r="DB796" s="1297"/>
      <c r="DC796" s="1297"/>
      <c r="DD796" s="1298"/>
      <c r="DE796" s="1296">
        <f t="shared" si="44"/>
        <v>0</v>
      </c>
      <c r="DF796" s="1297"/>
      <c r="DG796" s="1297"/>
      <c r="DH796" s="1297"/>
      <c r="DI796" s="1298"/>
      <c r="DJ796" s="1296">
        <f t="shared" si="45"/>
        <v>0</v>
      </c>
      <c r="DK796" s="1297"/>
      <c r="DL796" s="1297"/>
      <c r="DM796" s="1297"/>
      <c r="DN796" s="1298"/>
      <c r="DO796" s="1296">
        <f t="shared" si="46"/>
        <v>0</v>
      </c>
      <c r="DP796" s="1297"/>
      <c r="DQ796" s="1297"/>
      <c r="DR796" s="1297"/>
      <c r="DS796" s="1298"/>
      <c r="DT796" s="1179"/>
      <c r="DU796" s="1296">
        <f t="shared" si="47"/>
        <v>0</v>
      </c>
      <c r="DV796" s="1297"/>
      <c r="DW796" s="1297"/>
      <c r="DX796" s="1297"/>
      <c r="DY796" s="1298"/>
      <c r="DZ796" s="1296">
        <f t="shared" si="48"/>
        <v>0</v>
      </c>
      <c r="EA796" s="1297"/>
      <c r="EB796" s="1297"/>
      <c r="EC796" s="1297"/>
      <c r="ED796" s="1298"/>
      <c r="EE796" s="1296">
        <f t="shared" si="49"/>
        <v>0</v>
      </c>
      <c r="EF796" s="1297"/>
      <c r="EG796" s="1297"/>
      <c r="EH796" s="1297"/>
      <c r="EI796" s="1298"/>
      <c r="EJ796" s="1296">
        <f t="shared" si="50"/>
        <v>0</v>
      </c>
      <c r="EK796" s="1297"/>
      <c r="EL796" s="1297"/>
      <c r="EM796" s="1297"/>
      <c r="EN796" s="1298"/>
      <c r="EO796" s="1296">
        <f t="shared" si="51"/>
        <v>0</v>
      </c>
      <c r="EP796" s="1297"/>
      <c r="EQ796" s="1297"/>
      <c r="ER796" s="1297"/>
      <c r="ES796" s="1298"/>
      <c r="ET796" s="1296">
        <f t="shared" si="52"/>
        <v>0</v>
      </c>
      <c r="EU796" s="1297"/>
      <c r="EV796" s="1297"/>
      <c r="EW796" s="1297"/>
      <c r="EX796" s="1298"/>
    </row>
    <row r="797" spans="1:154" s="3" customFormat="1" ht="13.2" customHeight="1">
      <c r="A797"/>
      <c r="B797"/>
      <c r="C797"/>
      <c r="D797"/>
      <c r="E797"/>
      <c r="F797"/>
      <c r="G797"/>
      <c r="H797"/>
      <c r="I797"/>
      <c r="J797" s="1363" t="s">
        <v>1474</v>
      </c>
      <c r="K797" s="1364"/>
      <c r="L797" s="1364"/>
      <c r="M797" s="1364"/>
      <c r="N797" s="1366"/>
      <c r="O797" s="1325">
        <f>SUM(O787:S796)</f>
        <v>0</v>
      </c>
      <c r="P797" s="1325"/>
      <c r="Q797" s="1325"/>
      <c r="R797" s="1325"/>
      <c r="S797" s="1325"/>
      <c r="T797"/>
      <c r="U797"/>
      <c r="V797"/>
      <c r="W797"/>
      <c r="X797" s="711" t="s">
        <v>1475</v>
      </c>
      <c r="Y797" s="9"/>
      <c r="Z797" s="9"/>
      <c r="AA797" s="9"/>
      <c r="AB797" s="715"/>
      <c r="AC797" s="1316">
        <f>SUM(AC787:AG796)</f>
        <v>0</v>
      </c>
      <c r="AD797" s="1317"/>
      <c r="AE797" s="1317"/>
      <c r="AF797" s="1317"/>
      <c r="AG797" s="1318"/>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299">
        <f>SUM(CP787:CT796)</f>
        <v>0</v>
      </c>
      <c r="CQ797" s="1300"/>
      <c r="CR797" s="1300"/>
      <c r="CS797" s="1300"/>
      <c r="CT797" s="1301"/>
      <c r="CU797" s="1299">
        <f>SUM(CU787:CY796)</f>
        <v>0</v>
      </c>
      <c r="CV797" s="1300"/>
      <c r="CW797" s="1300"/>
      <c r="CX797" s="1300"/>
      <c r="CY797" s="1301"/>
      <c r="CZ797" s="1299">
        <f>SUM(CZ787:DD796)</f>
        <v>0</v>
      </c>
      <c r="DA797" s="1300"/>
      <c r="DB797" s="1300"/>
      <c r="DC797" s="1300"/>
      <c r="DD797" s="1301"/>
      <c r="DE797" s="1299">
        <f>SUM(DE787:DI796)</f>
        <v>0</v>
      </c>
      <c r="DF797" s="1300"/>
      <c r="DG797" s="1300"/>
      <c r="DH797" s="1300"/>
      <c r="DI797" s="1301"/>
      <c r="DJ797" s="1299">
        <f>SUM(DJ787:DN796)</f>
        <v>0</v>
      </c>
      <c r="DK797" s="1300"/>
      <c r="DL797" s="1300"/>
      <c r="DM797" s="1300"/>
      <c r="DN797" s="1301"/>
      <c r="DO797" s="1299">
        <f>SUM(DO787:DS796)</f>
        <v>0</v>
      </c>
      <c r="DP797" s="1300"/>
      <c r="DQ797" s="1300"/>
      <c r="DR797" s="1300"/>
      <c r="DS797" s="1301"/>
      <c r="DT797" s="1179"/>
      <c r="DU797" s="1299">
        <f>SUM(DU787:DY796)</f>
        <v>0</v>
      </c>
      <c r="DV797" s="1300"/>
      <c r="DW797" s="1300"/>
      <c r="DX797" s="1300"/>
      <c r="DY797" s="1301"/>
      <c r="DZ797" s="1299">
        <f>SUM(DZ787:ED796)</f>
        <v>0</v>
      </c>
      <c r="EA797" s="1300"/>
      <c r="EB797" s="1300"/>
      <c r="EC797" s="1300"/>
      <c r="ED797" s="1301"/>
      <c r="EE797" s="1299">
        <f>SUM(EE787:EI796)</f>
        <v>0</v>
      </c>
      <c r="EF797" s="1300"/>
      <c r="EG797" s="1300"/>
      <c r="EH797" s="1300"/>
      <c r="EI797" s="1301"/>
      <c r="EJ797" s="1299">
        <f>SUM(EJ787:EN796)</f>
        <v>0</v>
      </c>
      <c r="EK797" s="1300"/>
      <c r="EL797" s="1300"/>
      <c r="EM797" s="1300"/>
      <c r="EN797" s="1301"/>
      <c r="EO797" s="1299">
        <f>SUM(EO787:ES796)</f>
        <v>0</v>
      </c>
      <c r="EP797" s="1300"/>
      <c r="EQ797" s="1300"/>
      <c r="ER797" s="1300"/>
      <c r="ES797" s="1301"/>
      <c r="ET797" s="1299">
        <f>SUM(ET787:EX796)</f>
        <v>0</v>
      </c>
      <c r="EU797" s="1300"/>
      <c r="EV797" s="1300"/>
      <c r="EW797" s="1300"/>
      <c r="EX797" s="1301"/>
    </row>
    <row r="798" spans="1:154" s="3" customFormat="1" ht="13.2" customHeight="1">
      <c r="A798"/>
      <c r="B798"/>
      <c r="C798" s="1332" t="str">
        <f>IF(O797&lt;&gt;AG438,"! Total market rate units in the Unit Mix Table above does not match the number of  market rate units on row #"&amp;TEXT(ROW(D438),"#"),"")</f>
        <v/>
      </c>
      <c r="D798" s="1332"/>
      <c r="E798" s="1332"/>
      <c r="F798" s="1332"/>
      <c r="G798" s="1332"/>
      <c r="H798" s="1332"/>
      <c r="I798" s="1332"/>
      <c r="J798" s="1332"/>
      <c r="K798" s="1332"/>
      <c r="L798" s="1332"/>
      <c r="M798" s="1332"/>
      <c r="N798" s="1332"/>
      <c r="O798" s="1332"/>
      <c r="P798" s="1332"/>
      <c r="Q798" s="1332"/>
      <c r="R798" s="1332"/>
      <c r="S798" s="1332"/>
      <c r="T798" s="1332"/>
      <c r="U798" s="1332"/>
      <c r="V798" s="1332"/>
      <c r="W798" s="1332"/>
      <c r="X798" s="1332"/>
      <c r="Y798" s="1332"/>
      <c r="Z798" s="1332"/>
      <c r="AA798" s="1332"/>
      <c r="AB798" s="1332"/>
      <c r="AC798" s="1332"/>
      <c r="AD798" s="1332"/>
      <c r="AE798" s="1332"/>
      <c r="AF798" s="1332"/>
      <c r="AG798" s="1332"/>
      <c r="AH798" s="1332"/>
      <c r="AI798" s="1332"/>
      <c r="AJ798" s="1332"/>
      <c r="AK798" s="1332"/>
      <c r="AL798" s="1332"/>
      <c r="AM798" s="1332"/>
      <c r="AN798" s="1332"/>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3">
        <f>CP797*1</f>
        <v>0</v>
      </c>
      <c r="CU798" s="2"/>
      <c r="CV798" s="2"/>
      <c r="CW798" s="2"/>
      <c r="CX798" s="2"/>
      <c r="CY798" s="683">
        <f>CU797*1</f>
        <v>0</v>
      </c>
      <c r="CZ798" s="2"/>
      <c r="DA798" s="2"/>
      <c r="DB798" s="2"/>
      <c r="DC798" s="2"/>
      <c r="DD798" s="683">
        <f>CZ797*2</f>
        <v>0</v>
      </c>
      <c r="DE798" s="2"/>
      <c r="DF798" s="2"/>
      <c r="DG798" s="2"/>
      <c r="DH798" s="2"/>
      <c r="DI798" s="683">
        <f>DE797*3</f>
        <v>0</v>
      </c>
      <c r="DJ798" s="2"/>
      <c r="DK798" s="2"/>
      <c r="DL798" s="2"/>
      <c r="DM798" s="2"/>
      <c r="DN798" s="683">
        <f>DJ797*4</f>
        <v>0</v>
      </c>
      <c r="DO798" s="2"/>
      <c r="DP798" s="2"/>
      <c r="DQ798" s="2"/>
      <c r="DR798" s="2"/>
      <c r="DS798" s="683">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3.2" customHeight="1">
      <c r="A799"/>
      <c r="B799"/>
      <c r="C799" s="1332"/>
      <c r="D799" s="1332"/>
      <c r="E799" s="1332"/>
      <c r="F799" s="1332"/>
      <c r="G799" s="1332"/>
      <c r="H799" s="1332"/>
      <c r="I799" s="1332"/>
      <c r="J799" s="1332"/>
      <c r="K799" s="1332"/>
      <c r="L799" s="1332"/>
      <c r="M799" s="1332"/>
      <c r="N799" s="1332"/>
      <c r="O799" s="1332"/>
      <c r="P799" s="1332"/>
      <c r="Q799" s="1332"/>
      <c r="R799" s="1332"/>
      <c r="S799" s="1332"/>
      <c r="T799" s="1332"/>
      <c r="U799" s="1332"/>
      <c r="V799" s="1332"/>
      <c r="W799" s="1332"/>
      <c r="X799" s="1332"/>
      <c r="Y799" s="1332"/>
      <c r="Z799" s="1332"/>
      <c r="AA799" s="1332"/>
      <c r="AB799" s="1332"/>
      <c r="AC799" s="1332"/>
      <c r="AD799" s="1332"/>
      <c r="AE799" s="1332"/>
      <c r="AF799" s="1332"/>
      <c r="AG799" s="1332"/>
      <c r="AH799" s="1332"/>
      <c r="AI799" s="1332"/>
      <c r="AJ799" s="1332"/>
      <c r="AK799" s="1332"/>
      <c r="AL799" s="1332"/>
      <c r="AM799" s="1332"/>
      <c r="AN799" s="1332"/>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3">
        <f>CP797+CU797+CZ797+DE797+DJ797+DO797</f>
        <v>0</v>
      </c>
      <c r="DV799" s="38" t="s">
        <v>1497</v>
      </c>
      <c r="DW799" s="2"/>
      <c r="DX799" s="2"/>
      <c r="DY799" s="2"/>
      <c r="DZ799" s="2"/>
      <c r="EA799" s="2"/>
      <c r="EB799" s="2"/>
      <c r="EC799" s="2"/>
      <c r="ED799" s="2"/>
      <c r="EE799" s="2"/>
      <c r="EF799" s="2"/>
      <c r="EG799" s="2"/>
      <c r="EH799" s="2"/>
      <c r="EI799"/>
      <c r="EJ799"/>
      <c r="EK799"/>
      <c r="EL799"/>
      <c r="EM799"/>
      <c r="EN799"/>
      <c r="EO799"/>
      <c r="EP799"/>
      <c r="EQ799"/>
      <c r="ER799"/>
      <c r="ES799" s="37" t="s">
        <v>1498</v>
      </c>
      <c r="ET799" s="1309">
        <f>SUM(DU797:EX797)</f>
        <v>0</v>
      </c>
      <c r="EU799" s="1310"/>
      <c r="EV799" s="1310"/>
      <c r="EW799" s="1310"/>
      <c r="EX799" s="1311"/>
    </row>
    <row r="800" spans="1:154" s="3" customFormat="1" ht="13.2" customHeight="1">
      <c r="A800"/>
      <c r="B800"/>
      <c r="C800"/>
      <c r="D800"/>
      <c r="E800"/>
      <c r="F800"/>
      <c r="G800"/>
      <c r="H800"/>
      <c r="I800"/>
      <c r="J800" s="1105"/>
      <c r="K800" s="4"/>
      <c r="L800" s="4"/>
      <c r="M800" s="4"/>
      <c r="N800" s="4"/>
      <c r="O800" s="4"/>
      <c r="P800" s="4"/>
      <c r="Q800" s="4"/>
      <c r="R800" s="4"/>
      <c r="S800" s="4"/>
      <c r="T800" s="4"/>
      <c r="U800" s="4"/>
      <c r="V800" s="4"/>
      <c r="W800" s="4"/>
      <c r="X800" s="1158" t="s">
        <v>1499</v>
      </c>
      <c r="Y800" s="1536">
        <f>O753+AC777+AC797</f>
        <v>259011</v>
      </c>
      <c r="Z800" s="1536"/>
      <c r="AA800" s="1536"/>
      <c r="AB800" s="1536"/>
      <c r="AC800" s="1536"/>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3">
        <f>CT798+CY798+DD798+DI798+DN798+DS798</f>
        <v>0</v>
      </c>
      <c r="DV800" s="38" t="s">
        <v>1500</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3.2" customHeight="1">
      <c r="A801"/>
      <c r="B801"/>
      <c r="C801"/>
      <c r="D801"/>
      <c r="E801"/>
      <c r="F801"/>
      <c r="G801"/>
      <c r="H801"/>
      <c r="I801"/>
      <c r="J801" s="31"/>
      <c r="K801" s="32"/>
      <c r="L801" s="32"/>
      <c r="M801" s="32"/>
      <c r="N801" s="32"/>
      <c r="O801" s="32"/>
      <c r="P801" s="32"/>
      <c r="Q801" s="32"/>
      <c r="R801" s="32"/>
      <c r="S801" s="32"/>
      <c r="T801" s="32"/>
      <c r="U801" s="32"/>
      <c r="V801" s="32"/>
      <c r="W801" s="32"/>
      <c r="X801" s="1157" t="s">
        <v>1501</v>
      </c>
      <c r="Y801" s="1536">
        <f>(O753+AC777+AC797)*12</f>
        <v>3108132</v>
      </c>
      <c r="Z801" s="1536"/>
      <c r="AA801" s="1536"/>
      <c r="AB801" s="1536"/>
      <c r="AC801" s="1536"/>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1502</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3.2"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299">
        <f>CP753+CP777+CP797</f>
        <v>0</v>
      </c>
      <c r="CQ802" s="1300"/>
      <c r="CR802" s="1300"/>
      <c r="CS802" s="1300"/>
      <c r="CT802" s="1301"/>
      <c r="CU802" s="1299">
        <f>CU753+CU777+CU797</f>
        <v>36</v>
      </c>
      <c r="CV802" s="1300"/>
      <c r="CW802" s="1300"/>
      <c r="CX802" s="1300"/>
      <c r="CY802" s="1301"/>
      <c r="CZ802" s="1299">
        <f>CZ753+CZ777+CZ797</f>
        <v>28</v>
      </c>
      <c r="DA802" s="1300"/>
      <c r="DB802" s="1300"/>
      <c r="DC802" s="1300"/>
      <c r="DD802" s="1301"/>
      <c r="DE802" s="1299">
        <f>DE753+DE777+DE797</f>
        <v>36</v>
      </c>
      <c r="DF802" s="1300"/>
      <c r="DG802" s="1300"/>
      <c r="DH802" s="1300"/>
      <c r="DI802" s="1301"/>
      <c r="DJ802" s="1299">
        <f>DJ753+DJ777+DJ797</f>
        <v>0</v>
      </c>
      <c r="DK802" s="1300"/>
      <c r="DL802" s="1300"/>
      <c r="DM802" s="1300"/>
      <c r="DN802" s="1301"/>
      <c r="DO802" s="1299">
        <f>DO797+DO777+DO753</f>
        <v>0</v>
      </c>
      <c r="DP802" s="1300"/>
      <c r="DQ802" s="1300"/>
      <c r="DR802" s="1300"/>
      <c r="DS802" s="1301"/>
      <c r="DT802" s="2"/>
      <c r="DU802" s="683">
        <f>DU755+DU800</f>
        <v>197</v>
      </c>
      <c r="DV802" s="38" t="s">
        <v>1503</v>
      </c>
    </row>
    <row r="803" spans="1:126" s="3" customFormat="1" ht="13.2" customHeight="1">
      <c r="A803" s="1" t="s">
        <v>1008</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3.2" customHeight="1">
      <c r="A804" s="1"/>
      <c r="B804" s="1"/>
      <c r="C804" s="1" t="s">
        <v>1504</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3.2"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3.2" customHeight="1">
      <c r="A806"/>
      <c r="B806"/>
      <c r="C806"/>
      <c r="D806"/>
      <c r="E806"/>
      <c r="F806"/>
      <c r="G806"/>
      <c r="H806" s="1105" t="s">
        <v>1505</v>
      </c>
      <c r="I806" s="4"/>
      <c r="J806" s="4"/>
      <c r="K806" s="4"/>
      <c r="L806" s="4"/>
      <c r="M806" s="4"/>
      <c r="N806" s="4"/>
      <c r="O806" s="4"/>
      <c r="P806" s="4"/>
      <c r="Q806" s="4"/>
      <c r="R806" s="4"/>
      <c r="S806" s="4"/>
      <c r="T806" s="4"/>
      <c r="U806" s="4"/>
      <c r="V806" s="4"/>
      <c r="W806" s="4"/>
      <c r="X806" s="4"/>
      <c r="Y806" s="4"/>
      <c r="Z806" s="1661"/>
      <c r="AA806" s="1543"/>
      <c r="AB806" s="1543"/>
      <c r="AC806" s="1543"/>
      <c r="AD806" s="1543"/>
      <c r="AE806" s="1544"/>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3.2" customHeight="1">
      <c r="A807"/>
      <c r="B807"/>
      <c r="C807"/>
      <c r="D807"/>
      <c r="E807"/>
      <c r="F807"/>
      <c r="G807"/>
      <c r="H807" s="1105" t="s">
        <v>1506</v>
      </c>
      <c r="I807" s="4"/>
      <c r="J807" s="4"/>
      <c r="K807" s="4"/>
      <c r="L807" s="4"/>
      <c r="M807" s="4"/>
      <c r="N807" s="4"/>
      <c r="O807" s="4"/>
      <c r="P807" s="4"/>
      <c r="Q807" s="4"/>
      <c r="R807" s="4"/>
      <c r="S807" s="4"/>
      <c r="T807" s="4"/>
      <c r="U807" s="4"/>
      <c r="V807" s="4"/>
      <c r="W807" s="4"/>
      <c r="X807" s="4"/>
      <c r="Y807" s="4"/>
      <c r="Z807" s="1542"/>
      <c r="AA807" s="1543"/>
      <c r="AB807" s="1543"/>
      <c r="AC807" s="1543"/>
      <c r="AD807" s="1543"/>
      <c r="AE807" s="1544"/>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3.2" customHeight="1">
      <c r="A808"/>
      <c r="B808"/>
      <c r="C808"/>
      <c r="D808"/>
      <c r="E808"/>
      <c r="F808"/>
      <c r="G808"/>
      <c r="H808" s="1105" t="s">
        <v>1507</v>
      </c>
      <c r="I808" s="4"/>
      <c r="J808" s="4"/>
      <c r="K808" s="4"/>
      <c r="L808" s="4"/>
      <c r="M808" s="4"/>
      <c r="N808" s="4"/>
      <c r="O808" s="4"/>
      <c r="P808" s="4"/>
      <c r="Q808" s="4"/>
      <c r="R808" s="4"/>
      <c r="S808" s="4"/>
      <c r="T808" s="4"/>
      <c r="U808" s="4"/>
      <c r="V808" s="4"/>
      <c r="W808" s="4"/>
      <c r="X808" s="4"/>
      <c r="Y808" s="4"/>
      <c r="Z808" s="1557"/>
      <c r="AA808" s="1558"/>
      <c r="AB808" s="1558"/>
      <c r="AC808" s="1558"/>
      <c r="AD808" s="1558"/>
      <c r="AE808" s="1559"/>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3.2" customHeight="1">
      <c r="A809"/>
      <c r="B809"/>
      <c r="C809"/>
      <c r="D809"/>
      <c r="E809"/>
      <c r="F809"/>
      <c r="G809"/>
      <c r="H809" s="1105"/>
      <c r="I809" s="4"/>
      <c r="J809" s="4"/>
      <c r="K809" s="4"/>
      <c r="L809" s="4"/>
      <c r="M809" s="4"/>
      <c r="N809" s="4"/>
      <c r="O809" s="4"/>
      <c r="P809" s="4"/>
      <c r="Q809" s="4"/>
      <c r="R809" s="4"/>
      <c r="S809" s="4"/>
      <c r="T809" s="4"/>
      <c r="U809" s="4"/>
      <c r="V809" s="4"/>
      <c r="W809" s="4"/>
      <c r="X809" s="4"/>
      <c r="Y809" s="1156" t="s">
        <v>1508</v>
      </c>
      <c r="Z809" s="1428">
        <f>'Subsidy Contract Calculation'!J40</f>
        <v>0</v>
      </c>
      <c r="AA809" s="1429"/>
      <c r="AB809" s="1429"/>
      <c r="AC809" s="1429"/>
      <c r="AD809" s="1429"/>
      <c r="AE809" s="1430"/>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3.2"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3.2" customHeight="1">
      <c r="A811" s="1" t="s">
        <v>1020</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3.2"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3.2" customHeight="1">
      <c r="A813"/>
      <c r="B813"/>
      <c r="C813"/>
      <c r="D813"/>
      <c r="E813"/>
      <c r="F813"/>
      <c r="G813"/>
      <c r="H813" s="1105" t="s">
        <v>1509</v>
      </c>
      <c r="I813" s="4"/>
      <c r="J813" s="4"/>
      <c r="K813" s="4"/>
      <c r="L813" s="4"/>
      <c r="M813" s="4"/>
      <c r="N813" s="4"/>
      <c r="O813" s="4"/>
      <c r="P813" s="4"/>
      <c r="Q813" s="4"/>
      <c r="R813" s="4"/>
      <c r="S813" s="4"/>
      <c r="T813" s="4"/>
      <c r="U813" s="4"/>
      <c r="V813" s="4"/>
      <c r="W813" s="4"/>
      <c r="X813" s="4"/>
      <c r="Y813" s="4"/>
      <c r="Z813" s="1431">
        <v>14400</v>
      </c>
      <c r="AA813" s="1302"/>
      <c r="AB813" s="1302"/>
      <c r="AC813" s="1302"/>
      <c r="AD813" s="1302"/>
      <c r="AE813" s="1303"/>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3.2" customHeight="1">
      <c r="A814"/>
      <c r="B814"/>
      <c r="C814"/>
      <c r="D814"/>
      <c r="E814"/>
      <c r="F814"/>
      <c r="G814"/>
      <c r="H814" s="1105" t="s">
        <v>1510</v>
      </c>
      <c r="I814" s="4"/>
      <c r="J814" s="4"/>
      <c r="K814" s="4"/>
      <c r="L814" s="4"/>
      <c r="M814" s="4"/>
      <c r="N814" s="4"/>
      <c r="O814" s="4"/>
      <c r="P814" s="4"/>
      <c r="Q814" s="4"/>
      <c r="R814" s="4"/>
      <c r="S814" s="4"/>
      <c r="T814" s="4"/>
      <c r="U814" s="4"/>
      <c r="V814" s="4"/>
      <c r="W814" s="4"/>
      <c r="X814" s="4"/>
      <c r="Y814" s="4"/>
      <c r="Z814" s="1431"/>
      <c r="AA814" s="1302"/>
      <c r="AB814" s="1302"/>
      <c r="AC814" s="1302"/>
      <c r="AD814" s="1302"/>
      <c r="AE814" s="1303"/>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3.2" customHeight="1">
      <c r="A815"/>
      <c r="B815"/>
      <c r="C815"/>
      <c r="D815"/>
      <c r="E815"/>
      <c r="F815"/>
      <c r="G815"/>
      <c r="H815" s="1105" t="s">
        <v>1511</v>
      </c>
      <c r="I815" s="4"/>
      <c r="J815" s="4"/>
      <c r="K815" s="4"/>
      <c r="L815" s="4"/>
      <c r="M815" s="4"/>
      <c r="N815" s="4"/>
      <c r="O815" s="4"/>
      <c r="P815" s="4"/>
      <c r="Q815" s="4"/>
      <c r="R815" s="4"/>
      <c r="S815" s="4"/>
      <c r="T815" s="4"/>
      <c r="U815" s="4"/>
      <c r="V815" s="4"/>
      <c r="W815" s="4"/>
      <c r="X815" s="4"/>
      <c r="Y815" s="4"/>
      <c r="Z815" s="1431"/>
      <c r="AA815" s="1302"/>
      <c r="AB815" s="1302"/>
      <c r="AC815" s="1302"/>
      <c r="AD815" s="1302"/>
      <c r="AE815" s="1303"/>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3.2" customHeight="1">
      <c r="A816"/>
      <c r="B816"/>
      <c r="C816"/>
      <c r="D816"/>
      <c r="E816"/>
      <c r="F816"/>
      <c r="G816"/>
      <c r="H816" s="1105" t="s">
        <v>1512</v>
      </c>
      <c r="I816" s="4"/>
      <c r="J816" s="4"/>
      <c r="K816" s="4"/>
      <c r="L816" s="4"/>
      <c r="M816" s="4"/>
      <c r="N816" s="4"/>
      <c r="O816" s="4"/>
      <c r="P816" s="1577" t="s">
        <v>1513</v>
      </c>
      <c r="Q816" s="1578"/>
      <c r="R816" s="1578"/>
      <c r="S816" s="1578"/>
      <c r="T816" s="1578"/>
      <c r="U816" s="1578"/>
      <c r="V816" s="1578"/>
      <c r="W816" s="1578"/>
      <c r="X816" s="1578"/>
      <c r="Y816" s="1579"/>
      <c r="Z816" s="1431">
        <v>4800</v>
      </c>
      <c r="AA816" s="1302"/>
      <c r="AB816" s="1302"/>
      <c r="AC816" s="1302"/>
      <c r="AD816" s="1302"/>
      <c r="AE816" s="1303"/>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3.2" customHeight="1">
      <c r="A817"/>
      <c r="B817"/>
      <c r="C817"/>
      <c r="D817"/>
      <c r="E817"/>
      <c r="F817"/>
      <c r="G817"/>
      <c r="H817" s="1105"/>
      <c r="I817" s="4"/>
      <c r="J817" s="4"/>
      <c r="K817" s="4"/>
      <c r="L817" s="4"/>
      <c r="M817" s="4"/>
      <c r="N817" s="4"/>
      <c r="O817" s="4"/>
      <c r="P817" s="4"/>
      <c r="Q817" s="4"/>
      <c r="R817" s="4"/>
      <c r="S817" s="4"/>
      <c r="T817" s="4"/>
      <c r="U817" s="4"/>
      <c r="V817" s="4"/>
      <c r="W817" s="4"/>
      <c r="X817" s="4"/>
      <c r="Y817" s="1156" t="s">
        <v>1514</v>
      </c>
      <c r="Z817" s="1428">
        <f>SUM(Z813:AE816)</f>
        <v>19200</v>
      </c>
      <c r="AA817" s="1429"/>
      <c r="AB817" s="1429"/>
      <c r="AC817" s="1429"/>
      <c r="AD817" s="1429"/>
      <c r="AE817" s="1430"/>
      <c r="AF817"/>
      <c r="AG817"/>
      <c r="AH817"/>
      <c r="AI817"/>
      <c r="AJ817"/>
      <c r="AK817"/>
      <c r="AL817"/>
      <c r="AM817"/>
      <c r="AN817"/>
      <c r="AO817"/>
      <c r="AP817"/>
      <c r="AQ817"/>
      <c r="AR817"/>
      <c r="AS817"/>
      <c r="AT817"/>
      <c r="AU817" s="2"/>
      <c r="AV817"/>
      <c r="AW817"/>
      <c r="AX817"/>
      <c r="AY817"/>
      <c r="AZ817" s="23"/>
      <c r="BA817" s="23"/>
      <c r="BB817" s="11"/>
      <c r="BC817" s="11"/>
    </row>
    <row r="818" spans="1:55" s="3" customFormat="1" ht="13.2" customHeight="1">
      <c r="A818"/>
      <c r="B818"/>
      <c r="C818"/>
      <c r="D818"/>
      <c r="E818"/>
      <c r="F818"/>
      <c r="G818"/>
      <c r="H818" s="1105"/>
      <c r="I818" s="4"/>
      <c r="J818" s="4"/>
      <c r="K818" s="4"/>
      <c r="L818" s="4"/>
      <c r="M818" s="4"/>
      <c r="N818" s="4"/>
      <c r="O818" s="4"/>
      <c r="P818" s="4"/>
      <c r="Q818" s="4"/>
      <c r="R818" s="4"/>
      <c r="S818" s="4"/>
      <c r="T818" s="4"/>
      <c r="U818" s="4"/>
      <c r="V818" s="4"/>
      <c r="W818" s="4"/>
      <c r="X818" s="4"/>
      <c r="Y818" s="1156" t="s">
        <v>1515</v>
      </c>
      <c r="Z818" s="1428">
        <f>Z817+Y801+Z809</f>
        <v>3127332</v>
      </c>
      <c r="AA818" s="1429"/>
      <c r="AB818" s="1429"/>
      <c r="AC818" s="1429"/>
      <c r="AD818" s="1429"/>
      <c r="AE818" s="1430"/>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3.2"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3.2" customHeight="1">
      <c r="A820" s="1" t="s">
        <v>1047</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3.2" customHeight="1">
      <c r="A821"/>
      <c r="B821"/>
      <c r="C821" s="17" t="s">
        <v>1516</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3.2"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3.2" customHeight="1">
      <c r="A823"/>
      <c r="B823"/>
      <c r="C823" s="29"/>
      <c r="D823" s="30"/>
      <c r="E823" s="30"/>
      <c r="F823" s="30"/>
      <c r="G823" s="30"/>
      <c r="H823" s="30"/>
      <c r="I823" s="30"/>
      <c r="J823" s="30"/>
      <c r="K823" s="30"/>
      <c r="L823" s="39"/>
      <c r="M823" s="1628" t="s">
        <v>1517</v>
      </c>
      <c r="N823" s="1628"/>
      <c r="O823" s="1628"/>
      <c r="P823" s="1629"/>
      <c r="Q823" s="1556" t="s">
        <v>1518</v>
      </c>
      <c r="R823" s="1556"/>
      <c r="S823" s="1556"/>
      <c r="T823" s="1556"/>
      <c r="U823" s="1556" t="s">
        <v>1519</v>
      </c>
      <c r="V823" s="1556"/>
      <c r="W823" s="1556"/>
      <c r="X823" s="1556"/>
      <c r="Y823" s="1556" t="s">
        <v>1520</v>
      </c>
      <c r="Z823" s="1556"/>
      <c r="AA823" s="1556"/>
      <c r="AB823" s="1556"/>
      <c r="AC823" s="1556" t="s">
        <v>1521</v>
      </c>
      <c r="AD823" s="1556"/>
      <c r="AE823" s="1556"/>
      <c r="AF823" s="1556"/>
      <c r="AG823" s="1551" t="s">
        <v>1522</v>
      </c>
      <c r="AH823" s="1551"/>
      <c r="AI823" s="1551"/>
      <c r="AJ823" s="1551"/>
      <c r="AK823"/>
      <c r="AL823" s="2"/>
      <c r="AM823" s="2"/>
      <c r="AN823" s="2"/>
      <c r="AO823" s="2"/>
      <c r="AP823" s="2"/>
      <c r="AQ823" s="2"/>
      <c r="AR823" s="2"/>
      <c r="AS823" s="2"/>
      <c r="AT823" s="2"/>
      <c r="AU823" s="2"/>
      <c r="AV823" s="2"/>
      <c r="AW823" s="2"/>
      <c r="AX823" s="2"/>
      <c r="AY823" s="2"/>
      <c r="AZ823" s="23"/>
      <c r="BA823" s="23"/>
      <c r="BB823" s="11"/>
      <c r="BC823" s="11"/>
    </row>
    <row r="824" spans="1:55" s="11" customFormat="1" ht="13.2" customHeight="1">
      <c r="A824"/>
      <c r="B824"/>
      <c r="C824" s="31"/>
      <c r="D824" s="32"/>
      <c r="E824" s="32"/>
      <c r="F824" s="32"/>
      <c r="G824" s="32"/>
      <c r="H824" s="32"/>
      <c r="I824" s="32"/>
      <c r="J824" s="32"/>
      <c r="K824" s="32"/>
      <c r="L824" s="33"/>
      <c r="M824" s="1630"/>
      <c r="N824" s="1630"/>
      <c r="O824" s="1630"/>
      <c r="P824" s="1631"/>
      <c r="Q824" s="1556"/>
      <c r="R824" s="1556"/>
      <c r="S824" s="1556"/>
      <c r="T824" s="1556"/>
      <c r="U824" s="1556"/>
      <c r="V824" s="1556"/>
      <c r="W824" s="1556"/>
      <c r="X824" s="1556"/>
      <c r="Y824" s="1556"/>
      <c r="Z824" s="1556"/>
      <c r="AA824" s="1556"/>
      <c r="AB824" s="1556"/>
      <c r="AC824" s="1556"/>
      <c r="AD824" s="1556"/>
      <c r="AE824" s="1556"/>
      <c r="AF824" s="1556"/>
      <c r="AG824" s="1551"/>
      <c r="AH824" s="1551"/>
      <c r="AI824" s="1551"/>
      <c r="AJ824" s="1551"/>
      <c r="AK824"/>
      <c r="AL824" s="2"/>
      <c r="AM824" s="2"/>
      <c r="AN824" s="2"/>
      <c r="AO824" s="2"/>
      <c r="AP824" s="2"/>
      <c r="AQ824" s="2"/>
      <c r="AR824" s="2"/>
      <c r="AS824" s="2"/>
      <c r="AT824" s="2"/>
      <c r="AU824"/>
      <c r="AV824" s="2"/>
      <c r="AW824" s="2"/>
      <c r="AX824" s="2"/>
      <c r="AY824" s="2"/>
      <c r="AZ824" s="23"/>
      <c r="BA824" s="23"/>
    </row>
    <row r="825" spans="1:55" s="11" customFormat="1" ht="13.2" customHeight="1">
      <c r="A825"/>
      <c r="B825"/>
      <c r="C825" s="1538" t="s">
        <v>1523</v>
      </c>
      <c r="D825" s="1439"/>
      <c r="E825" s="1439"/>
      <c r="F825" s="1439"/>
      <c r="G825" s="1439"/>
      <c r="H825" s="1439"/>
      <c r="I825" s="32"/>
      <c r="J825" s="32"/>
      <c r="K825" s="32"/>
      <c r="L825" s="33"/>
      <c r="M825" s="1535"/>
      <c r="N825" s="1535"/>
      <c r="O825" s="1535"/>
      <c r="P825" s="1535"/>
      <c r="Q825" s="1535">
        <v>18</v>
      </c>
      <c r="R825" s="1535"/>
      <c r="S825" s="1535"/>
      <c r="T825" s="1535"/>
      <c r="U825" s="1535">
        <v>22</v>
      </c>
      <c r="V825" s="1535"/>
      <c r="W825" s="1535"/>
      <c r="X825" s="1535"/>
      <c r="Y825" s="1535">
        <v>27</v>
      </c>
      <c r="Z825" s="1535"/>
      <c r="AA825" s="1535"/>
      <c r="AB825" s="1535"/>
      <c r="AC825" s="1445"/>
      <c r="AD825" s="1446"/>
      <c r="AE825" s="1446"/>
      <c r="AF825" s="1447"/>
      <c r="AG825" s="1445"/>
      <c r="AH825" s="1446"/>
      <c r="AI825" s="1446"/>
      <c r="AJ825" s="1447"/>
      <c r="AK825"/>
      <c r="AL825" s="2"/>
      <c r="AM825" s="2"/>
      <c r="AN825" s="2"/>
      <c r="AO825" s="2"/>
      <c r="AP825" s="2"/>
      <c r="AQ825" s="2"/>
      <c r="AR825" s="2"/>
      <c r="AS825" s="2"/>
      <c r="AT825" s="2"/>
      <c r="AU825"/>
      <c r="AV825" s="2"/>
      <c r="AW825" s="2"/>
      <c r="AX825" s="2"/>
      <c r="AY825" s="2"/>
      <c r="AZ825" s="23"/>
      <c r="BA825" s="23"/>
    </row>
    <row r="826" spans="1:55" s="11" customFormat="1" ht="13.2" customHeight="1">
      <c r="A826"/>
      <c r="B826"/>
      <c r="C826" s="1459" t="s">
        <v>1524</v>
      </c>
      <c r="D826" s="1396"/>
      <c r="E826" s="1396"/>
      <c r="F826" s="1396"/>
      <c r="G826" s="1396"/>
      <c r="H826" s="1396"/>
      <c r="I826" s="4"/>
      <c r="J826" s="4"/>
      <c r="K826" s="4"/>
      <c r="L826" s="1106"/>
      <c r="M826" s="1535"/>
      <c r="N826" s="1535"/>
      <c r="O826" s="1535"/>
      <c r="P826" s="1535"/>
      <c r="Q826" s="1535"/>
      <c r="R826" s="1535"/>
      <c r="S826" s="1535"/>
      <c r="T826" s="1535"/>
      <c r="U826" s="1535"/>
      <c r="V826" s="1535"/>
      <c r="W826" s="1535"/>
      <c r="X826" s="1535"/>
      <c r="Y826" s="1535"/>
      <c r="Z826" s="1535"/>
      <c r="AA826" s="1535"/>
      <c r="AB826" s="1535"/>
      <c r="AC826" s="1445"/>
      <c r="AD826" s="1446"/>
      <c r="AE826" s="1446"/>
      <c r="AF826" s="1447"/>
      <c r="AG826" s="1445"/>
      <c r="AH826" s="1446"/>
      <c r="AI826" s="1446"/>
      <c r="AJ826" s="1447"/>
      <c r="AK826"/>
      <c r="AL826" s="2"/>
      <c r="AM826" s="2"/>
      <c r="AN826" s="2"/>
      <c r="AO826" s="2"/>
      <c r="AP826" s="2"/>
      <c r="AQ826" s="2"/>
      <c r="AR826" s="2"/>
      <c r="AS826" s="2"/>
      <c r="AT826" s="2"/>
      <c r="AU826"/>
      <c r="AV826" s="2"/>
      <c r="AW826" s="2"/>
      <c r="AX826" s="2"/>
      <c r="AY826" s="2"/>
      <c r="AZ826" s="23"/>
      <c r="BA826" s="23"/>
    </row>
    <row r="827" spans="1:55" s="11" customFormat="1" ht="13.2" customHeight="1">
      <c r="A827"/>
      <c r="B827"/>
      <c r="C827" s="1459" t="s">
        <v>1525</v>
      </c>
      <c r="D827" s="1396"/>
      <c r="E827" s="1396"/>
      <c r="F827" s="1396"/>
      <c r="G827" s="1396"/>
      <c r="H827" s="1396"/>
      <c r="I827" s="1161"/>
      <c r="J827" s="1161"/>
      <c r="K827" s="1161"/>
      <c r="L827" s="1162"/>
      <c r="M827" s="1535"/>
      <c r="N827" s="1535"/>
      <c r="O827" s="1535"/>
      <c r="P827" s="1535"/>
      <c r="Q827" s="1535">
        <v>9</v>
      </c>
      <c r="R827" s="1535"/>
      <c r="S827" s="1535"/>
      <c r="T827" s="1535"/>
      <c r="U827" s="1535">
        <v>13</v>
      </c>
      <c r="V827" s="1535"/>
      <c r="W827" s="1535"/>
      <c r="X827" s="1535"/>
      <c r="Y827" s="1535">
        <v>17</v>
      </c>
      <c r="Z827" s="1535"/>
      <c r="AA827" s="1535"/>
      <c r="AB827" s="1535"/>
      <c r="AC827" s="1445"/>
      <c r="AD827" s="1446"/>
      <c r="AE827" s="1446"/>
      <c r="AF827" s="1447"/>
      <c r="AG827" s="1445"/>
      <c r="AH827" s="1446"/>
      <c r="AI827" s="1446"/>
      <c r="AJ827" s="1447"/>
      <c r="AK827"/>
      <c r="AL827" s="2"/>
      <c r="AM827" s="2"/>
      <c r="AN827" s="2"/>
      <c r="AO827" s="2"/>
      <c r="AP827" s="2"/>
      <c r="AQ827" s="2"/>
      <c r="AR827" s="2"/>
      <c r="AS827" s="2"/>
      <c r="AT827" s="2"/>
      <c r="AU827"/>
      <c r="AV827" s="2"/>
      <c r="AW827" s="2"/>
      <c r="AX827" s="2"/>
      <c r="AY827" s="2"/>
      <c r="AZ827" s="23"/>
      <c r="BA827" s="23"/>
    </row>
    <row r="828" spans="1:55" s="11" customFormat="1" ht="13.2" customHeight="1">
      <c r="A828"/>
      <c r="B828"/>
      <c r="C828" s="1459" t="s">
        <v>1526</v>
      </c>
      <c r="D828" s="1396"/>
      <c r="E828" s="1396"/>
      <c r="F828" s="1396"/>
      <c r="G828" s="1396"/>
      <c r="H828" s="1396"/>
      <c r="I828" s="1161"/>
      <c r="J828" s="1161"/>
      <c r="K828" s="1161"/>
      <c r="L828" s="1162"/>
      <c r="M828" s="1535"/>
      <c r="N828" s="1535"/>
      <c r="O828" s="1535"/>
      <c r="P828" s="1535"/>
      <c r="Q828" s="1535"/>
      <c r="R828" s="1535"/>
      <c r="S828" s="1535"/>
      <c r="T828" s="1535"/>
      <c r="U828" s="1535"/>
      <c r="V828" s="1535"/>
      <c r="W828" s="1535"/>
      <c r="X828" s="1535"/>
      <c r="Y828" s="1535"/>
      <c r="Z828" s="1535"/>
      <c r="AA828" s="1535"/>
      <c r="AB828" s="1535"/>
      <c r="AC828" s="1445"/>
      <c r="AD828" s="1446"/>
      <c r="AE828" s="1446"/>
      <c r="AF828" s="1447"/>
      <c r="AG828" s="1445"/>
      <c r="AH828" s="1446"/>
      <c r="AI828" s="1446"/>
      <c r="AJ828" s="1447"/>
      <c r="AK828"/>
      <c r="AL828" s="2"/>
      <c r="AM828" s="2"/>
      <c r="AN828" s="2"/>
      <c r="AO828" s="2"/>
      <c r="AP828" s="2"/>
      <c r="AQ828" s="2"/>
      <c r="AR828" s="2"/>
      <c r="AS828" s="2"/>
      <c r="AT828" s="2"/>
      <c r="AU828"/>
      <c r="AV828" s="2"/>
      <c r="AW828" s="2"/>
      <c r="AX828" s="2"/>
      <c r="AY828" s="2"/>
      <c r="AZ828" s="23"/>
      <c r="BA828" s="23"/>
    </row>
    <row r="829" spans="1:55" s="11" customFormat="1" ht="13.2" customHeight="1">
      <c r="A829"/>
      <c r="B829"/>
      <c r="C829" s="1459" t="s">
        <v>1527</v>
      </c>
      <c r="D829" s="1396"/>
      <c r="E829" s="1396"/>
      <c r="F829" s="1396"/>
      <c r="G829" s="1396"/>
      <c r="H829" s="1396"/>
      <c r="I829" s="1161"/>
      <c r="J829" s="1161"/>
      <c r="K829" s="1161"/>
      <c r="L829" s="1162"/>
      <c r="M829" s="1535"/>
      <c r="N829" s="1535"/>
      <c r="O829" s="1535"/>
      <c r="P829" s="1535"/>
      <c r="Q829" s="1535"/>
      <c r="R829" s="1535"/>
      <c r="S829" s="1535"/>
      <c r="T829" s="1535"/>
      <c r="U829" s="1535"/>
      <c r="V829" s="1535"/>
      <c r="W829" s="1535"/>
      <c r="X829" s="1535"/>
      <c r="Y829" s="1535"/>
      <c r="Z829" s="1535"/>
      <c r="AA829" s="1535"/>
      <c r="AB829" s="1535"/>
      <c r="AC829" s="1445"/>
      <c r="AD829" s="1446"/>
      <c r="AE829" s="1446"/>
      <c r="AF829" s="1447"/>
      <c r="AG829" s="1445"/>
      <c r="AH829" s="1446"/>
      <c r="AI829" s="1446"/>
      <c r="AJ829" s="1447"/>
      <c r="AK829"/>
      <c r="AL829" s="2"/>
      <c r="AM829" s="2"/>
      <c r="AN829" s="2"/>
      <c r="AO829" s="2"/>
      <c r="AP829" s="2"/>
      <c r="AQ829" s="2"/>
      <c r="AR829" s="2"/>
      <c r="AS829" s="2"/>
      <c r="AT829" s="2"/>
      <c r="AU829"/>
      <c r="AV829" s="2"/>
      <c r="AW829" s="2"/>
      <c r="AX829" s="2"/>
      <c r="AY829" s="2"/>
      <c r="AZ829" s="23"/>
      <c r="BA829" s="23"/>
    </row>
    <row r="830" spans="1:55" s="11" customFormat="1" ht="13.2" customHeight="1">
      <c r="A830"/>
      <c r="B830"/>
      <c r="C830" s="1373" t="s">
        <v>1528</v>
      </c>
      <c r="D830" s="1396"/>
      <c r="E830" s="1396"/>
      <c r="F830" s="1396"/>
      <c r="G830" s="1396"/>
      <c r="H830" s="1396"/>
      <c r="I830" s="1161"/>
      <c r="J830" s="1161"/>
      <c r="K830" s="1161"/>
      <c r="L830" s="1162"/>
      <c r="M830" s="1535"/>
      <c r="N830" s="1535"/>
      <c r="O830" s="1535"/>
      <c r="P830" s="1535"/>
      <c r="Q830" s="1535"/>
      <c r="R830" s="1535"/>
      <c r="S830" s="1535"/>
      <c r="T830" s="1535"/>
      <c r="U830" s="1535"/>
      <c r="V830" s="1535"/>
      <c r="W830" s="1535"/>
      <c r="X830" s="1535"/>
      <c r="Y830" s="1535"/>
      <c r="Z830" s="1535"/>
      <c r="AA830" s="1535"/>
      <c r="AB830" s="1535"/>
      <c r="AC830" s="1445"/>
      <c r="AD830" s="1446"/>
      <c r="AE830" s="1446"/>
      <c r="AF830" s="1447"/>
      <c r="AG830" s="1445"/>
      <c r="AH830" s="1446"/>
      <c r="AI830" s="1446"/>
      <c r="AJ830" s="1447"/>
      <c r="AK830"/>
      <c r="AL830" s="2"/>
      <c r="AM830" s="2"/>
      <c r="AN830" s="2"/>
      <c r="AO830" s="2"/>
      <c r="AP830" s="2"/>
      <c r="AQ830" s="2"/>
      <c r="AR830" s="2"/>
      <c r="AS830" s="2"/>
      <c r="AT830" s="2"/>
      <c r="AU830"/>
      <c r="AV830" s="2"/>
      <c r="AW830" s="2"/>
      <c r="AX830" s="2"/>
      <c r="AY830" s="2"/>
      <c r="AZ830" s="23"/>
      <c r="BA830" s="23"/>
    </row>
    <row r="831" spans="1:55" s="11" customFormat="1" ht="13.2" customHeight="1">
      <c r="A831"/>
      <c r="B831"/>
      <c r="C831" s="1166" t="s">
        <v>1529</v>
      </c>
      <c r="D831" s="1161"/>
      <c r="E831" s="1161"/>
      <c r="F831" s="1577" t="s">
        <v>1530</v>
      </c>
      <c r="G831" s="1578"/>
      <c r="H831" s="1578"/>
      <c r="I831" s="1578"/>
      <c r="J831" s="1578"/>
      <c r="K831" s="1578"/>
      <c r="L831" s="1578"/>
      <c r="M831" s="1535"/>
      <c r="N831" s="1535"/>
      <c r="O831" s="1535"/>
      <c r="P831" s="1535"/>
      <c r="Q831" s="1535">
        <v>32</v>
      </c>
      <c r="R831" s="1535"/>
      <c r="S831" s="1535"/>
      <c r="T831" s="1535"/>
      <c r="U831" s="1535">
        <v>45</v>
      </c>
      <c r="V831" s="1535"/>
      <c r="W831" s="1535"/>
      <c r="X831" s="1535"/>
      <c r="Y831" s="1535">
        <v>59</v>
      </c>
      <c r="Z831" s="1535"/>
      <c r="AA831" s="1535"/>
      <c r="AB831" s="1535"/>
      <c r="AC831" s="1445"/>
      <c r="AD831" s="1446"/>
      <c r="AE831" s="1446"/>
      <c r="AF831" s="1447"/>
      <c r="AG831" s="1445"/>
      <c r="AH831" s="1446"/>
      <c r="AI831" s="1446"/>
      <c r="AJ831" s="1447"/>
      <c r="AK831"/>
      <c r="AL831" s="2"/>
      <c r="AM831" s="2"/>
      <c r="AN831" s="2"/>
      <c r="AO831" s="2"/>
      <c r="AP831" s="2"/>
      <c r="AQ831" s="2"/>
      <c r="AR831" s="2"/>
      <c r="AS831" s="2"/>
      <c r="AT831" s="2"/>
      <c r="AU831"/>
      <c r="AV831" s="2"/>
      <c r="AW831" s="2"/>
      <c r="AX831" s="2"/>
      <c r="AY831" s="2"/>
      <c r="AZ831" s="23"/>
      <c r="BA831" s="23"/>
    </row>
    <row r="832" spans="1:55" s="11" customFormat="1" ht="13.2" customHeight="1">
      <c r="A832"/>
      <c r="B832"/>
      <c r="C832" s="1363" t="s">
        <v>1475</v>
      </c>
      <c r="D832" s="1364"/>
      <c r="E832" s="1364"/>
      <c r="F832" s="1364"/>
      <c r="G832" s="1364"/>
      <c r="H832" s="1364"/>
      <c r="I832" s="1364"/>
      <c r="J832" s="1364"/>
      <c r="K832" s="1364"/>
      <c r="L832" s="1366"/>
      <c r="M832" s="1584">
        <f>SUM(M825:P831)</f>
        <v>0</v>
      </c>
      <c r="N832" s="1584"/>
      <c r="O832" s="1584"/>
      <c r="P832" s="1584"/>
      <c r="Q832" s="1584">
        <f>SUM(Q825:T831)</f>
        <v>59</v>
      </c>
      <c r="R832" s="1584"/>
      <c r="S832" s="1584"/>
      <c r="T832" s="1584"/>
      <c r="U832" s="1584">
        <f>SUM(U825:X831)</f>
        <v>80</v>
      </c>
      <c r="V832" s="1584"/>
      <c r="W832" s="1584"/>
      <c r="X832" s="1584"/>
      <c r="Y832" s="1584">
        <f>SUM(Y825:AB831)</f>
        <v>103</v>
      </c>
      <c r="Z832" s="1584"/>
      <c r="AA832" s="1584"/>
      <c r="AB832" s="1584"/>
      <c r="AC832" s="1584">
        <f>SUM(AC825:AF831)</f>
        <v>0</v>
      </c>
      <c r="AD832" s="1584"/>
      <c r="AE832" s="1584"/>
      <c r="AF832" s="1584"/>
      <c r="AG832" s="1584">
        <f>SUM(AG825:AJ831)</f>
        <v>0</v>
      </c>
      <c r="AH832" s="1584"/>
      <c r="AI832" s="1584"/>
      <c r="AJ832" s="1584"/>
      <c r="AK832"/>
      <c r="AL832" s="2"/>
      <c r="AM832" s="2"/>
      <c r="AN832" s="2"/>
      <c r="AO832" s="2"/>
      <c r="AP832" s="2"/>
      <c r="AQ832" s="2"/>
      <c r="AR832" s="2"/>
      <c r="AS832" s="2"/>
      <c r="AT832" s="2"/>
      <c r="AU832"/>
      <c r="AV832" s="2"/>
      <c r="AW832" s="2"/>
      <c r="AX832" s="2"/>
      <c r="AY832" s="2"/>
      <c r="AZ832" s="23"/>
      <c r="BA832" s="23"/>
    </row>
    <row r="833" spans="1:64" s="11" customFormat="1" ht="13.2" customHeight="1">
      <c r="A833"/>
      <c r="B833"/>
      <c r="C833" s="38" t="s">
        <v>1531</v>
      </c>
      <c r="D833" s="37"/>
      <c r="E833" s="37"/>
      <c r="F833" s="37"/>
      <c r="G833" s="37"/>
      <c r="H833" s="37"/>
      <c r="I833" s="37"/>
      <c r="J833" s="37"/>
      <c r="K833" s="37"/>
      <c r="L833" s="37"/>
      <c r="M833" s="101"/>
      <c r="N833" s="101"/>
      <c r="O833" s="101"/>
      <c r="P833" s="101"/>
      <c r="Q833" s="101"/>
      <c r="R833" s="101"/>
      <c r="S833" s="101"/>
      <c r="T833" s="101"/>
      <c r="U833" s="101"/>
      <c r="V833" s="101"/>
      <c r="W833" s="101"/>
      <c r="X833" s="101"/>
      <c r="Y833" s="101"/>
      <c r="Z833" s="101"/>
      <c r="AA833" s="101"/>
      <c r="AB833" s="101"/>
      <c r="AC833" s="101"/>
      <c r="AD833" s="101"/>
      <c r="AE833" s="101"/>
      <c r="AF833" s="101"/>
      <c r="AG833" s="101"/>
      <c r="AH833" s="101"/>
      <c r="AI833" s="101"/>
      <c r="AJ833" s="101"/>
      <c r="AK833"/>
      <c r="AL833" s="2"/>
      <c r="AM833" s="2"/>
      <c r="AN833" s="2"/>
      <c r="AO833" s="2"/>
      <c r="AP833" s="2"/>
      <c r="AQ833" s="2"/>
      <c r="AR833" s="2"/>
      <c r="AS833" s="2"/>
      <c r="AT833" s="2"/>
      <c r="AU833"/>
      <c r="AV833" s="2"/>
      <c r="AW833" s="2"/>
      <c r="AX833" s="2"/>
      <c r="AY833" s="2"/>
      <c r="AZ833" s="23"/>
      <c r="BA833" s="23"/>
    </row>
    <row r="834" spans="1:64" s="11" customFormat="1" ht="13.2" customHeight="1">
      <c r="A834"/>
      <c r="B834"/>
      <c r="C834" s="38" t="s">
        <v>1532</v>
      </c>
      <c r="D834" s="37"/>
      <c r="E834" s="37"/>
      <c r="F834" s="37"/>
      <c r="G834" s="37"/>
      <c r="H834" s="37"/>
      <c r="I834" s="37"/>
      <c r="J834" s="37"/>
      <c r="K834" s="37"/>
      <c r="L834" s="37"/>
      <c r="M834" s="101"/>
      <c r="N834" s="101"/>
      <c r="O834" s="101"/>
      <c r="P834" s="101"/>
      <c r="Q834" s="101"/>
      <c r="R834" s="101"/>
      <c r="S834" s="101"/>
      <c r="T834" s="101"/>
      <c r="U834" s="101"/>
      <c r="V834" s="101"/>
      <c r="W834" s="101"/>
      <c r="X834" s="101"/>
      <c r="Y834" s="101"/>
      <c r="Z834" s="101"/>
      <c r="AA834" s="101"/>
      <c r="AB834" s="101"/>
      <c r="AC834" s="101"/>
      <c r="AD834" s="101"/>
      <c r="AE834" s="101"/>
      <c r="AF834" s="101"/>
      <c r="AG834" s="101"/>
      <c r="AH834" s="101"/>
      <c r="AI834" s="101"/>
      <c r="AJ834" s="101"/>
      <c r="AK834"/>
      <c r="AL834" s="2"/>
      <c r="AM834" s="2"/>
      <c r="AN834" s="2"/>
      <c r="AO834" s="2"/>
      <c r="AP834" s="2"/>
      <c r="AQ834" s="2"/>
      <c r="AR834" s="2"/>
      <c r="AS834" s="2"/>
      <c r="AT834" s="2"/>
      <c r="AU834"/>
      <c r="AV834"/>
      <c r="AW834"/>
      <c r="AX834"/>
      <c r="AY834"/>
      <c r="AZ834" s="23"/>
      <c r="BA834" s="23"/>
    </row>
    <row r="835" spans="1:64" s="11" customFormat="1" ht="13.2" customHeight="1">
      <c r="A835"/>
      <c r="B835"/>
      <c r="C835" s="37"/>
      <c r="D835" s="37"/>
      <c r="E835" s="37"/>
      <c r="F835" s="37"/>
      <c r="G835" s="37"/>
      <c r="H835" s="37"/>
      <c r="I835" s="37"/>
      <c r="J835" s="37"/>
      <c r="K835" s="37"/>
      <c r="L835" s="37"/>
      <c r="M835" s="101"/>
      <c r="N835" s="101"/>
      <c r="O835" s="101"/>
      <c r="P835" s="101"/>
      <c r="Q835" s="101"/>
      <c r="R835" s="101"/>
      <c r="S835" s="101"/>
      <c r="T835" s="101"/>
      <c r="U835" s="101"/>
      <c r="V835" s="101"/>
      <c r="W835" s="101"/>
      <c r="X835" s="101"/>
      <c r="Y835" s="101"/>
      <c r="Z835" s="101"/>
      <c r="AA835" s="101"/>
      <c r="AB835" s="101"/>
      <c r="AC835" s="101"/>
      <c r="AD835" s="101"/>
      <c r="AE835" s="101"/>
      <c r="AF835" s="101"/>
      <c r="AG835" s="101"/>
      <c r="AH835" s="101"/>
      <c r="AI835" s="101"/>
      <c r="AJ835" s="101"/>
      <c r="AK835"/>
      <c r="AL835" s="2"/>
      <c r="AM835" s="2"/>
      <c r="AN835" s="2"/>
      <c r="AO835" s="2"/>
      <c r="AP835" s="2"/>
      <c r="AQ835" s="2"/>
      <c r="AR835" s="2"/>
      <c r="AS835" s="2"/>
      <c r="AT835" s="2"/>
      <c r="AU835"/>
      <c r="AV835"/>
      <c r="AW835"/>
      <c r="AX835"/>
      <c r="AY835"/>
      <c r="AZ835" s="23"/>
      <c r="BA835" s="23"/>
    </row>
    <row r="836" spans="1:64" s="11" customFormat="1" ht="13.2" customHeight="1">
      <c r="A836"/>
      <c r="B836"/>
      <c r="C836" s="1" t="s">
        <v>1533</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3.2" customHeight="1">
      <c r="A837"/>
      <c r="B837"/>
      <c r="C837" s="1590" t="s">
        <v>1534</v>
      </c>
      <c r="D837" s="1591"/>
      <c r="E837" s="1591"/>
      <c r="F837" s="1591"/>
      <c r="G837" s="1591"/>
      <c r="H837" s="1591"/>
      <c r="I837" s="1591"/>
      <c r="J837" s="1591"/>
      <c r="K837" s="1591"/>
      <c r="L837" s="1591"/>
      <c r="M837" s="1591"/>
      <c r="N837" s="1591"/>
      <c r="O837" s="1591"/>
      <c r="P837" s="1591"/>
      <c r="Q837" s="1591"/>
      <c r="R837" s="1591"/>
      <c r="S837" s="1591"/>
      <c r="T837" s="1591"/>
      <c r="U837" s="1591"/>
      <c r="V837" s="1591"/>
      <c r="W837" s="1591"/>
      <c r="X837" s="1591"/>
      <c r="Y837" s="1591"/>
      <c r="Z837" s="1591"/>
      <c r="AA837" s="1591"/>
      <c r="AB837" s="1591"/>
      <c r="AC837" s="1591"/>
      <c r="AD837" s="1591"/>
      <c r="AE837" s="1591"/>
      <c r="AF837" s="1591"/>
      <c r="AG837" s="1591"/>
      <c r="AH837" s="1591"/>
      <c r="AI837" s="1591"/>
      <c r="AJ837" s="1592"/>
      <c r="AK837"/>
      <c r="AL837" s="2"/>
      <c r="AM837" s="2"/>
      <c r="AN837" s="2"/>
      <c r="AO837" s="2"/>
      <c r="AP837" s="2"/>
      <c r="AQ837" s="2"/>
      <c r="AR837" s="2"/>
      <c r="AS837" s="2"/>
      <c r="AT837" s="2"/>
      <c r="AU837"/>
      <c r="AV837"/>
      <c r="AW837"/>
      <c r="AX837"/>
      <c r="AY837"/>
      <c r="AZ837" s="23"/>
      <c r="BA837" s="23"/>
    </row>
    <row r="838" spans="1:64" s="11" customFormat="1" ht="13.2" customHeight="1">
      <c r="A838"/>
      <c r="B838" s="2"/>
      <c r="C838" s="2" t="s">
        <v>1535</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3.2"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3.2" customHeight="1">
      <c r="A840" s="1" t="s">
        <v>1107</v>
      </c>
      <c r="B840"/>
      <c r="C840" s="1" t="s">
        <v>1536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96"/>
      <c r="BJ841" s="1596"/>
      <c r="BK841" s="1596"/>
      <c r="BL841" s="1596"/>
    </row>
    <row r="842" spans="1:64" s="11" customFormat="1" ht="13.2" customHeight="1">
      <c r="A842"/>
      <c r="B842"/>
      <c r="C842" s="1" t="s">
        <v>1537</v>
      </c>
      <c r="D842"/>
      <c r="E842"/>
      <c r="F842"/>
      <c r="G842"/>
      <c r="H842"/>
      <c r="I842"/>
      <c r="J842" s="1105" t="s">
        <v>1538</v>
      </c>
      <c r="K842" s="4"/>
      <c r="L842" s="4"/>
      <c r="M842" s="4"/>
      <c r="N842" s="4"/>
      <c r="O842" s="4"/>
      <c r="P842" s="4"/>
      <c r="Q842" s="4"/>
      <c r="R842" s="4"/>
      <c r="S842" s="4"/>
      <c r="T842" s="4"/>
      <c r="U842" s="4"/>
      <c r="V842" s="1106"/>
      <c r="W842" s="1573">
        <f>3500+9500</f>
        <v>13000</v>
      </c>
      <c r="X842" s="1573"/>
      <c r="Y842" s="1573"/>
      <c r="Z842" s="1573"/>
      <c r="AA842" s="1573"/>
      <c r="AB842" s="1573"/>
      <c r="AC842" s="1573"/>
      <c r="AD842"/>
      <c r="AE842"/>
      <c r="AF842"/>
      <c r="AG842"/>
      <c r="AH842"/>
      <c r="AI842"/>
      <c r="AJ842"/>
      <c r="AK842"/>
      <c r="AL842"/>
      <c r="AM842"/>
      <c r="AN842"/>
      <c r="AO842"/>
      <c r="AP842"/>
      <c r="AQ842"/>
      <c r="AR842"/>
      <c r="AS842"/>
      <c r="AT842"/>
      <c r="AU842"/>
      <c r="AV842"/>
      <c r="AW842"/>
      <c r="AX842"/>
      <c r="AY842"/>
      <c r="AZ842" s="23"/>
      <c r="BA842" s="23"/>
    </row>
    <row r="843" spans="1:64" s="11" customFormat="1" ht="13.2" customHeight="1">
      <c r="A843"/>
      <c r="B843"/>
      <c r="C843"/>
      <c r="D843"/>
      <c r="E843"/>
      <c r="F843"/>
      <c r="G843"/>
      <c r="H843"/>
      <c r="I843"/>
      <c r="J843" s="1105" t="s">
        <v>1539</v>
      </c>
      <c r="K843" s="4"/>
      <c r="L843" s="4"/>
      <c r="M843" s="4"/>
      <c r="N843" s="4"/>
      <c r="O843" s="4"/>
      <c r="P843" s="4"/>
      <c r="Q843" s="4"/>
      <c r="R843" s="4"/>
      <c r="S843" s="4"/>
      <c r="T843" s="4"/>
      <c r="U843" s="4"/>
      <c r="V843" s="1106"/>
      <c r="W843" s="1573">
        <v>700</v>
      </c>
      <c r="X843" s="1573"/>
      <c r="Y843" s="1573"/>
      <c r="Z843" s="1573"/>
      <c r="AA843" s="1573"/>
      <c r="AB843" s="1573"/>
      <c r="AC843" s="1573"/>
      <c r="AD843"/>
      <c r="AE843"/>
      <c r="AF843"/>
      <c r="AG843"/>
      <c r="AH843"/>
      <c r="AI843"/>
      <c r="AJ843"/>
      <c r="AK843"/>
      <c r="AL843"/>
      <c r="AM843"/>
      <c r="AN843"/>
      <c r="AO843"/>
      <c r="AP843"/>
      <c r="AQ843"/>
      <c r="AR843"/>
      <c r="AS843"/>
      <c r="AT843"/>
      <c r="AU843"/>
      <c r="AV843"/>
      <c r="AW843"/>
      <c r="AX843"/>
      <c r="AY843"/>
      <c r="AZ843" s="23"/>
      <c r="BA843" s="23"/>
    </row>
    <row r="844" spans="1:64" ht="13.2" customHeight="1">
      <c r="J844" s="1105" t="s">
        <v>1540</v>
      </c>
      <c r="K844" s="4"/>
      <c r="L844" s="4"/>
      <c r="M844" s="4"/>
      <c r="N844" s="4"/>
      <c r="O844" s="4"/>
      <c r="P844" s="4"/>
      <c r="Q844" s="4"/>
      <c r="R844" s="4"/>
      <c r="S844" s="4"/>
      <c r="T844" s="4"/>
      <c r="U844" s="4"/>
      <c r="V844" s="1106"/>
      <c r="W844" s="1573">
        <f>3500+8400</f>
        <v>11900</v>
      </c>
      <c r="X844" s="1573"/>
      <c r="Y844" s="1573"/>
      <c r="Z844" s="1573"/>
      <c r="AA844" s="1573"/>
      <c r="AB844" s="1573"/>
      <c r="AC844" s="1573"/>
      <c r="AZ844" s="23"/>
      <c r="BA844" s="23"/>
      <c r="BB844" s="11"/>
      <c r="BC844" s="11"/>
      <c r="BD844" s="11"/>
      <c r="BE844" s="11"/>
      <c r="BF844" s="11"/>
      <c r="BG844" s="11"/>
      <c r="BH844" s="11"/>
      <c r="BI844" s="11"/>
      <c r="BJ844" s="11"/>
      <c r="BK844" s="11"/>
      <c r="BL844" s="11"/>
    </row>
    <row r="845" spans="1:64" ht="13.2" customHeight="1">
      <c r="J845" s="1105" t="s">
        <v>1541</v>
      </c>
      <c r="K845" s="4"/>
      <c r="L845" s="4"/>
      <c r="M845" s="4"/>
      <c r="N845" s="4"/>
      <c r="O845" s="4"/>
      <c r="P845" s="4"/>
      <c r="Q845" s="4"/>
      <c r="R845" s="4"/>
      <c r="S845" s="4"/>
      <c r="T845" s="4"/>
      <c r="U845" s="4"/>
      <c r="V845" s="1106"/>
      <c r="W845" s="1573"/>
      <c r="X845" s="1573"/>
      <c r="Y845" s="1573"/>
      <c r="Z845" s="1573"/>
      <c r="AA845" s="1573"/>
      <c r="AB845" s="1573"/>
      <c r="AC845" s="1573"/>
      <c r="AZ845" s="23"/>
      <c r="BA845" s="23"/>
      <c r="BB845" s="11"/>
      <c r="BC845" s="11"/>
      <c r="BD845" s="11"/>
      <c r="BE845" s="11"/>
      <c r="BF845" s="11"/>
      <c r="BG845" s="11"/>
      <c r="BH845" s="11"/>
      <c r="BI845" s="11"/>
      <c r="BJ845" s="11"/>
      <c r="BK845" s="11"/>
      <c r="BL845" s="11"/>
    </row>
    <row r="846" spans="1:64" ht="13.2" customHeight="1">
      <c r="J846" s="1105" t="s">
        <v>233</v>
      </c>
      <c r="K846" s="4"/>
      <c r="L846" s="4"/>
      <c r="M846" s="1577" t="s">
        <v>1542</v>
      </c>
      <c r="N846" s="1578"/>
      <c r="O846" s="1578"/>
      <c r="P846" s="1578"/>
      <c r="Q846" s="1578"/>
      <c r="R846" s="1578"/>
      <c r="S846" s="1578"/>
      <c r="T846" s="1578"/>
      <c r="U846" s="1578"/>
      <c r="V846" s="1579"/>
      <c r="W846" s="1573">
        <f>1400+42700-9500-20000</f>
        <v>14600</v>
      </c>
      <c r="X846" s="1573"/>
      <c r="Y846" s="1573"/>
      <c r="Z846" s="1573"/>
      <c r="AA846" s="1573"/>
      <c r="AB846" s="1573"/>
      <c r="AC846" s="1573"/>
      <c r="AZ846" s="23"/>
      <c r="BA846" s="23"/>
      <c r="BB846" s="11"/>
      <c r="BC846" s="11"/>
      <c r="BD846" s="11"/>
      <c r="BE846" s="11"/>
      <c r="BF846" s="11"/>
      <c r="BG846" s="11"/>
      <c r="BH846" s="11"/>
      <c r="BI846" s="11"/>
      <c r="BJ846" s="11"/>
      <c r="BK846" s="11"/>
      <c r="BL846" s="11"/>
    </row>
    <row r="847" spans="1:64" ht="13.2" customHeight="1">
      <c r="J847" s="1105"/>
      <c r="K847" s="4"/>
      <c r="L847" s="4"/>
      <c r="M847" s="4"/>
      <c r="N847" s="4"/>
      <c r="O847" s="4"/>
      <c r="P847" s="4"/>
      <c r="Q847" s="4"/>
      <c r="R847" s="4"/>
      <c r="S847" s="4"/>
      <c r="T847" s="4"/>
      <c r="U847" s="4"/>
      <c r="V847" s="1158" t="s">
        <v>1543</v>
      </c>
      <c r="W847" s="1428">
        <f>SUM(W842:W846)</f>
        <v>40200</v>
      </c>
      <c r="X847" s="1429"/>
      <c r="Y847" s="1429"/>
      <c r="Z847" s="1429"/>
      <c r="AA847" s="1429"/>
      <c r="AB847" s="1429"/>
      <c r="AC847" s="1430"/>
      <c r="AZ847" s="23"/>
      <c r="BA847" s="23"/>
      <c r="BB847" s="11"/>
      <c r="BC847" s="11"/>
      <c r="BD847" s="11"/>
      <c r="BE847" s="11"/>
      <c r="BF847" s="11"/>
      <c r="BG847" s="11"/>
      <c r="BH847" s="11"/>
      <c r="BI847" s="11"/>
      <c r="BJ847" s="11"/>
      <c r="BK847" s="11"/>
      <c r="BL847" s="11"/>
    </row>
    <row r="848" spans="1:64" ht="13.2" customHeight="1">
      <c r="AZ848" s="23"/>
      <c r="BA848" s="23"/>
      <c r="BB848" s="11"/>
      <c r="BC848" s="11"/>
      <c r="BD848" s="11"/>
      <c r="BE848" s="11"/>
      <c r="BF848" s="11"/>
      <c r="BG848" s="1569"/>
      <c r="BH848" s="1569"/>
      <c r="BI848" s="1569"/>
      <c r="BJ848" s="1569"/>
      <c r="BK848" s="1569"/>
      <c r="BL848" s="1569"/>
    </row>
    <row r="849" spans="3:55" ht="13.2" customHeight="1">
      <c r="C849" s="1" t="s">
        <v>1544</v>
      </c>
      <c r="J849" s="1363" t="s">
        <v>1545</v>
      </c>
      <c r="K849" s="1364"/>
      <c r="L849" s="1364"/>
      <c r="M849" s="1364"/>
      <c r="N849" s="1364"/>
      <c r="O849" s="1364"/>
      <c r="P849" s="1364"/>
      <c r="Q849" s="1364"/>
      <c r="R849" s="1364"/>
      <c r="S849" s="1364"/>
      <c r="T849" s="1364"/>
      <c r="U849" s="1364"/>
      <c r="V849" s="1366"/>
      <c r="W849" s="1431">
        <f>79800+39040</f>
        <v>118840</v>
      </c>
      <c r="X849" s="1302"/>
      <c r="Y849" s="1302"/>
      <c r="Z849" s="1302"/>
      <c r="AA849" s="1302"/>
      <c r="AB849" s="1302"/>
      <c r="AC849" s="1303"/>
      <c r="AD849" s="382"/>
      <c r="AZ849" s="23"/>
      <c r="BA849" s="23"/>
      <c r="BB849" s="11"/>
      <c r="BC849" s="11"/>
    </row>
    <row r="850" spans="3:55" ht="13.2" customHeight="1">
      <c r="AD850" s="382"/>
      <c r="AZ850" s="23"/>
      <c r="BA850" s="23"/>
      <c r="BB850" s="11"/>
      <c r="BC850" s="11"/>
    </row>
    <row r="851" spans="3:55" ht="13.2" customHeight="1">
      <c r="C851" s="1" t="s">
        <v>230</v>
      </c>
      <c r="J851" s="1105" t="s">
        <v>1546</v>
      </c>
      <c r="K851" s="4"/>
      <c r="L851" s="4"/>
      <c r="M851" s="4"/>
      <c r="N851" s="4"/>
      <c r="O851" s="4"/>
      <c r="P851" s="4"/>
      <c r="Q851" s="4"/>
      <c r="R851" s="4"/>
      <c r="S851" s="4"/>
      <c r="T851" s="4"/>
      <c r="U851" s="4"/>
      <c r="V851" s="1106"/>
      <c r="W851" s="1588"/>
      <c r="X851" s="1588"/>
      <c r="Y851" s="1588"/>
      <c r="Z851" s="1588"/>
      <c r="AA851" s="1588"/>
      <c r="AB851" s="1588"/>
      <c r="AC851" s="1588"/>
      <c r="AZ851" s="1555"/>
      <c r="BA851" s="1555"/>
      <c r="BB851" s="11"/>
      <c r="BC851" s="11"/>
    </row>
    <row r="852" spans="3:55" ht="13.2" customHeight="1">
      <c r="J852" s="1105" t="s">
        <v>1547</v>
      </c>
      <c r="K852" s="4"/>
      <c r="L852" s="4"/>
      <c r="M852" s="4"/>
      <c r="N852" s="4"/>
      <c r="O852" s="4"/>
      <c r="P852" s="4"/>
      <c r="Q852" s="4"/>
      <c r="R852" s="4"/>
      <c r="S852" s="4"/>
      <c r="T852" s="4"/>
      <c r="U852" s="4"/>
      <c r="V852" s="1106"/>
      <c r="W852" s="1588"/>
      <c r="X852" s="1588"/>
      <c r="Y852" s="1588"/>
      <c r="Z852" s="1588"/>
      <c r="AA852" s="1588"/>
      <c r="AB852" s="1588"/>
      <c r="AC852" s="1588"/>
      <c r="AZ852" s="23"/>
      <c r="BA852" s="23"/>
      <c r="BB852" s="11"/>
      <c r="BC852" s="11"/>
    </row>
    <row r="853" spans="3:55" ht="13.2" customHeight="1">
      <c r="J853" s="1105" t="s">
        <v>1527</v>
      </c>
      <c r="K853" s="4"/>
      <c r="L853" s="4"/>
      <c r="M853" s="4"/>
      <c r="N853" s="4"/>
      <c r="O853" s="4"/>
      <c r="P853" s="4"/>
      <c r="Q853" s="4"/>
      <c r="R853" s="4"/>
      <c r="S853" s="4"/>
      <c r="T853" s="4"/>
      <c r="U853" s="4"/>
      <c r="V853" s="1106"/>
      <c r="W853" s="1588">
        <v>50000</v>
      </c>
      <c r="X853" s="1588"/>
      <c r="Y853" s="1588"/>
      <c r="Z853" s="1588"/>
      <c r="AA853" s="1588"/>
      <c r="AB853" s="1588"/>
      <c r="AC853" s="1588"/>
      <c r="AZ853" s="23"/>
      <c r="BA853" s="23"/>
      <c r="BB853" s="11"/>
      <c r="BC853" s="11"/>
    </row>
    <row r="854" spans="3:55" ht="13.2" customHeight="1">
      <c r="J854" s="1058" t="s">
        <v>1548</v>
      </c>
      <c r="K854" s="4"/>
      <c r="L854" s="4"/>
      <c r="M854" s="4"/>
      <c r="N854" s="4"/>
      <c r="O854" s="4"/>
      <c r="P854" s="4"/>
      <c r="Q854" s="4"/>
      <c r="R854" s="4"/>
      <c r="S854" s="4"/>
      <c r="T854" s="4"/>
      <c r="U854" s="4"/>
      <c r="V854" s="1106"/>
      <c r="W854" s="1588">
        <f>55900+10000</f>
        <v>65900</v>
      </c>
      <c r="X854" s="1588"/>
      <c r="Y854" s="1588"/>
      <c r="Z854" s="1588"/>
      <c r="AA854" s="1588"/>
      <c r="AB854" s="1588"/>
      <c r="AC854" s="1588"/>
      <c r="AZ854" s="2"/>
      <c r="BA854" s="2"/>
      <c r="BB854" s="2"/>
      <c r="BC854" s="2"/>
    </row>
    <row r="855" spans="3:55" ht="13.2" customHeight="1">
      <c r="J855" s="40"/>
      <c r="K855" s="32"/>
      <c r="L855" s="32"/>
      <c r="M855" s="32"/>
      <c r="N855" s="32"/>
      <c r="O855" s="32"/>
      <c r="P855" s="32"/>
      <c r="Q855" s="32"/>
      <c r="R855" s="32"/>
      <c r="S855" s="32"/>
      <c r="T855" s="32"/>
      <c r="U855" s="32"/>
      <c r="V855" s="1158" t="s">
        <v>1549</v>
      </c>
      <c r="W855" s="1589">
        <f>SUM(W851:W854)</f>
        <v>115900</v>
      </c>
      <c r="X855" s="1589"/>
      <c r="Y855" s="1589"/>
      <c r="Z855" s="1589"/>
      <c r="AA855" s="1589"/>
      <c r="AB855" s="1589"/>
      <c r="AC855" s="1589"/>
      <c r="AZ855" s="2"/>
      <c r="BA855" s="2"/>
      <c r="BB855" s="2"/>
      <c r="BC855" s="2"/>
    </row>
    <row r="856" spans="3:55" ht="13.2" customHeight="1">
      <c r="AZ856" s="2"/>
      <c r="BA856" s="2"/>
      <c r="BB856" s="2"/>
      <c r="BC856" s="2"/>
    </row>
    <row r="857" spans="3:55" ht="13.2" customHeight="1">
      <c r="C857" s="1" t="s">
        <v>1550</v>
      </c>
      <c r="J857" s="1105" t="s">
        <v>1551</v>
      </c>
      <c r="K857" s="4"/>
      <c r="L857" s="4"/>
      <c r="M857" s="4"/>
      <c r="N857" s="4"/>
      <c r="O857" s="4"/>
      <c r="P857" s="4"/>
      <c r="Q857" s="4"/>
      <c r="R857" s="4"/>
      <c r="S857" s="4"/>
      <c r="T857" s="4"/>
      <c r="U857" s="4"/>
      <c r="V857" s="1106"/>
      <c r="W857" s="1585">
        <v>114000</v>
      </c>
      <c r="X857" s="1586"/>
      <c r="Y857" s="1586"/>
      <c r="Z857" s="1586"/>
      <c r="AA857" s="1586"/>
      <c r="AB857" s="1586"/>
      <c r="AC857" s="1587"/>
      <c r="AD857" s="377"/>
      <c r="AZ857" s="2"/>
      <c r="BA857" s="2"/>
      <c r="BB857" s="2"/>
      <c r="BC857" s="2"/>
    </row>
    <row r="858" spans="3:55" ht="13.2" customHeight="1">
      <c r="C858" s="1" t="s">
        <v>1552</v>
      </c>
      <c r="J858" s="1107" t="s">
        <v>1553</v>
      </c>
      <c r="K858" s="4"/>
      <c r="L858" s="4"/>
      <c r="M858" s="4"/>
      <c r="N858" s="4"/>
      <c r="O858" s="4"/>
      <c r="P858" s="4"/>
      <c r="Q858" s="4"/>
      <c r="R858" s="4"/>
      <c r="S858" s="4"/>
      <c r="T858" s="1571">
        <v>2</v>
      </c>
      <c r="U858" s="1534"/>
      <c r="V858" s="1572"/>
      <c r="W858" s="1110"/>
      <c r="X858" s="1111"/>
      <c r="Y858" s="1111"/>
      <c r="Z858" s="1111"/>
      <c r="AA858" s="1111"/>
      <c r="AB858" s="1111"/>
      <c r="AC858" s="1112"/>
      <c r="AD858" s="377"/>
      <c r="AZ858" s="2"/>
      <c r="BA858" s="2"/>
      <c r="BB858" s="2"/>
      <c r="BC858" s="2"/>
    </row>
    <row r="859" spans="3:55" ht="13.2" customHeight="1">
      <c r="C859" s="1"/>
      <c r="J859" s="1105" t="s">
        <v>1554</v>
      </c>
      <c r="K859" s="4"/>
      <c r="L859" s="4"/>
      <c r="M859" s="4"/>
      <c r="N859" s="4"/>
      <c r="O859" s="4"/>
      <c r="P859" s="4"/>
      <c r="Q859" s="4"/>
      <c r="R859" s="4"/>
      <c r="S859" s="4"/>
      <c r="T859" s="4"/>
      <c r="U859" s="4"/>
      <c r="V859" s="1106"/>
      <c r="W859" s="1585"/>
      <c r="X859" s="1586"/>
      <c r="Y859" s="1586"/>
      <c r="Z859" s="1586"/>
      <c r="AA859" s="1586"/>
      <c r="AB859" s="1586"/>
      <c r="AC859" s="1587"/>
      <c r="AD859" s="382"/>
      <c r="AZ859" s="2"/>
      <c r="BA859" s="2"/>
      <c r="BB859" s="2"/>
      <c r="BC859" s="2"/>
    </row>
    <row r="860" spans="3:55" ht="13.2" customHeight="1">
      <c r="C860" s="1"/>
      <c r="J860" s="1107" t="s">
        <v>1555</v>
      </c>
      <c r="K860" s="4"/>
      <c r="L860" s="4"/>
      <c r="M860" s="4"/>
      <c r="N860" s="4"/>
      <c r="O860" s="4"/>
      <c r="P860" s="4"/>
      <c r="Q860" s="4"/>
      <c r="R860" s="4"/>
      <c r="S860" s="4"/>
      <c r="T860" s="1571"/>
      <c r="U860" s="1534"/>
      <c r="V860" s="1572"/>
      <c r="W860" s="1110"/>
      <c r="X860" s="1111"/>
      <c r="Y860" s="1111"/>
      <c r="Z860" s="1111"/>
      <c r="AA860" s="1111"/>
      <c r="AB860" s="1111"/>
      <c r="AC860" s="1112"/>
      <c r="AD860" s="382"/>
      <c r="AZ860" s="2"/>
      <c r="BA860" s="2"/>
      <c r="BB860" s="2"/>
      <c r="BC860" s="2"/>
    </row>
    <row r="861" spans="3:55" ht="13.2" customHeight="1">
      <c r="J861" s="1105" t="s">
        <v>233</v>
      </c>
      <c r="K861" s="4"/>
      <c r="L861" s="4"/>
      <c r="M861" s="1577" t="s">
        <v>1556</v>
      </c>
      <c r="N861" s="1578"/>
      <c r="O861" s="1578"/>
      <c r="P861" s="1578"/>
      <c r="Q861" s="1578"/>
      <c r="R861" s="1578"/>
      <c r="S861" s="1578"/>
      <c r="T861" s="1578"/>
      <c r="U861" s="1578"/>
      <c r="V861" s="1579"/>
      <c r="W861" s="1585">
        <f>63700+16000</f>
        <v>79700</v>
      </c>
      <c r="X861" s="1586"/>
      <c r="Y861" s="1586"/>
      <c r="Z861" s="1586"/>
      <c r="AA861" s="1586"/>
      <c r="AB861" s="1586"/>
      <c r="AC861" s="1587"/>
      <c r="AD861" s="377"/>
      <c r="AU861" s="11"/>
      <c r="AZ861" s="2"/>
      <c r="BA861" s="2"/>
      <c r="BB861" s="2"/>
      <c r="BC861" s="2"/>
    </row>
    <row r="862" spans="3:55" ht="13.2" customHeight="1">
      <c r="J862" s="1105"/>
      <c r="K862" s="4"/>
      <c r="L862" s="4"/>
      <c r="M862" s="4"/>
      <c r="N862" s="4"/>
      <c r="O862" s="4"/>
      <c r="P862" s="4"/>
      <c r="Q862" s="4"/>
      <c r="R862" s="4"/>
      <c r="S862" s="4"/>
      <c r="T862" s="4"/>
      <c r="U862" s="4"/>
      <c r="V862" s="1158" t="s">
        <v>1557</v>
      </c>
      <c r="W862" s="1574">
        <f>SUM(W857:W861)</f>
        <v>193700</v>
      </c>
      <c r="X862" s="1575"/>
      <c r="Y862" s="1575"/>
      <c r="Z862" s="1575"/>
      <c r="AA862" s="1575"/>
      <c r="AB862" s="1575"/>
      <c r="AC862" s="1576"/>
      <c r="AD862" s="382"/>
      <c r="AU862" s="11"/>
      <c r="AZ862" s="2"/>
      <c r="BA862" s="2"/>
      <c r="BB862" s="2"/>
      <c r="BC862" s="2"/>
    </row>
    <row r="863" spans="3:55" ht="13.2" customHeight="1">
      <c r="J863" s="1105"/>
      <c r="K863" s="4"/>
      <c r="L863" s="4"/>
      <c r="M863" s="4"/>
      <c r="N863" s="4"/>
      <c r="O863" s="4"/>
      <c r="P863" s="4"/>
      <c r="Q863" s="4"/>
      <c r="R863" s="4"/>
      <c r="S863" s="4"/>
      <c r="T863" s="4"/>
      <c r="U863" s="4"/>
      <c r="V863" s="1158" t="s">
        <v>1558</v>
      </c>
      <c r="W863" s="1585"/>
      <c r="X863" s="1586"/>
      <c r="Y863" s="1586"/>
      <c r="Z863" s="1586"/>
      <c r="AA863" s="1586"/>
      <c r="AB863" s="1586"/>
      <c r="AC863" s="1587"/>
      <c r="AU863" s="11"/>
      <c r="AZ863" s="2"/>
      <c r="BA863" s="2"/>
      <c r="BB863" s="2"/>
      <c r="BC863" s="2"/>
    </row>
    <row r="864" spans="3:55" ht="13.2" customHeight="1">
      <c r="J864" s="363"/>
      <c r="AU864" s="11"/>
      <c r="AZ864" s="2"/>
      <c r="BA864" s="2"/>
      <c r="BB864" s="2"/>
      <c r="BC864" s="2"/>
    </row>
    <row r="865" spans="3:55" ht="13.2" customHeight="1">
      <c r="C865" s="1" t="s">
        <v>232</v>
      </c>
      <c r="J865" s="1105" t="s">
        <v>1559</v>
      </c>
      <c r="K865" s="4"/>
      <c r="L865" s="4"/>
      <c r="M865" s="4"/>
      <c r="N865" s="4"/>
      <c r="O865" s="4"/>
      <c r="P865" s="4"/>
      <c r="Q865" s="4"/>
      <c r="R865" s="4"/>
      <c r="S865" s="4"/>
      <c r="T865" s="4"/>
      <c r="U865" s="4"/>
      <c r="V865" s="1106"/>
      <c r="W865" s="1573"/>
      <c r="X865" s="1573"/>
      <c r="Y865" s="1573"/>
      <c r="Z865" s="1573"/>
      <c r="AA865" s="1573"/>
      <c r="AB865" s="1573"/>
      <c r="AC865" s="1573"/>
      <c r="AU865" s="11"/>
      <c r="AZ865" s="2"/>
      <c r="BA865" s="2"/>
      <c r="BB865" s="2"/>
      <c r="BC865" s="2"/>
    </row>
    <row r="866" spans="3:55" ht="13.2" customHeight="1">
      <c r="J866" s="1105" t="s">
        <v>1560</v>
      </c>
      <c r="K866" s="4"/>
      <c r="L866" s="4"/>
      <c r="M866" s="4"/>
      <c r="N866" s="4"/>
      <c r="O866" s="4"/>
      <c r="P866" s="4"/>
      <c r="Q866" s="4"/>
      <c r="R866" s="4"/>
      <c r="S866" s="4"/>
      <c r="T866" s="4"/>
      <c r="U866" s="4"/>
      <c r="V866" s="1106"/>
      <c r="W866" s="1573">
        <v>30200</v>
      </c>
      <c r="X866" s="1573"/>
      <c r="Y866" s="1573"/>
      <c r="Z866" s="1573"/>
      <c r="AA866" s="1573"/>
      <c r="AB866" s="1573"/>
      <c r="AC866" s="1573"/>
      <c r="AU866" s="2"/>
      <c r="AZ866" s="2"/>
      <c r="BA866" s="2"/>
      <c r="BB866" s="2"/>
      <c r="BC866" s="2"/>
    </row>
    <row r="867" spans="3:55" ht="13.2" customHeight="1">
      <c r="J867" s="1105" t="s">
        <v>1561</v>
      </c>
      <c r="K867" s="4"/>
      <c r="L867" s="4"/>
      <c r="M867" s="4"/>
      <c r="N867" s="4"/>
      <c r="O867" s="4"/>
      <c r="P867" s="4"/>
      <c r="Q867" s="4"/>
      <c r="R867" s="4"/>
      <c r="S867" s="4"/>
      <c r="T867" s="4"/>
      <c r="U867" s="4"/>
      <c r="V867" s="1106"/>
      <c r="W867" s="1573">
        <v>27300</v>
      </c>
      <c r="X867" s="1573"/>
      <c r="Y867" s="1573"/>
      <c r="Z867" s="1573"/>
      <c r="AA867" s="1573"/>
      <c r="AB867" s="1573"/>
      <c r="AC867" s="1573"/>
      <c r="AU867" s="2"/>
      <c r="AZ867" s="2"/>
      <c r="BA867" s="2"/>
      <c r="BB867" s="2"/>
      <c r="BC867" s="2"/>
    </row>
    <row r="868" spans="3:55" ht="13.2" customHeight="1">
      <c r="J868" s="1105" t="s">
        <v>1562</v>
      </c>
      <c r="K868" s="4"/>
      <c r="L868" s="4"/>
      <c r="M868" s="4"/>
      <c r="N868" s="4"/>
      <c r="O868" s="4"/>
      <c r="P868" s="4"/>
      <c r="Q868" s="4"/>
      <c r="R868" s="4"/>
      <c r="S868" s="4"/>
      <c r="T868" s="4"/>
      <c r="U868" s="4"/>
      <c r="V868" s="1106"/>
      <c r="W868" s="1573"/>
      <c r="X868" s="1573"/>
      <c r="Y868" s="1573"/>
      <c r="Z868" s="1573"/>
      <c r="AA868" s="1573"/>
      <c r="AB868" s="1573"/>
      <c r="AC868" s="1573"/>
      <c r="AU868" s="2"/>
      <c r="AZ868" s="2"/>
      <c r="BA868" s="2"/>
      <c r="BB868" s="2"/>
      <c r="BC868" s="2"/>
    </row>
    <row r="869" spans="3:55" ht="13.2" customHeight="1">
      <c r="J869" s="1105" t="s">
        <v>1563</v>
      </c>
      <c r="K869" s="4"/>
      <c r="L869" s="4"/>
      <c r="M869" s="4"/>
      <c r="N869" s="4"/>
      <c r="O869" s="4"/>
      <c r="P869" s="4"/>
      <c r="Q869" s="4"/>
      <c r="R869" s="4"/>
      <c r="S869" s="4"/>
      <c r="T869" s="4"/>
      <c r="U869" s="4"/>
      <c r="V869" s="1106"/>
      <c r="W869" s="1573"/>
      <c r="X869" s="1573"/>
      <c r="Y869" s="1573"/>
      <c r="Z869" s="1573"/>
      <c r="AA869" s="1573"/>
      <c r="AB869" s="1573"/>
      <c r="AC869" s="1573"/>
      <c r="AU869" s="2"/>
      <c r="AZ869" s="2"/>
      <c r="BA869" s="2"/>
      <c r="BB869" s="2"/>
      <c r="BC869" s="2"/>
    </row>
    <row r="870" spans="3:55" ht="13.2" customHeight="1">
      <c r="J870" s="1105" t="s">
        <v>1564</v>
      </c>
      <c r="K870" s="4"/>
      <c r="L870" s="4"/>
      <c r="M870" s="4"/>
      <c r="N870" s="4"/>
      <c r="O870" s="4"/>
      <c r="P870" s="4"/>
      <c r="Q870" s="4"/>
      <c r="R870" s="4"/>
      <c r="S870" s="4"/>
      <c r="T870" s="4"/>
      <c r="U870" s="4"/>
      <c r="V870" s="1106"/>
      <c r="W870" s="1573">
        <v>30000</v>
      </c>
      <c r="X870" s="1573"/>
      <c r="Y870" s="1573"/>
      <c r="Z870" s="1573"/>
      <c r="AA870" s="1573"/>
      <c r="AB870" s="1573"/>
      <c r="AC870" s="1573"/>
      <c r="AU870" s="2"/>
      <c r="AZ870" s="2"/>
      <c r="BA870" s="2"/>
      <c r="BB870" s="2"/>
      <c r="BC870" s="2"/>
    </row>
    <row r="871" spans="3:55" ht="13.2" customHeight="1">
      <c r="J871" s="1105" t="s">
        <v>233</v>
      </c>
      <c r="K871" s="4"/>
      <c r="L871" s="4"/>
      <c r="M871" s="1577" t="s">
        <v>1565</v>
      </c>
      <c r="N871" s="1578"/>
      <c r="O871" s="1578"/>
      <c r="P871" s="1578"/>
      <c r="Q871" s="1578"/>
      <c r="R871" s="1578"/>
      <c r="S871" s="1578"/>
      <c r="T871" s="1578"/>
      <c r="U871" s="1578"/>
      <c r="V871" s="1579"/>
      <c r="W871" s="1573">
        <v>68260</v>
      </c>
      <c r="X871" s="1573"/>
      <c r="Y871" s="1573"/>
      <c r="Z871" s="1573"/>
      <c r="AA871" s="1573"/>
      <c r="AB871" s="1573"/>
      <c r="AC871" s="1573"/>
      <c r="AD871" s="382"/>
      <c r="AU871" s="2"/>
      <c r="AV871" s="11"/>
      <c r="AW871" s="11"/>
      <c r="AX871" s="11"/>
      <c r="AY871" s="11"/>
      <c r="AZ871" s="2"/>
      <c r="BA871" s="2"/>
      <c r="BB871" s="2"/>
      <c r="BC871" s="2"/>
    </row>
    <row r="872" spans="3:55" ht="13.2" customHeight="1">
      <c r="J872" s="1105"/>
      <c r="K872" s="4"/>
      <c r="L872" s="4"/>
      <c r="M872" s="4"/>
      <c r="N872" s="4"/>
      <c r="O872" s="4"/>
      <c r="P872" s="4"/>
      <c r="Q872" s="4"/>
      <c r="R872" s="4"/>
      <c r="S872" s="4"/>
      <c r="T872" s="4"/>
      <c r="U872" s="4"/>
      <c r="V872" s="1158" t="s">
        <v>1566</v>
      </c>
      <c r="W872" s="1536">
        <f>SUM(W865:W871)</f>
        <v>155760</v>
      </c>
      <c r="X872" s="1536"/>
      <c r="Y872" s="1536"/>
      <c r="Z872" s="1536"/>
      <c r="AA872" s="1536"/>
      <c r="AB872" s="1536"/>
      <c r="AC872" s="1536"/>
      <c r="AU872" s="2"/>
      <c r="AV872" s="11"/>
      <c r="AW872" s="11"/>
      <c r="AX872" s="11"/>
      <c r="AY872" s="11"/>
      <c r="AZ872" s="2"/>
      <c r="BA872" s="2"/>
      <c r="BB872" s="2"/>
      <c r="BC872" s="2"/>
    </row>
    <row r="873" spans="3:55" ht="13.2" customHeight="1">
      <c r="AU873" s="2"/>
      <c r="AV873" s="11"/>
      <c r="AW873" s="11"/>
      <c r="AX873" s="11"/>
      <c r="AY873" s="11"/>
      <c r="AZ873" s="2"/>
      <c r="BA873" s="2"/>
      <c r="BB873" s="2"/>
      <c r="BC873" s="2"/>
    </row>
    <row r="874" spans="3:55" ht="13.2" customHeight="1">
      <c r="C874" s="1" t="s">
        <v>1567</v>
      </c>
      <c r="J874" s="1105" t="s">
        <v>233</v>
      </c>
      <c r="K874" s="4"/>
      <c r="L874" s="4"/>
      <c r="M874" s="1577" t="s">
        <v>1568</v>
      </c>
      <c r="N874" s="1578"/>
      <c r="O874" s="1578"/>
      <c r="P874" s="1578"/>
      <c r="Q874" s="1578"/>
      <c r="R874" s="1578"/>
      <c r="S874" s="1578"/>
      <c r="T874" s="1578"/>
      <c r="U874" s="1578"/>
      <c r="V874" s="1579"/>
      <c r="W874" s="1431">
        <v>75600</v>
      </c>
      <c r="X874" s="1302"/>
      <c r="Y874" s="1302"/>
      <c r="Z874" s="1302"/>
      <c r="AA874" s="1302"/>
      <c r="AB874" s="1302"/>
      <c r="AC874" s="1303"/>
      <c r="AD874" s="382"/>
      <c r="AV874" s="11"/>
      <c r="AW874" s="11"/>
      <c r="AX874" s="11"/>
      <c r="AY874" s="11"/>
      <c r="AZ874" s="2"/>
      <c r="BA874" s="2"/>
      <c r="BB874" s="2"/>
      <c r="BC874" s="2"/>
    </row>
    <row r="875" spans="3:55" ht="13.2" customHeight="1">
      <c r="C875" s="1" t="s">
        <v>1569</v>
      </c>
      <c r="J875" s="1105" t="s">
        <v>233</v>
      </c>
      <c r="K875" s="4"/>
      <c r="L875" s="4"/>
      <c r="M875" s="1577" t="s">
        <v>1338</v>
      </c>
      <c r="N875" s="1578"/>
      <c r="O875" s="1578"/>
      <c r="P875" s="1578"/>
      <c r="Q875" s="1578"/>
      <c r="R875" s="1578"/>
      <c r="S875" s="1578"/>
      <c r="T875" s="1578"/>
      <c r="U875" s="1578"/>
      <c r="V875" s="1579"/>
      <c r="W875" s="1431"/>
      <c r="X875" s="1302"/>
      <c r="Y875" s="1302"/>
      <c r="Z875" s="1302"/>
      <c r="AA875" s="1302"/>
      <c r="AB875" s="1302"/>
      <c r="AC875" s="1303"/>
      <c r="AD875" s="382"/>
      <c r="AV875" s="11"/>
      <c r="AW875" s="11"/>
      <c r="AX875" s="11"/>
      <c r="AY875" s="11"/>
      <c r="AZ875" s="2"/>
      <c r="BA875" s="2"/>
      <c r="BB875" s="2"/>
      <c r="BC875" s="2"/>
    </row>
    <row r="876" spans="3:55" ht="13.2" customHeight="1">
      <c r="J876" s="1105" t="s">
        <v>233</v>
      </c>
      <c r="K876" s="4"/>
      <c r="L876" s="4"/>
      <c r="M876" s="1577" t="s">
        <v>1338</v>
      </c>
      <c r="N876" s="1578"/>
      <c r="O876" s="1578"/>
      <c r="P876" s="1578"/>
      <c r="Q876" s="1578"/>
      <c r="R876" s="1578"/>
      <c r="S876" s="1578"/>
      <c r="T876" s="1578"/>
      <c r="U876" s="1578"/>
      <c r="V876" s="1579"/>
      <c r="W876" s="1431"/>
      <c r="X876" s="1302"/>
      <c r="Y876" s="1302"/>
      <c r="Z876" s="1302"/>
      <c r="AA876" s="1302"/>
      <c r="AB876" s="1302"/>
      <c r="AC876" s="1303"/>
      <c r="AL876" s="11"/>
      <c r="AM876" s="11"/>
      <c r="AN876" s="11"/>
      <c r="AO876" s="11"/>
      <c r="AP876" s="11"/>
      <c r="AQ876" s="11"/>
      <c r="AR876" s="11"/>
      <c r="AS876" s="11"/>
      <c r="AT876" s="11"/>
      <c r="AV876" s="2"/>
      <c r="AW876" s="2"/>
      <c r="AX876" s="2"/>
      <c r="AY876" s="2"/>
      <c r="AZ876" s="2"/>
      <c r="BA876" s="2"/>
      <c r="BB876" s="2"/>
      <c r="BC876" s="2"/>
    </row>
    <row r="877" spans="3:55" ht="13.2" customHeight="1">
      <c r="J877" s="1105" t="s">
        <v>233</v>
      </c>
      <c r="K877" s="4"/>
      <c r="L877" s="4"/>
      <c r="M877" s="1577" t="s">
        <v>1338</v>
      </c>
      <c r="N877" s="1578"/>
      <c r="O877" s="1578"/>
      <c r="P877" s="1578"/>
      <c r="Q877" s="1578"/>
      <c r="R877" s="1578"/>
      <c r="S877" s="1578"/>
      <c r="T877" s="1578"/>
      <c r="U877" s="1578"/>
      <c r="V877" s="1579"/>
      <c r="W877" s="1431"/>
      <c r="X877" s="1302"/>
      <c r="Y877" s="1302"/>
      <c r="Z877" s="1302"/>
      <c r="AA877" s="1302"/>
      <c r="AB877" s="1302"/>
      <c r="AC877" s="1303"/>
      <c r="AL877" s="11"/>
      <c r="AM877" s="11"/>
      <c r="AN877" s="11"/>
      <c r="AO877" s="11"/>
      <c r="AP877" s="11"/>
      <c r="AQ877" s="11"/>
      <c r="AR877" s="11"/>
      <c r="AS877" s="11"/>
      <c r="AT877" s="11"/>
      <c r="AV877" s="2"/>
      <c r="AW877" s="2"/>
      <c r="AX877" s="2"/>
      <c r="AY877" s="2"/>
      <c r="AZ877" s="2"/>
      <c r="BA877" s="2"/>
      <c r="BB877" s="2"/>
      <c r="BC877" s="2"/>
    </row>
    <row r="878" spans="3:55" ht="13.2" customHeight="1">
      <c r="J878" s="1105" t="s">
        <v>233</v>
      </c>
      <c r="K878" s="4"/>
      <c r="L878" s="4"/>
      <c r="M878" s="1577" t="s">
        <v>1338</v>
      </c>
      <c r="N878" s="1578"/>
      <c r="O878" s="1578"/>
      <c r="P878" s="1578"/>
      <c r="Q878" s="1578"/>
      <c r="R878" s="1578"/>
      <c r="S878" s="1578"/>
      <c r="T878" s="1578"/>
      <c r="U878" s="1578"/>
      <c r="V878" s="1579"/>
      <c r="W878" s="1431"/>
      <c r="X878" s="1302"/>
      <c r="Y878" s="1302"/>
      <c r="Z878" s="1302"/>
      <c r="AA878" s="1302"/>
      <c r="AB878" s="1302"/>
      <c r="AC878" s="1303"/>
      <c r="AL878" s="11"/>
      <c r="AM878" s="11"/>
      <c r="AN878" s="11"/>
      <c r="AO878" s="11"/>
      <c r="AP878" s="11"/>
      <c r="AQ878" s="11"/>
      <c r="AR878" s="11"/>
      <c r="AS878" s="11"/>
      <c r="AT878" s="11"/>
      <c r="AV878" s="2"/>
      <c r="AW878" s="2"/>
      <c r="AX878" s="2"/>
      <c r="AY878" s="2"/>
      <c r="AZ878" s="2"/>
      <c r="BA878" s="2"/>
      <c r="BB878" s="2"/>
      <c r="BC878" s="2"/>
    </row>
    <row r="879" spans="3:55" ht="13.2" customHeight="1">
      <c r="J879" s="1105"/>
      <c r="K879" s="4"/>
      <c r="L879" s="4"/>
      <c r="M879" s="4"/>
      <c r="N879" s="4"/>
      <c r="O879" s="4"/>
      <c r="P879" s="4"/>
      <c r="Q879" s="4"/>
      <c r="R879" s="4"/>
      <c r="S879" s="4"/>
      <c r="T879" s="4"/>
      <c r="U879" s="4"/>
      <c r="V879" s="1158" t="s">
        <v>1570</v>
      </c>
      <c r="W879" s="1428">
        <f>SUM(W874:W878)</f>
        <v>75600</v>
      </c>
      <c r="X879" s="1429"/>
      <c r="Y879" s="1429"/>
      <c r="Z879" s="1429"/>
      <c r="AA879" s="1429"/>
      <c r="AB879" s="1429"/>
      <c r="AC879" s="1430"/>
      <c r="AL879" s="11"/>
      <c r="AM879" s="11"/>
      <c r="AN879" s="11"/>
      <c r="AO879" s="11"/>
      <c r="AP879" s="11"/>
      <c r="AQ879" s="11"/>
      <c r="AR879" s="11"/>
      <c r="AS879" s="11"/>
      <c r="AT879" s="11"/>
      <c r="AV879" s="2"/>
      <c r="AW879" s="2"/>
      <c r="AX879" s="2"/>
      <c r="AY879" s="2"/>
      <c r="AZ879" s="2"/>
      <c r="BA879" s="2"/>
      <c r="BB879" s="2"/>
      <c r="BC879" s="2"/>
    </row>
    <row r="880" spans="3:55" ht="13.2" customHeight="1">
      <c r="E880" s="363"/>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3.2" customHeight="1">
      <c r="C881" s="1" t="s">
        <v>1571</v>
      </c>
      <c r="I881" s="382"/>
      <c r="J881" s="382"/>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3.2" customHeight="1">
      <c r="E882" s="363"/>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3.2"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71" t="s">
        <v>1572</v>
      </c>
      <c r="AC883" s="1429">
        <f>W847+W855+W862+W863+W872+W879+W849</f>
        <v>700000</v>
      </c>
      <c r="AD883" s="1429"/>
      <c r="AE883" s="1429"/>
      <c r="AF883" s="1429"/>
      <c r="AG883" s="1429"/>
      <c r="AH883" s="1430"/>
      <c r="AL883" s="2"/>
      <c r="AM883" s="2"/>
      <c r="AN883" s="2"/>
      <c r="AO883" s="2"/>
      <c r="AP883" s="2"/>
      <c r="AQ883" s="2"/>
      <c r="AR883" s="2"/>
      <c r="AS883" s="2"/>
      <c r="AT883" s="2"/>
      <c r="AV883" s="2"/>
      <c r="AW883" s="2"/>
      <c r="AX883" s="2"/>
      <c r="AY883" s="2"/>
      <c r="AZ883" s="2"/>
      <c r="BA883" s="2"/>
      <c r="BB883" s="2"/>
      <c r="BC883" s="2"/>
    </row>
    <row r="884" spans="3:55" ht="13.2"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71" t="s">
        <v>1573</v>
      </c>
      <c r="AC884" s="1580">
        <f>O797+O777+G753</f>
        <v>100</v>
      </c>
      <c r="AD884" s="1580"/>
      <c r="AE884" s="1580"/>
      <c r="AF884" s="1580"/>
      <c r="AG884" s="1580"/>
      <c r="AH884" s="1581"/>
      <c r="AL884" s="2"/>
      <c r="AM884" s="2"/>
      <c r="AN884" s="2"/>
      <c r="AO884" s="2"/>
      <c r="AP884" s="2"/>
      <c r="AQ884" s="2"/>
      <c r="AR884" s="2"/>
      <c r="AS884" s="2"/>
      <c r="AT884" s="2"/>
      <c r="AZ884" s="2"/>
      <c r="BA884" s="2"/>
      <c r="BB884" s="2"/>
      <c r="BC884" s="2"/>
    </row>
    <row r="885" spans="3:55" ht="13.2" customHeight="1">
      <c r="C885" s="29"/>
      <c r="D885" s="30"/>
      <c r="E885" s="1647" t="s">
        <v>1574</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536">
        <f>IF(ISERROR((ROUNDDOWN(AC883/AC884,0))),0,(ROUNDDOWN(AC883/AC884,0)))</f>
        <v>7000</v>
      </c>
      <c r="AD885" s="1536"/>
      <c r="AE885" s="1536"/>
      <c r="AF885" s="1536"/>
      <c r="AG885" s="1536"/>
      <c r="AH885" s="1536"/>
      <c r="AL885" s="2"/>
      <c r="AM885" s="2"/>
      <c r="AN885" s="2"/>
      <c r="AO885" s="2"/>
      <c r="AP885" s="2"/>
      <c r="AQ885" s="2"/>
      <c r="AR885" s="2"/>
      <c r="AS885" s="2"/>
      <c r="AT885" s="2"/>
      <c r="AZ885" s="2"/>
      <c r="BA885" s="2"/>
      <c r="BB885" s="2"/>
      <c r="BC885" s="2"/>
    </row>
    <row r="886" spans="3:55" ht="13.2" customHeight="1">
      <c r="C886" s="1105"/>
      <c r="D886" s="4"/>
      <c r="E886" s="4"/>
      <c r="F886" s="4"/>
      <c r="G886" s="4"/>
      <c r="H886" s="4"/>
      <c r="I886" s="4"/>
      <c r="J886" s="4"/>
      <c r="K886" s="4"/>
      <c r="L886" s="4"/>
      <c r="M886" s="4"/>
      <c r="N886" s="4"/>
      <c r="O886" s="4"/>
      <c r="P886" s="4"/>
      <c r="Q886" s="4"/>
      <c r="R886" s="4"/>
      <c r="S886" s="4"/>
      <c r="T886" s="4"/>
      <c r="U886" s="4"/>
      <c r="V886" s="4"/>
      <c r="W886" s="4"/>
      <c r="X886" s="4"/>
      <c r="Y886" s="4"/>
      <c r="Z886" s="4"/>
      <c r="AA886" s="4"/>
      <c r="AB886" s="1158" t="s">
        <v>1575</v>
      </c>
      <c r="AC886" s="1582">
        <v>693007</v>
      </c>
      <c r="AD886" s="1583"/>
      <c r="AE886" s="1583"/>
      <c r="AF886" s="1583"/>
      <c r="AG886" s="1583"/>
      <c r="AH886" s="1583"/>
      <c r="AL886" s="2"/>
      <c r="AM886" s="2"/>
      <c r="AN886" s="2"/>
      <c r="AO886" s="2"/>
      <c r="AP886" s="2"/>
      <c r="AQ886" s="2"/>
      <c r="AR886" s="2"/>
      <c r="AS886" s="2"/>
      <c r="AT886" s="2"/>
      <c r="AZ886" s="2"/>
      <c r="BA886" s="2"/>
      <c r="BB886" s="2"/>
      <c r="BC886" s="2"/>
    </row>
    <row r="887" spans="3:55" ht="13.2" customHeight="1">
      <c r="C887" s="1105"/>
      <c r="D887" s="4"/>
      <c r="E887" s="4"/>
      <c r="F887" s="4"/>
      <c r="G887" s="4"/>
      <c r="H887" s="4"/>
      <c r="I887" s="4"/>
      <c r="J887" s="4"/>
      <c r="K887" s="4"/>
      <c r="L887" s="4"/>
      <c r="M887" s="4"/>
      <c r="N887" s="4"/>
      <c r="O887" s="4"/>
      <c r="P887" s="4"/>
      <c r="Q887" s="4"/>
      <c r="R887" s="4"/>
      <c r="S887" s="4"/>
      <c r="T887" s="4"/>
      <c r="U887" s="4"/>
      <c r="V887" s="4"/>
      <c r="W887" s="4"/>
      <c r="X887" s="4"/>
      <c r="Y887" s="4"/>
      <c r="Z887" s="4"/>
      <c r="AA887" s="4"/>
      <c r="AB887" s="1158" t="s">
        <v>1576</v>
      </c>
      <c r="AC887" s="1303"/>
      <c r="AD887" s="1573"/>
      <c r="AE887" s="1573"/>
      <c r="AF887" s="1573"/>
      <c r="AG887" s="1573"/>
      <c r="AH887" s="1573"/>
      <c r="AL887" s="2"/>
      <c r="AM887" s="2"/>
      <c r="AN887" s="2"/>
      <c r="AO887" s="2"/>
      <c r="AP887" s="2"/>
      <c r="AQ887" s="2"/>
      <c r="AR887" s="2"/>
      <c r="AS887" s="2"/>
      <c r="AT887" s="2"/>
      <c r="AZ887" s="2"/>
      <c r="BA887" s="2"/>
      <c r="BB887" s="2"/>
      <c r="BC887" s="2"/>
    </row>
    <row r="888" spans="3:55" ht="13.2" customHeight="1">
      <c r="C888" s="1105"/>
      <c r="D888" s="4"/>
      <c r="E888" s="4"/>
      <c r="F888" s="4"/>
      <c r="G888" s="4"/>
      <c r="H888" s="4"/>
      <c r="I888" s="4"/>
      <c r="J888" s="4"/>
      <c r="K888" s="4"/>
      <c r="L888" s="4"/>
      <c r="M888" s="4"/>
      <c r="N888" s="4"/>
      <c r="O888" s="4"/>
      <c r="P888" s="4"/>
      <c r="Q888" s="4"/>
      <c r="R888" s="4"/>
      <c r="S888" s="4"/>
      <c r="T888" s="4"/>
      <c r="U888" s="4"/>
      <c r="V888" s="4"/>
      <c r="W888" s="4"/>
      <c r="X888" s="4"/>
      <c r="Y888" s="4"/>
      <c r="Z888" s="4"/>
      <c r="AA888" s="4"/>
      <c r="AB888" s="1158" t="s">
        <v>1577</v>
      </c>
      <c r="AC888" s="1302">
        <v>25000</v>
      </c>
      <c r="AD888" s="1302"/>
      <c r="AE888" s="1302"/>
      <c r="AF888" s="1302"/>
      <c r="AG888" s="1302"/>
      <c r="AH888" s="1303"/>
      <c r="AL888" s="2"/>
      <c r="AM888" s="2"/>
      <c r="AN888" s="2"/>
      <c r="AO888" s="2"/>
      <c r="AP888" s="2"/>
      <c r="AQ888" s="2"/>
      <c r="AR888" s="2"/>
      <c r="AS888" s="2"/>
      <c r="AT888" s="2"/>
      <c r="AZ888" s="2"/>
      <c r="BA888" s="2"/>
      <c r="BB888" s="2"/>
      <c r="BC888" s="2"/>
    </row>
    <row r="889" spans="3:55" ht="13.2" customHeight="1">
      <c r="C889" s="1105"/>
      <c r="D889" s="4"/>
      <c r="E889" s="4"/>
      <c r="F889" s="4"/>
      <c r="G889" s="4"/>
      <c r="H889" s="4"/>
      <c r="I889" s="4"/>
      <c r="J889" s="4"/>
      <c r="K889" s="4"/>
      <c r="L889" s="4"/>
      <c r="M889" s="4"/>
      <c r="N889" s="4"/>
      <c r="O889" s="4"/>
      <c r="P889" s="4"/>
      <c r="Q889" s="4"/>
      <c r="R889" s="4"/>
      <c r="S889" s="4"/>
      <c r="T889" s="4"/>
      <c r="U889" s="4"/>
      <c r="V889" s="4"/>
      <c r="W889" s="4"/>
      <c r="X889" s="4"/>
      <c r="Y889" s="4"/>
      <c r="Z889" s="4"/>
      <c r="AA889" s="4"/>
      <c r="AB889" s="1158" t="s">
        <v>1578</v>
      </c>
      <c r="AC889" s="1302">
        <v>25000</v>
      </c>
      <c r="AD889" s="1302"/>
      <c r="AE889" s="1302"/>
      <c r="AF889" s="1302"/>
      <c r="AG889" s="1302"/>
      <c r="AH889" s="1303"/>
      <c r="AZ889" s="2"/>
      <c r="BA889" s="2"/>
      <c r="BB889" s="2"/>
      <c r="BC889" s="2"/>
    </row>
    <row r="890" spans="3:55" ht="13.2" customHeight="1">
      <c r="C890" s="1105"/>
      <c r="D890" s="4"/>
      <c r="E890" s="4"/>
      <c r="F890" s="4"/>
      <c r="G890" s="4"/>
      <c r="H890" s="4"/>
      <c r="I890" s="4"/>
      <c r="J890" s="4"/>
      <c r="K890" s="4"/>
      <c r="L890" s="4"/>
      <c r="M890" s="4"/>
      <c r="N890" s="4"/>
      <c r="O890" s="4"/>
      <c r="P890" s="4"/>
      <c r="Q890" s="4"/>
      <c r="R890" s="4"/>
      <c r="S890" s="4"/>
      <c r="T890" s="4"/>
      <c r="U890" s="4"/>
      <c r="V890" s="4"/>
      <c r="W890" s="4"/>
      <c r="X890" s="4"/>
      <c r="Y890" s="4"/>
      <c r="Z890" s="4"/>
      <c r="AA890" s="4"/>
      <c r="AB890" s="1158" t="s">
        <v>1579</v>
      </c>
      <c r="AC890" s="1445">
        <v>9662</v>
      </c>
      <c r="AD890" s="1446"/>
      <c r="AE890" s="1446"/>
      <c r="AF890" s="1446"/>
      <c r="AG890" s="1446"/>
      <c r="AH890" s="1447"/>
      <c r="AZ890" s="2"/>
      <c r="BA890" s="2"/>
      <c r="BB890" s="2"/>
      <c r="BC890" s="2"/>
    </row>
    <row r="891" spans="3:55" ht="13.2" customHeight="1">
      <c r="C891" s="1105"/>
      <c r="D891" s="4"/>
      <c r="E891" s="4"/>
      <c r="F891" s="4"/>
      <c r="G891" s="4"/>
      <c r="H891" s="4"/>
      <c r="I891" s="4"/>
      <c r="J891" s="4"/>
      <c r="K891" s="4"/>
      <c r="L891" s="4"/>
      <c r="M891" s="4"/>
      <c r="N891" s="4"/>
      <c r="O891" s="4"/>
      <c r="P891" s="4"/>
      <c r="Q891" s="4"/>
      <c r="R891" s="4"/>
      <c r="S891" s="4"/>
      <c r="T891" s="4"/>
      <c r="U891" s="4"/>
      <c r="V891" s="4"/>
      <c r="W891" s="4"/>
      <c r="X891" s="4"/>
      <c r="Y891" s="4"/>
      <c r="Z891" s="4"/>
      <c r="AA891" s="4"/>
      <c r="AB891" s="1158" t="s">
        <v>1580</v>
      </c>
      <c r="AC891" s="1302"/>
      <c r="AD891" s="1302"/>
      <c r="AE891" s="1302"/>
      <c r="AF891" s="1302"/>
      <c r="AG891" s="1302"/>
      <c r="AH891" s="1303"/>
      <c r="AZ891" s="2"/>
      <c r="BA891" s="2"/>
      <c r="BB891" s="2"/>
      <c r="BC891" s="2"/>
    </row>
    <row r="892" spans="3:55" ht="13.2" hidden="1" customHeight="1">
      <c r="C892" s="1363" t="s">
        <v>1581</v>
      </c>
      <c r="D892" s="1364"/>
      <c r="E892" s="1364"/>
      <c r="F892" s="1364"/>
      <c r="G892" s="1364"/>
      <c r="H892" s="1364"/>
      <c r="I892" s="1364"/>
      <c r="J892" s="1364"/>
      <c r="K892" s="1364"/>
      <c r="L892" s="1364"/>
      <c r="M892" s="1364"/>
      <c r="N892" s="1364"/>
      <c r="O892" s="1364"/>
      <c r="P892" s="1364"/>
      <c r="Q892" s="1364"/>
      <c r="R892" s="1364"/>
      <c r="S892" s="1364"/>
      <c r="T892" s="1364"/>
      <c r="U892" s="1364"/>
      <c r="V892" s="1364"/>
      <c r="W892" s="1364"/>
      <c r="X892" s="1364"/>
      <c r="Y892" s="1364"/>
      <c r="Z892" s="1364"/>
      <c r="AA892" s="1364"/>
      <c r="AB892" s="1366"/>
      <c r="AC892" s="1302"/>
      <c r="AD892" s="1302"/>
      <c r="AE892" s="1302"/>
      <c r="AF892" s="1302"/>
      <c r="AG892" s="1302"/>
      <c r="AH892" s="1303"/>
      <c r="AZ892" s="2"/>
      <c r="BA892" s="2"/>
      <c r="BB892" s="2"/>
      <c r="BC892" s="2"/>
    </row>
    <row r="893" spans="3:55" ht="13.2" customHeight="1">
      <c r="C893" s="1105"/>
      <c r="D893" s="4"/>
      <c r="E893" s="4"/>
      <c r="F893" s="4"/>
      <c r="G893" s="4"/>
      <c r="H893" s="4"/>
      <c r="I893" s="4"/>
      <c r="J893" s="4"/>
      <c r="K893" s="4"/>
      <c r="L893" s="4"/>
      <c r="M893" s="4"/>
      <c r="N893" s="4"/>
      <c r="O893" s="4"/>
      <c r="P893" s="4"/>
      <c r="Q893" s="4"/>
      <c r="R893" s="4"/>
      <c r="S893" s="4"/>
      <c r="T893" s="4"/>
      <c r="U893" s="4"/>
      <c r="V893" s="4"/>
      <c r="W893" s="4"/>
      <c r="X893" s="4"/>
      <c r="Y893" s="4"/>
      <c r="Z893" s="4"/>
      <c r="AA893" s="4"/>
      <c r="AB893" s="1158" t="s">
        <v>1582</v>
      </c>
      <c r="AC893" s="1302"/>
      <c r="AD893" s="1302"/>
      <c r="AE893" s="1302"/>
      <c r="AF893" s="1302"/>
      <c r="AG893" s="1302"/>
      <c r="AH893" s="1303"/>
      <c r="AZ893" s="2"/>
      <c r="BA893" s="2"/>
      <c r="BB893" s="2"/>
      <c r="BC893" s="2"/>
    </row>
    <row r="894" spans="3:55" ht="13.2" customHeight="1">
      <c r="C894" s="1599" t="s">
        <v>1583</v>
      </c>
      <c r="D894" s="1600"/>
      <c r="E894" s="1600"/>
      <c r="F894" s="1600"/>
      <c r="G894" s="1600"/>
      <c r="H894" s="1600"/>
      <c r="I894" s="1600"/>
      <c r="J894" s="1600"/>
      <c r="K894" s="1600"/>
      <c r="L894" s="1600"/>
      <c r="M894" s="1600"/>
      <c r="N894" s="1600"/>
      <c r="O894" s="1600"/>
      <c r="P894" s="1600"/>
      <c r="Q894" s="1600"/>
      <c r="R894" s="1600"/>
      <c r="S894" s="1600"/>
      <c r="T894" s="1600"/>
      <c r="U894" s="1600"/>
      <c r="V894" s="1600"/>
      <c r="W894" s="1600"/>
      <c r="X894" s="1600"/>
      <c r="Y894" s="1600"/>
      <c r="Z894" s="1600"/>
      <c r="AA894" s="1600"/>
      <c r="AB894" s="1601"/>
      <c r="AC894" s="1573"/>
      <c r="AD894" s="1573"/>
      <c r="AE894" s="1573"/>
      <c r="AF894" s="1573"/>
      <c r="AG894" s="1573"/>
      <c r="AH894" s="1573"/>
      <c r="AZ894" s="2"/>
      <c r="BA894" s="2"/>
      <c r="BB894" s="2"/>
      <c r="BC894" s="2"/>
    </row>
    <row r="895" spans="3:55" ht="13.2" customHeight="1">
      <c r="C895" s="1599" t="s">
        <v>1583</v>
      </c>
      <c r="D895" s="1600"/>
      <c r="E895" s="1600"/>
      <c r="F895" s="1600"/>
      <c r="G895" s="1600"/>
      <c r="H895" s="1600"/>
      <c r="I895" s="1600"/>
      <c r="J895" s="1600"/>
      <c r="K895" s="1600"/>
      <c r="L895" s="1600"/>
      <c r="M895" s="1600"/>
      <c r="N895" s="1600"/>
      <c r="O895" s="1600"/>
      <c r="P895" s="1600"/>
      <c r="Q895" s="1600"/>
      <c r="R895" s="1600"/>
      <c r="S895" s="1600"/>
      <c r="T895" s="1600"/>
      <c r="U895" s="1600"/>
      <c r="V895" s="1600"/>
      <c r="W895" s="1600"/>
      <c r="X895" s="1600"/>
      <c r="Y895" s="1600"/>
      <c r="Z895" s="1600"/>
      <c r="AA895" s="1600"/>
      <c r="AB895" s="1601"/>
      <c r="AC895" s="1573"/>
      <c r="AD895" s="1573"/>
      <c r="AE895" s="1573"/>
      <c r="AF895" s="1573"/>
      <c r="AG895" s="1573"/>
      <c r="AH895" s="1573"/>
      <c r="AU895" s="54"/>
      <c r="AZ895" s="2"/>
      <c r="BA895" s="2"/>
      <c r="BB895" s="2"/>
      <c r="BC895" s="2"/>
    </row>
    <row r="896" spans="3:55" ht="13.2" customHeight="1">
      <c r="E896" s="363"/>
      <c r="AB896" s="37"/>
      <c r="AC896" s="71"/>
      <c r="AD896" s="71"/>
      <c r="AE896" s="71"/>
      <c r="AF896" s="71"/>
      <c r="AG896" s="71"/>
      <c r="AH896" s="71"/>
      <c r="AU896" s="54"/>
      <c r="AZ896" s="2"/>
      <c r="BA896" s="2"/>
      <c r="BB896" s="2"/>
      <c r="BC896" s="2"/>
    </row>
    <row r="897" spans="1:58" ht="13.2" customHeight="1">
      <c r="A897" s="1" t="s">
        <v>1293</v>
      </c>
      <c r="C897" s="1" t="s">
        <v>1584</v>
      </c>
      <c r="X897" s="10"/>
      <c r="Y897" s="10"/>
      <c r="Z897" s="10"/>
      <c r="AA897" s="10"/>
      <c r="AB897" s="10"/>
      <c r="AC897" s="10"/>
      <c r="AD897" s="10"/>
      <c r="AU897" s="54"/>
      <c r="AZ897" s="2"/>
      <c r="BB897" s="23"/>
      <c r="BC897" s="23"/>
    </row>
    <row r="898" spans="1:58" ht="13.2" customHeight="1">
      <c r="X898" s="10"/>
      <c r="Y898" s="10"/>
      <c r="Z898" s="10"/>
      <c r="AA898" s="10"/>
      <c r="AB898" s="10"/>
      <c r="AC898" s="10"/>
      <c r="AD898" s="10"/>
      <c r="AF898" s="382"/>
      <c r="AG898" s="1142"/>
      <c r="AH898" s="1142"/>
      <c r="AI898" s="1142"/>
      <c r="AU898" s="54"/>
      <c r="AZ898" s="2"/>
      <c r="BB898" s="23"/>
      <c r="BC898" s="23"/>
      <c r="BD898" s="11"/>
      <c r="BE898" s="11"/>
      <c r="BF898" s="11"/>
    </row>
    <row r="899" spans="1:58" ht="13.2" customHeight="1">
      <c r="B899" s="1"/>
      <c r="H899" s="1107" t="s">
        <v>1585</v>
      </c>
      <c r="I899" s="4"/>
      <c r="J899" s="4"/>
      <c r="K899" s="4"/>
      <c r="L899" s="4"/>
      <c r="M899" s="4"/>
      <c r="N899" s="4"/>
      <c r="O899" s="4"/>
      <c r="P899" s="4"/>
      <c r="Q899" s="4"/>
      <c r="R899" s="4"/>
      <c r="S899" s="4"/>
      <c r="T899" s="4"/>
      <c r="U899" s="4"/>
      <c r="V899" s="4"/>
      <c r="W899" s="4"/>
      <c r="X899" s="4"/>
      <c r="Y899" s="1106"/>
      <c r="Z899" s="1431"/>
      <c r="AA899" s="1302"/>
      <c r="AB899" s="1302"/>
      <c r="AC899" s="1302"/>
      <c r="AD899" s="1302"/>
      <c r="AE899" s="1303"/>
      <c r="AF899" s="382"/>
      <c r="AZ899" s="2"/>
      <c r="BB899" s="23"/>
      <c r="BC899" s="646"/>
      <c r="BD899" s="1570"/>
      <c r="BE899" s="1570"/>
      <c r="BF899" s="11"/>
    </row>
    <row r="900" spans="1:58" ht="13.2" customHeight="1">
      <c r="H900" s="1107" t="s">
        <v>1586</v>
      </c>
      <c r="I900" s="4"/>
      <c r="J900" s="4"/>
      <c r="K900" s="4"/>
      <c r="L900" s="4"/>
      <c r="M900" s="4"/>
      <c r="N900" s="4"/>
      <c r="O900" s="4"/>
      <c r="P900" s="4"/>
      <c r="Q900" s="4"/>
      <c r="R900" s="4"/>
      <c r="S900" s="4"/>
      <c r="T900" s="4"/>
      <c r="U900" s="4"/>
      <c r="V900" s="4"/>
      <c r="W900" s="4"/>
      <c r="X900" s="4"/>
      <c r="Y900" s="4"/>
      <c r="Z900" s="1431"/>
      <c r="AA900" s="1302"/>
      <c r="AB900" s="1302"/>
      <c r="AC900" s="1302"/>
      <c r="AD900" s="1302"/>
      <c r="AE900" s="1303"/>
      <c r="AZ900" s="2"/>
      <c r="BB900" s="23"/>
      <c r="BC900" s="646"/>
      <c r="BD900" s="1570"/>
      <c r="BE900" s="1570"/>
      <c r="BF900" s="11"/>
    </row>
    <row r="901" spans="1:58" ht="13.2" customHeight="1">
      <c r="H901" s="1107" t="s">
        <v>1587</v>
      </c>
      <c r="I901" s="4"/>
      <c r="J901" s="4"/>
      <c r="K901" s="4"/>
      <c r="L901" s="4"/>
      <c r="M901" s="4"/>
      <c r="N901" s="4"/>
      <c r="O901" s="4"/>
      <c r="P901" s="4"/>
      <c r="Q901" s="4"/>
      <c r="R901" s="4"/>
      <c r="S901" s="4"/>
      <c r="T901" s="4"/>
      <c r="U901" s="4"/>
      <c r="V901" s="4"/>
      <c r="W901" s="4"/>
      <c r="X901" s="4"/>
      <c r="Y901" s="4"/>
      <c r="Z901" s="1431"/>
      <c r="AA901" s="1302"/>
      <c r="AB901" s="1302"/>
      <c r="AC901" s="1302"/>
      <c r="AD901" s="1302"/>
      <c r="AE901" s="1303"/>
      <c r="AZ901" s="2"/>
      <c r="BB901" s="23"/>
      <c r="BC901" s="646"/>
      <c r="BD901" s="1569"/>
      <c r="BE901" s="1569"/>
      <c r="BF901" s="11"/>
    </row>
    <row r="902" spans="1:58" ht="13.2" customHeight="1">
      <c r="H902" s="1105"/>
      <c r="I902" s="4"/>
      <c r="J902" s="4"/>
      <c r="K902" s="4"/>
      <c r="L902" s="4"/>
      <c r="M902" s="4"/>
      <c r="N902" s="4"/>
      <c r="O902" s="4"/>
      <c r="P902" s="4"/>
      <c r="Q902" s="4"/>
      <c r="R902" s="4"/>
      <c r="S902" s="4"/>
      <c r="T902" s="4"/>
      <c r="U902" s="4"/>
      <c r="V902" s="4"/>
      <c r="W902" s="4"/>
      <c r="X902" s="4"/>
      <c r="Y902" s="102" t="s">
        <v>1588</v>
      </c>
      <c r="Z902" s="1428">
        <f>Z899-(Z900+Z901)</f>
        <v>0</v>
      </c>
      <c r="AA902" s="1429"/>
      <c r="AB902" s="1429"/>
      <c r="AC902" s="1429"/>
      <c r="AD902" s="1429"/>
      <c r="AE902" s="1430"/>
      <c r="AZ902" s="2"/>
      <c r="BB902" s="23"/>
      <c r="BC902" s="646"/>
      <c r="BD902" s="1569"/>
      <c r="BE902" s="1569"/>
      <c r="BF902" s="11"/>
    </row>
    <row r="903" spans="1:58" ht="13.2" customHeight="1">
      <c r="C903" s="363"/>
      <c r="D903" s="1179"/>
      <c r="E903" s="1142"/>
      <c r="F903" s="1142"/>
      <c r="G903" s="114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42"/>
      <c r="AZ903" s="2"/>
      <c r="BB903" s="23"/>
      <c r="BC903" s="646"/>
      <c r="BD903" s="1569"/>
      <c r="BE903" s="1569"/>
      <c r="BF903" s="11"/>
    </row>
    <row r="904" spans="1:58" ht="13.2" customHeight="1">
      <c r="C904" t="s">
        <v>1589</v>
      </c>
      <c r="D904" s="12"/>
      <c r="E904" s="1142"/>
      <c r="F904" s="1142"/>
      <c r="G904" s="114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42"/>
      <c r="AZ904" s="2"/>
      <c r="BB904" s="23"/>
      <c r="BC904" s="646"/>
      <c r="BD904" s="1570"/>
      <c r="BE904" s="1569"/>
      <c r="BF904" s="11"/>
    </row>
    <row r="905" spans="1:58" ht="13.2" customHeight="1">
      <c r="C905" s="103" t="s">
        <v>1590</v>
      </c>
      <c r="D905" s="12"/>
      <c r="E905" s="1142"/>
      <c r="F905" s="1142"/>
      <c r="G905" s="114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42"/>
      <c r="AV905" s="54"/>
      <c r="AW905" s="54"/>
      <c r="AX905" s="54"/>
      <c r="AY905" s="54"/>
      <c r="AZ905" s="2"/>
      <c r="BB905" s="23"/>
      <c r="BC905" s="646"/>
      <c r="BD905" s="1597"/>
      <c r="BE905" s="1597"/>
      <c r="BF905" s="1597"/>
    </row>
    <row r="906" spans="1:58" ht="13.2" customHeight="1">
      <c r="C906" s="103" t="s">
        <v>1591</v>
      </c>
      <c r="D906" s="12"/>
      <c r="E906" s="1142"/>
      <c r="F906" s="1142"/>
      <c r="G906" s="114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42"/>
      <c r="AV906" s="54"/>
      <c r="AW906" s="54"/>
      <c r="AX906" s="54"/>
      <c r="AY906" s="54"/>
      <c r="AZ906" s="2"/>
      <c r="BB906" s="23"/>
      <c r="BC906" s="646"/>
      <c r="BD906" s="1596"/>
      <c r="BE906" s="1596"/>
      <c r="BF906" s="1596"/>
    </row>
    <row r="907" spans="1:58" ht="13.2" customHeight="1">
      <c r="C907" s="215" t="s">
        <v>1592</v>
      </c>
      <c r="D907" s="12"/>
      <c r="E907" s="1142"/>
      <c r="F907" s="1142"/>
      <c r="G907" s="114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142"/>
      <c r="AV907" s="54"/>
      <c r="AW907" s="54"/>
      <c r="AX907" s="54"/>
      <c r="AY907" s="54"/>
      <c r="AZ907" s="2"/>
      <c r="BB907" s="23"/>
      <c r="BC907" s="646"/>
      <c r="BD907" s="1569"/>
      <c r="BE907" s="1569"/>
      <c r="BF907" s="11"/>
    </row>
    <row r="908" spans="1:58" ht="13.2" customHeight="1">
      <c r="D908" s="12"/>
      <c r="E908" s="1169"/>
      <c r="F908" s="1169"/>
      <c r="G908" s="1169"/>
      <c r="H908" s="1169"/>
      <c r="I908" s="1169"/>
      <c r="J908" s="1169"/>
      <c r="K908" s="1169"/>
      <c r="L908" s="1169"/>
      <c r="M908" s="1169"/>
      <c r="N908" s="1169"/>
      <c r="O908" s="1169"/>
      <c r="P908" s="1169"/>
      <c r="Q908" s="1169"/>
      <c r="R908" s="1169"/>
      <c r="S908" s="1169"/>
      <c r="T908" s="1169"/>
      <c r="U908" s="1169"/>
      <c r="V908" s="1169"/>
      <c r="W908" s="1169"/>
      <c r="X908" s="1169"/>
      <c r="Y908" s="1169"/>
      <c r="Z908" s="1169"/>
      <c r="AA908" s="1169"/>
      <c r="AB908" s="1169"/>
      <c r="AC908" s="1169"/>
      <c r="AD908" s="1169"/>
      <c r="AE908" s="1169"/>
      <c r="AF908" s="1169"/>
      <c r="AG908" s="1169"/>
      <c r="AH908" s="1169"/>
      <c r="AI908" s="1169"/>
      <c r="AV908" s="54"/>
      <c r="AW908" s="54"/>
      <c r="AX908" s="54"/>
      <c r="AY908" s="54"/>
      <c r="AZ908" s="2"/>
      <c r="BB908" s="23"/>
      <c r="BC908" s="646"/>
      <c r="BD908" s="1570"/>
      <c r="BE908" s="1569"/>
      <c r="BF908" s="11"/>
    </row>
    <row r="909" spans="1:58" ht="13.2" customHeight="1">
      <c r="AZ909" s="2"/>
      <c r="BB909" s="23"/>
      <c r="BC909" s="646"/>
    </row>
    <row r="910" spans="1:58" ht="13.2" customHeight="1">
      <c r="A910" s="1486" t="s">
        <v>1593</v>
      </c>
      <c r="B910" s="1486"/>
      <c r="C910" s="1486"/>
      <c r="D910" s="1486"/>
      <c r="E910" s="1486"/>
      <c r="F910" s="1486"/>
      <c r="G910" s="1486"/>
      <c r="H910" s="1486"/>
      <c r="I910" s="1486"/>
      <c r="J910" s="1486"/>
      <c r="K910" s="1486"/>
      <c r="L910" s="1486"/>
      <c r="M910" s="1486"/>
      <c r="N910" s="1486"/>
      <c r="O910" s="1486"/>
      <c r="P910" s="1486"/>
      <c r="Q910" s="1486"/>
      <c r="R910" s="1486"/>
      <c r="S910" s="1486"/>
      <c r="T910" s="1486"/>
      <c r="U910" s="1486"/>
      <c r="V910" s="1486"/>
      <c r="W910" s="1486"/>
      <c r="X910" s="1486"/>
      <c r="Y910" s="1486"/>
      <c r="Z910" s="1486"/>
      <c r="AA910" s="1486"/>
      <c r="AB910" s="1486"/>
      <c r="AC910" s="1486"/>
      <c r="AD910" s="1486"/>
      <c r="AE910" s="1486"/>
      <c r="AF910" s="1486"/>
      <c r="AG910" s="1486"/>
      <c r="AH910" s="1486"/>
      <c r="AI910" s="1486"/>
      <c r="AJ910" s="1486"/>
      <c r="AK910" s="1486"/>
      <c r="AL910" s="1486"/>
      <c r="AM910" s="1486"/>
      <c r="AN910" s="1486"/>
      <c r="AO910" s="1486"/>
      <c r="AP910" s="1486"/>
      <c r="AQ910" s="1486"/>
      <c r="AR910" s="1486"/>
      <c r="AS910" s="1486"/>
      <c r="AT910" s="1486"/>
      <c r="AZ910" s="2"/>
      <c r="BA910" s="2"/>
      <c r="BB910" s="23"/>
      <c r="BC910" s="23"/>
      <c r="BD910" s="1570"/>
      <c r="BE910" s="1569"/>
      <c r="BF910" s="717"/>
    </row>
    <row r="911" spans="1:58" ht="13.2" customHeight="1">
      <c r="A911" s="1486"/>
      <c r="B911" s="1486"/>
      <c r="C911" s="1486"/>
      <c r="D911" s="1486"/>
      <c r="E911" s="1486"/>
      <c r="F911" s="1486"/>
      <c r="G911" s="1486"/>
      <c r="H911" s="1486"/>
      <c r="I911" s="1486"/>
      <c r="J911" s="1486"/>
      <c r="K911" s="1486"/>
      <c r="L911" s="1486"/>
      <c r="M911" s="1486"/>
      <c r="N911" s="1486"/>
      <c r="O911" s="1486"/>
      <c r="P911" s="1486"/>
      <c r="Q911" s="1486"/>
      <c r="R911" s="1486"/>
      <c r="S911" s="1486"/>
      <c r="T911" s="1486"/>
      <c r="U911" s="1486"/>
      <c r="V911" s="1486"/>
      <c r="W911" s="1486"/>
      <c r="X911" s="1486"/>
      <c r="Y911" s="1486"/>
      <c r="Z911" s="1486"/>
      <c r="AA911" s="1486"/>
      <c r="AB911" s="1486"/>
      <c r="AC911" s="1486"/>
      <c r="AD911" s="1486"/>
      <c r="AE911" s="1486"/>
      <c r="AF911" s="1486"/>
      <c r="AG911" s="1486"/>
      <c r="AH911" s="1486"/>
      <c r="AI911" s="1486"/>
      <c r="AJ911" s="1486"/>
      <c r="AK911" s="1486"/>
      <c r="AL911" s="1486"/>
      <c r="AM911" s="1486"/>
      <c r="AN911" s="1486"/>
      <c r="AO911" s="1486"/>
      <c r="AP911" s="1486"/>
      <c r="AQ911" s="1486"/>
      <c r="AR911" s="1486"/>
      <c r="AS911" s="1486"/>
      <c r="AT911" s="1486"/>
      <c r="AZ911" s="2"/>
      <c r="BA911" s="2"/>
      <c r="BB911" s="2"/>
      <c r="BC911" s="2"/>
      <c r="BD911" s="2"/>
      <c r="BE911" s="2"/>
      <c r="BF911" s="2"/>
    </row>
    <row r="912" spans="1:58" ht="13.2"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3.2" customHeight="1">
      <c r="A913" s="1" t="s">
        <v>871</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3.2" customHeight="1">
      <c r="AZ914" s="2"/>
      <c r="BA914" s="2"/>
      <c r="BB914" s="2"/>
      <c r="BC914" s="2"/>
    </row>
    <row r="915" spans="1:58" ht="13.2" customHeight="1">
      <c r="F915" s="1649" t="s">
        <v>1594</v>
      </c>
      <c r="G915" s="1650"/>
      <c r="H915" s="1650"/>
      <c r="I915" s="1650"/>
      <c r="J915" s="1650"/>
      <c r="K915" s="1650"/>
      <c r="L915" s="1650"/>
      <c r="M915" s="1650"/>
      <c r="N915" s="1650"/>
      <c r="O915" s="1650"/>
      <c r="P915" s="1650"/>
      <c r="Q915" s="1650"/>
      <c r="R915" s="1650"/>
      <c r="S915" s="1650"/>
      <c r="T915" s="1651"/>
      <c r="U915" s="1692" t="s">
        <v>1595</v>
      </c>
      <c r="V915" s="1628"/>
      <c r="W915" s="1628"/>
      <c r="X915" s="1628"/>
      <c r="Y915" s="1628"/>
      <c r="Z915" s="1628"/>
      <c r="AA915" s="1174"/>
      <c r="AB915" s="191"/>
      <c r="AC915" s="191"/>
      <c r="AD915" s="191"/>
      <c r="AE915" s="191"/>
      <c r="AF915" s="1059"/>
      <c r="AZ915" s="2"/>
      <c r="BA915" s="2"/>
      <c r="BB915" s="2"/>
      <c r="BC915" s="2"/>
    </row>
    <row r="916" spans="1:58" ht="13.2" customHeight="1">
      <c r="B916" s="1"/>
      <c r="F916" s="1693" t="s">
        <v>1596</v>
      </c>
      <c r="G916" s="1694"/>
      <c r="H916" s="1694"/>
      <c r="I916" s="1694"/>
      <c r="J916" s="1694"/>
      <c r="K916" s="1694"/>
      <c r="L916" s="1694"/>
      <c r="M916" s="1694"/>
      <c r="N916" s="1694"/>
      <c r="O916" s="1694"/>
      <c r="P916" s="1694"/>
      <c r="Q916" s="1694"/>
      <c r="R916" s="1694"/>
      <c r="S916" s="1694"/>
      <c r="T916" s="1716"/>
      <c r="U916" s="1693"/>
      <c r="V916" s="1694"/>
      <c r="W916" s="1694"/>
      <c r="X916" s="1694"/>
      <c r="Y916" s="1694"/>
      <c r="Z916" s="1694"/>
      <c r="AA916" s="1175"/>
      <c r="AB916" s="2"/>
      <c r="AC916" s="2"/>
      <c r="AD916" s="2"/>
      <c r="AE916" s="2"/>
      <c r="AF916" s="1060"/>
      <c r="AZ916" s="2"/>
      <c r="BA916" s="2"/>
      <c r="BB916" s="2"/>
      <c r="BC916" s="2"/>
    </row>
    <row r="917" spans="1:58" ht="13.2" customHeight="1">
      <c r="B917" s="1"/>
      <c r="F917" s="1695"/>
      <c r="G917" s="1630"/>
      <c r="H917" s="1630"/>
      <c r="I917" s="1630"/>
      <c r="J917" s="1630"/>
      <c r="K917" s="1630"/>
      <c r="L917" s="1630"/>
      <c r="M917" s="1630"/>
      <c r="N917" s="1630"/>
      <c r="O917" s="1630"/>
      <c r="P917" s="1630"/>
      <c r="Q917" s="1630"/>
      <c r="R917" s="1630"/>
      <c r="S917" s="1630"/>
      <c r="T917" s="1631"/>
      <c r="U917" s="1695"/>
      <c r="V917" s="1630"/>
      <c r="W917" s="1630"/>
      <c r="X917" s="1630"/>
      <c r="Y917" s="1630"/>
      <c r="Z917" s="1630"/>
      <c r="AA917" s="709"/>
      <c r="AB917" s="1386" t="s">
        <v>1597</v>
      </c>
      <c r="AC917" s="1386"/>
      <c r="AD917" s="1386"/>
      <c r="AE917" s="1386"/>
      <c r="AF917" s="1061"/>
      <c r="AZ917" s="2"/>
      <c r="BA917" s="2"/>
      <c r="BB917" s="2"/>
      <c r="BC917" s="2"/>
    </row>
    <row r="918" spans="1:58" ht="13.2" customHeight="1">
      <c r="B918" s="1"/>
      <c r="F918" s="1105" t="s">
        <v>1598</v>
      </c>
      <c r="G918" s="32"/>
      <c r="H918" s="32"/>
      <c r="I918" s="32"/>
      <c r="J918" s="32"/>
      <c r="K918" s="32"/>
      <c r="L918" s="32"/>
      <c r="M918" s="32"/>
      <c r="N918" s="32"/>
      <c r="O918" s="32"/>
      <c r="P918" s="32"/>
      <c r="Q918" s="32"/>
      <c r="R918" s="32"/>
      <c r="S918" s="32"/>
      <c r="T918" s="33"/>
      <c r="U918" s="1563" t="s">
        <v>694</v>
      </c>
      <c r="V918" s="1382"/>
      <c r="W918" s="1382"/>
      <c r="X918" s="1382"/>
      <c r="Y918" s="1382"/>
      <c r="Z918" s="1383"/>
      <c r="AA918" s="1567">
        <f>AM554</f>
        <v>37786055</v>
      </c>
      <c r="AB918" s="1478"/>
      <c r="AC918" s="1478"/>
      <c r="AD918" s="1478"/>
      <c r="AE918" s="1478"/>
      <c r="AF918" s="1568"/>
      <c r="AZ918" s="2"/>
      <c r="BA918" s="2"/>
      <c r="BB918" s="2"/>
      <c r="BC918" s="2"/>
    </row>
    <row r="919" spans="1:58" ht="13.2" customHeight="1">
      <c r="B919" s="1"/>
      <c r="F919" s="1107" t="s">
        <v>1599</v>
      </c>
      <c r="G919" s="32"/>
      <c r="H919" s="32"/>
      <c r="I919" s="32"/>
      <c r="J919" s="32"/>
      <c r="K919" s="32"/>
      <c r="L919" s="32"/>
      <c r="M919" s="32"/>
      <c r="N919" s="32"/>
      <c r="O919" s="32"/>
      <c r="P919" s="32"/>
      <c r="Q919" s="32"/>
      <c r="R919" s="32"/>
      <c r="S919" s="32"/>
      <c r="T919" s="33"/>
      <c r="U919" s="1563" t="s">
        <v>694</v>
      </c>
      <c r="V919" s="1382"/>
      <c r="W919" s="1382"/>
      <c r="X919" s="1382"/>
      <c r="Y919" s="1382"/>
      <c r="Z919" s="1383"/>
      <c r="AA919" s="1567">
        <f>AM555</f>
        <v>10331889</v>
      </c>
      <c r="AB919" s="1478"/>
      <c r="AC919" s="1478"/>
      <c r="AD919" s="1478"/>
      <c r="AE919" s="1478"/>
      <c r="AF919" s="1568"/>
      <c r="AZ919" s="2"/>
      <c r="BA919" s="2"/>
      <c r="BB919" s="2"/>
      <c r="BC919" s="2"/>
    </row>
    <row r="920" spans="1:58" ht="13.2" customHeight="1">
      <c r="F920" s="1105" t="s">
        <v>1600</v>
      </c>
      <c r="G920" s="4"/>
      <c r="H920" s="4"/>
      <c r="I920" s="4"/>
      <c r="J920" s="4"/>
      <c r="K920" s="4"/>
      <c r="L920" s="4"/>
      <c r="M920" s="4"/>
      <c r="N920" s="4"/>
      <c r="O920" s="4"/>
      <c r="P920" s="4"/>
      <c r="Q920" s="4"/>
      <c r="R920" s="4"/>
      <c r="S920" s="4"/>
      <c r="T920" s="1106"/>
      <c r="U920" s="1563" t="s">
        <v>810</v>
      </c>
      <c r="V920" s="1382"/>
      <c r="W920" s="1382"/>
      <c r="X920" s="1382"/>
      <c r="Y920" s="1382"/>
      <c r="Z920" s="1383"/>
      <c r="AA920" s="1567"/>
      <c r="AB920" s="1478"/>
      <c r="AC920" s="1478"/>
      <c r="AD920" s="1478"/>
      <c r="AE920" s="1478"/>
      <c r="AF920" s="1568"/>
      <c r="AZ920" s="2"/>
      <c r="BA920" s="2"/>
      <c r="BB920" s="2"/>
      <c r="BC920" s="2"/>
    </row>
    <row r="921" spans="1:58" ht="13.2" customHeight="1">
      <c r="F921" s="1105" t="s">
        <v>1601</v>
      </c>
      <c r="G921" s="4"/>
      <c r="H921" s="4"/>
      <c r="I921" s="4"/>
      <c r="J921" s="4"/>
      <c r="K921" s="4"/>
      <c r="L921" s="4"/>
      <c r="M921" s="4"/>
      <c r="N921" s="4"/>
      <c r="O921" s="4"/>
      <c r="P921" s="4"/>
      <c r="Q921" s="4"/>
      <c r="R921" s="4"/>
      <c r="S921" s="4"/>
      <c r="T921" s="1106"/>
      <c r="U921" s="1563" t="s">
        <v>810</v>
      </c>
      <c r="V921" s="1382"/>
      <c r="W921" s="1382"/>
      <c r="X921" s="1382"/>
      <c r="Y921" s="1382"/>
      <c r="Z921" s="1383"/>
      <c r="AA921" s="1567"/>
      <c r="AB921" s="1478"/>
      <c r="AC921" s="1478"/>
      <c r="AD921" s="1478"/>
      <c r="AE921" s="1478"/>
      <c r="AF921" s="1568"/>
      <c r="AZ921" s="2"/>
      <c r="BA921" s="2"/>
      <c r="BB921" s="2"/>
      <c r="BC921" s="2"/>
    </row>
    <row r="922" spans="1:58" ht="13.2" customHeight="1">
      <c r="F922" s="1107" t="s">
        <v>1602</v>
      </c>
      <c r="G922" s="4"/>
      <c r="H922" s="4"/>
      <c r="I922" s="4"/>
      <c r="J922" s="4"/>
      <c r="K922" s="4"/>
      <c r="L922" s="4"/>
      <c r="M922" s="4"/>
      <c r="N922" s="4"/>
      <c r="O922" s="4"/>
      <c r="P922" s="4"/>
      <c r="Q922" s="4"/>
      <c r="R922" s="4"/>
      <c r="S922" s="4"/>
      <c r="T922" s="1106"/>
      <c r="U922" s="1563" t="s">
        <v>810</v>
      </c>
      <c r="V922" s="1382"/>
      <c r="W922" s="1382"/>
      <c r="X922" s="1382"/>
      <c r="Y922" s="1382"/>
      <c r="Z922" s="1383"/>
      <c r="AA922" s="1567"/>
      <c r="AB922" s="1478"/>
      <c r="AC922" s="1478"/>
      <c r="AD922" s="1478"/>
      <c r="AE922" s="1478"/>
      <c r="AF922" s="1568"/>
      <c r="AZ922" s="2"/>
      <c r="BA922" s="2"/>
      <c r="BB922" s="2"/>
      <c r="BC922" s="2"/>
    </row>
    <row r="923" spans="1:58" ht="13.2" customHeight="1">
      <c r="F923" s="1107" t="s">
        <v>1603</v>
      </c>
      <c r="G923" s="4"/>
      <c r="H923" s="4"/>
      <c r="I923" s="4"/>
      <c r="J923" s="4"/>
      <c r="K923" s="4"/>
      <c r="L923" s="4"/>
      <c r="M923" s="4"/>
      <c r="N923" s="4"/>
      <c r="O923" s="4"/>
      <c r="P923" s="4"/>
      <c r="Q923" s="4"/>
      <c r="R923" s="4"/>
      <c r="S923" s="4"/>
      <c r="T923" s="1106"/>
      <c r="U923" s="1563" t="s">
        <v>810</v>
      </c>
      <c r="V923" s="1382"/>
      <c r="W923" s="1382"/>
      <c r="X923" s="1382"/>
      <c r="Y923" s="1382"/>
      <c r="Z923" s="1383"/>
      <c r="AA923" s="1567"/>
      <c r="AB923" s="1478"/>
      <c r="AC923" s="1478"/>
      <c r="AD923" s="1478"/>
      <c r="AE923" s="1478"/>
      <c r="AF923" s="1568"/>
      <c r="AZ923" s="2"/>
      <c r="BA923" s="2"/>
      <c r="BB923" s="2"/>
      <c r="BC923" s="2"/>
    </row>
    <row r="924" spans="1:58" ht="13.2" customHeight="1">
      <c r="F924" s="1107" t="s">
        <v>1604</v>
      </c>
      <c r="G924" s="4"/>
      <c r="H924" s="4"/>
      <c r="I924" s="4"/>
      <c r="J924" s="4"/>
      <c r="K924" s="4"/>
      <c r="L924" s="4"/>
      <c r="M924" s="4"/>
      <c r="N924" s="4"/>
      <c r="O924" s="4"/>
      <c r="P924" s="4"/>
      <c r="Q924" s="4"/>
      <c r="R924" s="4"/>
      <c r="S924" s="4"/>
      <c r="T924" s="1106"/>
      <c r="U924" s="1563" t="s">
        <v>810</v>
      </c>
      <c r="V924" s="1382"/>
      <c r="W924" s="1382"/>
      <c r="X924" s="1382"/>
      <c r="Y924" s="1382"/>
      <c r="Z924" s="1383"/>
      <c r="AA924" s="1567"/>
      <c r="AB924" s="1478"/>
      <c r="AC924" s="1478"/>
      <c r="AD924" s="1478"/>
      <c r="AE924" s="1478"/>
      <c r="AF924" s="1568"/>
      <c r="AZ924" s="2"/>
      <c r="BA924" s="2"/>
      <c r="BB924" s="2"/>
      <c r="BC924" s="2"/>
    </row>
    <row r="925" spans="1:58" ht="13.2" customHeight="1">
      <c r="F925" s="1105" t="s">
        <v>1605</v>
      </c>
      <c r="G925" s="4"/>
      <c r="H925" s="4"/>
      <c r="I925" s="4"/>
      <c r="J925" s="4"/>
      <c r="K925" s="4"/>
      <c r="L925" s="4"/>
      <c r="M925" s="4"/>
      <c r="N925" s="4"/>
      <c r="O925" s="4"/>
      <c r="P925" s="4"/>
      <c r="Q925" s="4"/>
      <c r="R925" s="4"/>
      <c r="S925" s="4"/>
      <c r="T925" s="1106"/>
      <c r="U925" s="1563" t="s">
        <v>810</v>
      </c>
      <c r="V925" s="1382"/>
      <c r="W925" s="1382"/>
      <c r="X925" s="1382"/>
      <c r="Y925" s="1382"/>
      <c r="Z925" s="1383"/>
      <c r="AA925" s="1567"/>
      <c r="AB925" s="1478"/>
      <c r="AC925" s="1478"/>
      <c r="AD925" s="1478"/>
      <c r="AE925" s="1478"/>
      <c r="AF925" s="1568"/>
      <c r="AZ925" s="2"/>
      <c r="BA925" s="2"/>
      <c r="BB925" s="2"/>
      <c r="BC925" s="2"/>
    </row>
    <row r="926" spans="1:58" ht="13.2" customHeight="1">
      <c r="F926" s="1560" t="s">
        <v>1606</v>
      </c>
      <c r="G926" s="1561"/>
      <c r="H926" s="1561"/>
      <c r="I926" s="1561"/>
      <c r="J926" s="1561"/>
      <c r="K926" s="1561"/>
      <c r="L926" s="1561"/>
      <c r="M926" s="1561"/>
      <c r="N926" s="1561"/>
      <c r="O926" s="1561"/>
      <c r="P926" s="1561"/>
      <c r="Q926" s="1561"/>
      <c r="R926" s="1561"/>
      <c r="S926" s="1561"/>
      <c r="T926" s="1562"/>
      <c r="U926" s="1563" t="s">
        <v>810</v>
      </c>
      <c r="V926" s="1382"/>
      <c r="W926" s="1382"/>
      <c r="X926" s="1382"/>
      <c r="Y926" s="1382"/>
      <c r="Z926" s="1383"/>
      <c r="AA926" s="1567"/>
      <c r="AB926" s="1478"/>
      <c r="AC926" s="1478"/>
      <c r="AD926" s="1478"/>
      <c r="AE926" s="1478"/>
      <c r="AF926" s="1568"/>
      <c r="AZ926" s="2"/>
      <c r="BA926" s="2"/>
      <c r="BB926" s="2"/>
      <c r="BC926" s="2"/>
    </row>
    <row r="927" spans="1:58" ht="13.2" customHeight="1">
      <c r="F927" s="1560" t="s">
        <v>1607</v>
      </c>
      <c r="G927" s="1561"/>
      <c r="H927" s="1561"/>
      <c r="I927" s="1561"/>
      <c r="J927" s="1561"/>
      <c r="K927" s="1561"/>
      <c r="L927" s="1561"/>
      <c r="M927" s="1561"/>
      <c r="N927" s="1561"/>
      <c r="O927" s="1561"/>
      <c r="P927" s="1561"/>
      <c r="Q927" s="1561"/>
      <c r="R927" s="1561"/>
      <c r="S927" s="1561"/>
      <c r="T927" s="1562"/>
      <c r="U927" s="1563" t="s">
        <v>810</v>
      </c>
      <c r="V927" s="1382"/>
      <c r="W927" s="1382"/>
      <c r="X927" s="1382"/>
      <c r="Y927" s="1382"/>
      <c r="Z927" s="1383"/>
      <c r="AA927" s="1567"/>
      <c r="AB927" s="1478"/>
      <c r="AC927" s="1478"/>
      <c r="AD927" s="1478"/>
      <c r="AE927" s="1478"/>
      <c r="AF927" s="1568"/>
      <c r="AU927" s="1"/>
      <c r="AZ927" s="2"/>
      <c r="BA927" s="2"/>
      <c r="BB927" s="2"/>
      <c r="BC927" s="2"/>
    </row>
    <row r="928" spans="1:58" ht="13.2" customHeight="1">
      <c r="F928" s="1560" t="s">
        <v>1608</v>
      </c>
      <c r="G928" s="1561"/>
      <c r="H928" s="1561"/>
      <c r="I928" s="1561"/>
      <c r="J928" s="1561"/>
      <c r="K928" s="1561"/>
      <c r="L928" s="1561"/>
      <c r="M928" s="1561"/>
      <c r="N928" s="1561"/>
      <c r="O928" s="1561"/>
      <c r="P928" s="1561"/>
      <c r="Q928" s="1561"/>
      <c r="R928" s="1561"/>
      <c r="S928" s="1561"/>
      <c r="T928" s="1562"/>
      <c r="U928" s="1563" t="s">
        <v>810</v>
      </c>
      <c r="V928" s="1382"/>
      <c r="W928" s="1382"/>
      <c r="X928" s="1382"/>
      <c r="Y928" s="1382"/>
      <c r="Z928" s="1383"/>
      <c r="AA928" s="1567"/>
      <c r="AB928" s="1478"/>
      <c r="AC928" s="1478"/>
      <c r="AD928" s="1478"/>
      <c r="AE928" s="1478"/>
      <c r="AF928" s="1568"/>
      <c r="AU928" s="1"/>
      <c r="AZ928" s="2"/>
      <c r="BA928" s="2"/>
      <c r="BB928" s="2"/>
      <c r="BC928" s="2"/>
    </row>
    <row r="929" spans="6:55" ht="13.2" customHeight="1">
      <c r="F929" s="1560" t="s">
        <v>1609</v>
      </c>
      <c r="G929" s="1561"/>
      <c r="H929" s="1561"/>
      <c r="I929" s="1561"/>
      <c r="J929" s="1561"/>
      <c r="K929" s="1561"/>
      <c r="L929" s="1561"/>
      <c r="M929" s="1561"/>
      <c r="N929" s="1561"/>
      <c r="O929" s="1561"/>
      <c r="P929" s="1561"/>
      <c r="Q929" s="1561"/>
      <c r="R929" s="1561"/>
      <c r="S929" s="1561"/>
      <c r="T929" s="1562"/>
      <c r="U929" s="1563" t="s">
        <v>810</v>
      </c>
      <c r="V929" s="1382"/>
      <c r="W929" s="1382"/>
      <c r="X929" s="1382"/>
      <c r="Y929" s="1382"/>
      <c r="Z929" s="1383"/>
      <c r="AA929" s="1567"/>
      <c r="AB929" s="1478"/>
      <c r="AC929" s="1478"/>
      <c r="AD929" s="1478"/>
      <c r="AE929" s="1478"/>
      <c r="AF929" s="1568"/>
      <c r="AU929" s="1"/>
      <c r="AZ929" s="2"/>
      <c r="BA929" s="2"/>
      <c r="BB929" s="2"/>
      <c r="BC929" s="2"/>
    </row>
    <row r="930" spans="6:55" ht="13.2" customHeight="1">
      <c r="F930" s="1560" t="s">
        <v>1610</v>
      </c>
      <c r="G930" s="1561"/>
      <c r="H930" s="1561"/>
      <c r="I930" s="1561"/>
      <c r="J930" s="1561"/>
      <c r="K930" s="1561"/>
      <c r="L930" s="1561"/>
      <c r="M930" s="1561"/>
      <c r="N930" s="1561"/>
      <c r="O930" s="1561"/>
      <c r="P930" s="1561"/>
      <c r="Q930" s="1561"/>
      <c r="R930" s="1561"/>
      <c r="S930" s="1561"/>
      <c r="T930" s="1562"/>
      <c r="U930" s="1563" t="s">
        <v>810</v>
      </c>
      <c r="V930" s="1382"/>
      <c r="W930" s="1382"/>
      <c r="X930" s="1382"/>
      <c r="Y930" s="1382"/>
      <c r="Z930" s="1383"/>
      <c r="AA930" s="1567"/>
      <c r="AB930" s="1478"/>
      <c r="AC930" s="1478"/>
      <c r="AD930" s="1478"/>
      <c r="AE930" s="1478"/>
      <c r="AF930" s="1568"/>
      <c r="AU930" s="1"/>
      <c r="AZ930" s="2"/>
      <c r="BA930" s="2"/>
      <c r="BB930" s="2"/>
      <c r="BC930" s="2"/>
    </row>
    <row r="931" spans="6:55" ht="13.2" customHeight="1">
      <c r="F931" s="1560" t="s">
        <v>1611</v>
      </c>
      <c r="G931" s="1561"/>
      <c r="H931" s="1561"/>
      <c r="I931" s="1561"/>
      <c r="J931" s="1561"/>
      <c r="K931" s="1561"/>
      <c r="L931" s="1561"/>
      <c r="M931" s="1561"/>
      <c r="N931" s="1561"/>
      <c r="O931" s="1561"/>
      <c r="P931" s="1561"/>
      <c r="Q931" s="1561"/>
      <c r="R931" s="1561"/>
      <c r="S931" s="1561"/>
      <c r="T931" s="1562"/>
      <c r="U931" s="1563" t="s">
        <v>810</v>
      </c>
      <c r="V931" s="1382"/>
      <c r="W931" s="1382"/>
      <c r="X931" s="1382"/>
      <c r="Y931" s="1382"/>
      <c r="Z931" s="1383"/>
      <c r="AA931" s="1567"/>
      <c r="AB931" s="1478"/>
      <c r="AC931" s="1478"/>
      <c r="AD931" s="1478"/>
      <c r="AE931" s="1478"/>
      <c r="AF931" s="1568"/>
      <c r="AU931" s="1"/>
      <c r="AZ931" s="2"/>
      <c r="BA931" s="2"/>
      <c r="BB931" s="2"/>
      <c r="BC931" s="2"/>
    </row>
    <row r="932" spans="6:55" ht="13.2" customHeight="1">
      <c r="F932" s="1560" t="s">
        <v>1612</v>
      </c>
      <c r="G932" s="1561"/>
      <c r="H932" s="1561"/>
      <c r="I932" s="1561"/>
      <c r="J932" s="1561"/>
      <c r="K932" s="1561"/>
      <c r="L932" s="1561"/>
      <c r="M932" s="1561"/>
      <c r="N932" s="1561"/>
      <c r="O932" s="1561"/>
      <c r="P932" s="1561"/>
      <c r="Q932" s="1561"/>
      <c r="R932" s="1561"/>
      <c r="S932" s="1561"/>
      <c r="T932" s="1562"/>
      <c r="U932" s="1563" t="s">
        <v>810</v>
      </c>
      <c r="V932" s="1382"/>
      <c r="W932" s="1382"/>
      <c r="X932" s="1382"/>
      <c r="Y932" s="1382"/>
      <c r="Z932" s="1383"/>
      <c r="AA932" s="1567"/>
      <c r="AB932" s="1478"/>
      <c r="AC932" s="1478"/>
      <c r="AD932" s="1478"/>
      <c r="AE932" s="1478"/>
      <c r="AF932" s="1568"/>
      <c r="AZ932" s="23"/>
      <c r="BA932" s="23"/>
    </row>
    <row r="933" spans="6:55" ht="13.2" customHeight="1">
      <c r="F933" s="100" t="s">
        <v>1613</v>
      </c>
      <c r="G933" s="4"/>
      <c r="H933" s="4"/>
      <c r="I933" s="4"/>
      <c r="J933" s="4"/>
      <c r="K933" s="4"/>
      <c r="L933" s="4"/>
      <c r="M933" s="4"/>
      <c r="N933" s="4"/>
      <c r="O933" s="4"/>
      <c r="P933" s="4"/>
      <c r="Q933" s="4"/>
      <c r="R933" s="4"/>
      <c r="S933" s="4"/>
      <c r="T933" s="1106"/>
      <c r="U933" s="1563" t="s">
        <v>810</v>
      </c>
      <c r="V933" s="1382"/>
      <c r="W933" s="1382"/>
      <c r="X933" s="1382"/>
      <c r="Y933" s="1382"/>
      <c r="Z933" s="1383"/>
      <c r="AA933" s="1567"/>
      <c r="AB933" s="1478"/>
      <c r="AC933" s="1478"/>
      <c r="AD933" s="1478"/>
      <c r="AE933" s="1478"/>
      <c r="AF933" s="1568"/>
    </row>
    <row r="934" spans="6:55" ht="13.2" customHeight="1">
      <c r="F934" s="1107" t="s">
        <v>1614</v>
      </c>
      <c r="G934" s="4"/>
      <c r="H934" s="4"/>
      <c r="I934" s="4"/>
      <c r="J934" s="4"/>
      <c r="K934" s="4"/>
      <c r="L934" s="4"/>
      <c r="M934" s="4"/>
      <c r="N934" s="4"/>
      <c r="O934" s="4"/>
      <c r="P934" s="4"/>
      <c r="Q934" s="4"/>
      <c r="R934" s="4"/>
      <c r="S934" s="4"/>
      <c r="T934" s="1106"/>
      <c r="U934" s="1563" t="s">
        <v>810</v>
      </c>
      <c r="V934" s="1382"/>
      <c r="W934" s="1382"/>
      <c r="X934" s="1382"/>
      <c r="Y934" s="1382"/>
      <c r="Z934" s="1383"/>
      <c r="AA934" s="1567"/>
      <c r="AB934" s="1478"/>
      <c r="AC934" s="1478"/>
      <c r="AD934" s="1478"/>
      <c r="AE934" s="1478"/>
      <c r="AF934" s="1568"/>
      <c r="AZ934" s="23"/>
      <c r="BA934" s="11"/>
    </row>
    <row r="935" spans="6:55" ht="13.2" customHeight="1">
      <c r="F935" s="1107" t="s">
        <v>1615</v>
      </c>
      <c r="G935" s="4"/>
      <c r="H935" s="4"/>
      <c r="I935" s="4"/>
      <c r="J935" s="4"/>
      <c r="K935" s="4"/>
      <c r="L935" s="4"/>
      <c r="M935" s="4"/>
      <c r="N935" s="4"/>
      <c r="O935" s="4"/>
      <c r="P935" s="4"/>
      <c r="Q935" s="4"/>
      <c r="R935" s="4"/>
      <c r="S935" s="4"/>
      <c r="T935" s="1106"/>
      <c r="U935" s="1563" t="s">
        <v>810</v>
      </c>
      <c r="V935" s="1382"/>
      <c r="W935" s="1382"/>
      <c r="X935" s="1382"/>
      <c r="Y935" s="1382"/>
      <c r="Z935" s="1383"/>
      <c r="AA935" s="1567"/>
      <c r="AB935" s="1478"/>
      <c r="AC935" s="1478"/>
      <c r="AD935" s="1478"/>
      <c r="AE935" s="1478"/>
      <c r="AF935" s="1568"/>
      <c r="AZ935" s="23"/>
      <c r="BA935" s="11"/>
    </row>
    <row r="936" spans="6:55" ht="13.2" customHeight="1">
      <c r="F936" s="1564" t="s">
        <v>1616</v>
      </c>
      <c r="G936" s="1565"/>
      <c r="H936" s="1565"/>
      <c r="I936" s="1565"/>
      <c r="J936" s="1565"/>
      <c r="K936" s="1565"/>
      <c r="L936" s="1565"/>
      <c r="M936" s="1565"/>
      <c r="N936" s="1565"/>
      <c r="O936" s="1565"/>
      <c r="P936" s="1565"/>
      <c r="Q936" s="1565"/>
      <c r="R936" s="1565"/>
      <c r="S936" s="1565"/>
      <c r="T936" s="1566"/>
      <c r="U936" s="1563" t="s">
        <v>810</v>
      </c>
      <c r="V936" s="1382"/>
      <c r="W936" s="1382"/>
      <c r="X936" s="1382"/>
      <c r="Y936" s="1382"/>
      <c r="Z936" s="1383"/>
      <c r="AA936" s="1567"/>
      <c r="AB936" s="1478"/>
      <c r="AC936" s="1478"/>
      <c r="AD936" s="1478"/>
      <c r="AE936" s="1478"/>
      <c r="AF936" s="1568"/>
      <c r="AZ936" s="23"/>
      <c r="BA936" s="11"/>
    </row>
    <row r="937" spans="6:55" ht="13.2" customHeight="1">
      <c r="F937" s="1564" t="s">
        <v>1617</v>
      </c>
      <c r="G937" s="1565"/>
      <c r="H937" s="1565"/>
      <c r="I937" s="1565"/>
      <c r="J937" s="1565"/>
      <c r="K937" s="1565"/>
      <c r="L937" s="1565"/>
      <c r="M937" s="1565"/>
      <c r="N937" s="1565"/>
      <c r="O937" s="1565"/>
      <c r="P937" s="1565"/>
      <c r="Q937" s="1565"/>
      <c r="R937" s="1565"/>
      <c r="S937" s="1565"/>
      <c r="T937" s="1566"/>
      <c r="U937" s="1563" t="s">
        <v>810</v>
      </c>
      <c r="V937" s="1382"/>
      <c r="W937" s="1382"/>
      <c r="X937" s="1382"/>
      <c r="Y937" s="1382"/>
      <c r="Z937" s="1383"/>
      <c r="AA937" s="1567"/>
      <c r="AB937" s="1478"/>
      <c r="AC937" s="1478"/>
      <c r="AD937" s="1478"/>
      <c r="AE937" s="1478"/>
      <c r="AF937" s="1568"/>
      <c r="AZ937" s="23"/>
      <c r="BA937" s="23"/>
    </row>
    <row r="938" spans="6:55" ht="13.2" customHeight="1">
      <c r="F938" s="1560" t="s">
        <v>1618</v>
      </c>
      <c r="G938" s="1561"/>
      <c r="H938" s="1561"/>
      <c r="I938" s="1561"/>
      <c r="J938" s="1561"/>
      <c r="K938" s="1561"/>
      <c r="L938" s="1561"/>
      <c r="M938" s="1561"/>
      <c r="N938" s="1561"/>
      <c r="O938" s="1561"/>
      <c r="P938" s="1561"/>
      <c r="Q938" s="1561"/>
      <c r="R938" s="1561"/>
      <c r="S938" s="1561"/>
      <c r="T938" s="1562"/>
      <c r="U938" s="1563" t="s">
        <v>810</v>
      </c>
      <c r="V938" s="1382"/>
      <c r="W938" s="1382"/>
      <c r="X938" s="1382"/>
      <c r="Y938" s="1382"/>
      <c r="Z938" s="1383"/>
      <c r="AA938" s="1567"/>
      <c r="AB938" s="1478"/>
      <c r="AC938" s="1478"/>
      <c r="AD938" s="1478"/>
      <c r="AE938" s="1478"/>
      <c r="AF938" s="1568"/>
      <c r="AZ938" s="23"/>
      <c r="BA938" s="23"/>
    </row>
    <row r="939" spans="6:55" ht="13.2" customHeight="1">
      <c r="F939" s="1560" t="s">
        <v>1619</v>
      </c>
      <c r="G939" s="1561"/>
      <c r="H939" s="1561"/>
      <c r="I939" s="1561"/>
      <c r="J939" s="1561"/>
      <c r="K939" s="1561"/>
      <c r="L939" s="1561"/>
      <c r="M939" s="1561"/>
      <c r="N939" s="1561"/>
      <c r="O939" s="1561"/>
      <c r="P939" s="1561"/>
      <c r="Q939" s="1561"/>
      <c r="R939" s="1561"/>
      <c r="S939" s="1561"/>
      <c r="T939" s="1562"/>
      <c r="U939" s="1563" t="s">
        <v>810</v>
      </c>
      <c r="V939" s="1382"/>
      <c r="W939" s="1382"/>
      <c r="X939" s="1382"/>
      <c r="Y939" s="1382"/>
      <c r="Z939" s="1383"/>
      <c r="AA939" s="1567"/>
      <c r="AB939" s="1478"/>
      <c r="AC939" s="1478"/>
      <c r="AD939" s="1478"/>
      <c r="AE939" s="1478"/>
      <c r="AF939" s="1568"/>
      <c r="AZ939" s="23"/>
      <c r="BA939" s="23"/>
    </row>
    <row r="940" spans="6:55" ht="13.2" customHeight="1">
      <c r="F940" s="1560" t="s">
        <v>1620</v>
      </c>
      <c r="G940" s="1561"/>
      <c r="H940" s="1561"/>
      <c r="I940" s="1561"/>
      <c r="J940" s="1561"/>
      <c r="K940" s="1561"/>
      <c r="L940" s="1561"/>
      <c r="M940" s="1561"/>
      <c r="N940" s="1561"/>
      <c r="O940" s="1561"/>
      <c r="P940" s="1561"/>
      <c r="Q940" s="1561"/>
      <c r="R940" s="1561"/>
      <c r="S940" s="1561"/>
      <c r="T940" s="1562"/>
      <c r="U940" s="1563" t="s">
        <v>810</v>
      </c>
      <c r="V940" s="1382"/>
      <c r="W940" s="1382"/>
      <c r="X940" s="1382"/>
      <c r="Y940" s="1382"/>
      <c r="Z940" s="1383"/>
      <c r="AA940" s="1567"/>
      <c r="AB940" s="1478"/>
      <c r="AC940" s="1478"/>
      <c r="AD940" s="1478"/>
      <c r="AE940" s="1478"/>
      <c r="AF940" s="1568"/>
      <c r="AZ940" s="2"/>
      <c r="BA940" s="2"/>
      <c r="BB940" s="11"/>
      <c r="BC940" s="11"/>
    </row>
    <row r="941" spans="6:55" ht="13.2" customHeight="1">
      <c r="F941" s="1107" t="s">
        <v>1621</v>
      </c>
      <c r="G941" s="4"/>
      <c r="H941" s="4"/>
      <c r="I941" s="4"/>
      <c r="J941" s="4"/>
      <c r="K941" s="4"/>
      <c r="L941" s="4"/>
      <c r="M941" s="4"/>
      <c r="N941" s="4"/>
      <c r="O941" s="4"/>
      <c r="P941" s="4"/>
      <c r="Q941" s="4"/>
      <c r="R941" s="4"/>
      <c r="S941" s="4"/>
      <c r="T941" s="1106"/>
      <c r="U941" s="1563" t="s">
        <v>810</v>
      </c>
      <c r="V941" s="1382"/>
      <c r="W941" s="1382"/>
      <c r="X941" s="1382"/>
      <c r="Y941" s="1382"/>
      <c r="Z941" s="1383"/>
      <c r="AA941" s="1567"/>
      <c r="AB941" s="1478"/>
      <c r="AC941" s="1478"/>
      <c r="AD941" s="1478"/>
      <c r="AE941" s="1478"/>
      <c r="AF941" s="1568"/>
      <c r="AZ941" s="2"/>
      <c r="BA941" s="2"/>
      <c r="BB941" s="11"/>
      <c r="BC941" s="11"/>
    </row>
    <row r="942" spans="6:55" ht="13.2" customHeight="1">
      <c r="F942" s="1564" t="s">
        <v>1622</v>
      </c>
      <c r="G942" s="1565"/>
      <c r="H942" s="1565"/>
      <c r="I942" s="1565"/>
      <c r="J942" s="1565"/>
      <c r="K942" s="1565"/>
      <c r="L942" s="1565"/>
      <c r="M942" s="1565"/>
      <c r="N942" s="1565"/>
      <c r="O942" s="1565"/>
      <c r="P942" s="1565"/>
      <c r="Q942" s="1565"/>
      <c r="R942" s="1565"/>
      <c r="S942" s="1565"/>
      <c r="T942" s="1566"/>
      <c r="U942" s="1563" t="s">
        <v>810</v>
      </c>
      <c r="V942" s="1382"/>
      <c r="W942" s="1382"/>
      <c r="X942" s="1382"/>
      <c r="Y942" s="1382"/>
      <c r="Z942" s="1383"/>
      <c r="AA942" s="1567"/>
      <c r="AB942" s="1478"/>
      <c r="AC942" s="1478"/>
      <c r="AD942" s="1478"/>
      <c r="AE942" s="1478"/>
      <c r="AF942" s="1568"/>
      <c r="AZ942" s="2"/>
      <c r="BA942" s="2"/>
      <c r="BB942" s="2"/>
      <c r="BC942" s="2"/>
    </row>
    <row r="943" spans="6:55" ht="13.2" customHeight="1">
      <c r="F943" s="1107" t="s">
        <v>1623</v>
      </c>
      <c r="G943" s="4"/>
      <c r="H943" s="4"/>
      <c r="I943" s="4"/>
      <c r="J943" s="4"/>
      <c r="K943" s="4"/>
      <c r="L943" s="4"/>
      <c r="M943" s="4"/>
      <c r="N943" s="4"/>
      <c r="O943" s="4"/>
      <c r="P943" s="4"/>
      <c r="Q943" s="4"/>
      <c r="R943" s="4"/>
      <c r="S943" s="4"/>
      <c r="T943" s="1106"/>
      <c r="U943" s="1563" t="s">
        <v>810</v>
      </c>
      <c r="V943" s="1382"/>
      <c r="W943" s="1382"/>
      <c r="X943" s="1382"/>
      <c r="Y943" s="1382"/>
      <c r="Z943" s="1383"/>
      <c r="AA943" s="1567"/>
      <c r="AB943" s="1478"/>
      <c r="AC943" s="1478"/>
      <c r="AD943" s="1478"/>
      <c r="AE943" s="1478"/>
      <c r="AF943" s="1568"/>
      <c r="AZ943" s="2"/>
      <c r="BA943" s="2"/>
      <c r="BB943" s="2"/>
      <c r="BC943" s="2"/>
    </row>
    <row r="944" spans="6:55" ht="13.2" customHeight="1">
      <c r="F944" s="1564" t="s">
        <v>1624</v>
      </c>
      <c r="G944" s="1565"/>
      <c r="H944" s="1565"/>
      <c r="I944" s="1565"/>
      <c r="J944" s="1565"/>
      <c r="K944" s="1565"/>
      <c r="L944" s="1565"/>
      <c r="M944" s="1565"/>
      <c r="N944" s="1565"/>
      <c r="O944" s="1565"/>
      <c r="P944" s="1565"/>
      <c r="Q944" s="1565"/>
      <c r="R944" s="1565"/>
      <c r="S944" s="1565"/>
      <c r="T944" s="1566"/>
      <c r="U944" s="1563" t="s">
        <v>810</v>
      </c>
      <c r="V944" s="1382"/>
      <c r="W944" s="1382"/>
      <c r="X944" s="1382"/>
      <c r="Y944" s="1382"/>
      <c r="Z944" s="1383"/>
      <c r="AA944" s="1567"/>
      <c r="AB944" s="1478"/>
      <c r="AC944" s="1478"/>
      <c r="AD944" s="1478"/>
      <c r="AE944" s="1478"/>
      <c r="AF944" s="1568"/>
      <c r="AZ944" s="2"/>
      <c r="BA944" s="2"/>
      <c r="BB944" s="2"/>
      <c r="BC944" s="2"/>
    </row>
    <row r="945" spans="1:55" ht="13.2" customHeight="1">
      <c r="F945" s="1105" t="s">
        <v>1625</v>
      </c>
      <c r="G945" s="4"/>
      <c r="H945" s="4"/>
      <c r="I945" s="4"/>
      <c r="J945" s="4"/>
      <c r="K945" s="4"/>
      <c r="L945" s="4"/>
      <c r="M945" s="4"/>
      <c r="N945" s="4"/>
      <c r="O945" s="4"/>
      <c r="P945" s="1563" t="s">
        <v>844</v>
      </c>
      <c r="Q945" s="1382"/>
      <c r="R945" s="1382"/>
      <c r="S945" s="1382"/>
      <c r="T945" s="1383"/>
      <c r="U945" s="1563" t="s">
        <v>810</v>
      </c>
      <c r="V945" s="1382"/>
      <c r="W945" s="1382"/>
      <c r="X945" s="1382"/>
      <c r="Y945" s="1382"/>
      <c r="Z945" s="1383"/>
      <c r="AA945" s="1567"/>
      <c r="AB945" s="1478"/>
      <c r="AC945" s="1478"/>
      <c r="AD945" s="1478"/>
      <c r="AE945" s="1478"/>
      <c r="AF945" s="1568"/>
      <c r="AZ945" s="2"/>
      <c r="BA945" s="2"/>
      <c r="BB945" s="2"/>
      <c r="BC945" s="2"/>
    </row>
    <row r="946" spans="1:55" ht="13.2" customHeight="1">
      <c r="F946" s="1560" t="s">
        <v>1626</v>
      </c>
      <c r="G946" s="1561"/>
      <c r="H946" s="1562"/>
      <c r="I946" s="1577" t="s">
        <v>1627</v>
      </c>
      <c r="J946" s="1578"/>
      <c r="K946" s="1578"/>
      <c r="L946" s="1578"/>
      <c r="M946" s="1578"/>
      <c r="N946" s="1578"/>
      <c r="O946" s="1578"/>
      <c r="P946" s="1578"/>
      <c r="Q946" s="1578"/>
      <c r="R946" s="1578"/>
      <c r="S946" s="1578"/>
      <c r="T946" s="1579"/>
      <c r="U946" s="1563" t="s">
        <v>694</v>
      </c>
      <c r="V946" s="1382"/>
      <c r="W946" s="1382"/>
      <c r="X946" s="1382"/>
      <c r="Y946" s="1382"/>
      <c r="Z946" s="1383"/>
      <c r="AA946" s="1567">
        <v>32315733</v>
      </c>
      <c r="AB946" s="1478"/>
      <c r="AC946" s="1478"/>
      <c r="AD946" s="1478"/>
      <c r="AE946" s="1478"/>
      <c r="AF946" s="1568"/>
      <c r="AZ946" s="2"/>
      <c r="BA946" s="2"/>
      <c r="BB946" s="2"/>
      <c r="BC946" s="2"/>
    </row>
    <row r="947" spans="1:55" ht="13.2" customHeight="1">
      <c r="F947" s="1105" t="s">
        <v>1065</v>
      </c>
      <c r="G947" s="32"/>
      <c r="H947" s="32"/>
      <c r="I947" s="1577" t="s">
        <v>1627</v>
      </c>
      <c r="J947" s="1578"/>
      <c r="K947" s="1578"/>
      <c r="L947" s="1578"/>
      <c r="M947" s="1578"/>
      <c r="N947" s="1578"/>
      <c r="O947" s="1578"/>
      <c r="P947" s="1578"/>
      <c r="Q947" s="1578"/>
      <c r="R947" s="1578"/>
      <c r="S947" s="1578"/>
      <c r="T947" s="1579"/>
      <c r="U947" s="1563" t="s">
        <v>694</v>
      </c>
      <c r="V947" s="1382"/>
      <c r="W947" s="1382"/>
      <c r="X947" s="1382"/>
      <c r="Y947" s="1382"/>
      <c r="Z947" s="1383"/>
      <c r="AA947" s="1567">
        <v>16645261</v>
      </c>
      <c r="AB947" s="1478"/>
      <c r="AC947" s="1478"/>
      <c r="AD947" s="1478"/>
      <c r="AE947" s="1478"/>
      <c r="AF947" s="1568"/>
      <c r="AZ947" s="2"/>
      <c r="BA947" s="2"/>
      <c r="BB947" s="2"/>
      <c r="BC947" s="2"/>
    </row>
    <row r="948" spans="1:55" ht="13.2" customHeight="1">
      <c r="F948" s="1105" t="s">
        <v>1628</v>
      </c>
      <c r="G948" s="32"/>
      <c r="H948" s="32"/>
      <c r="I948" s="1577" t="s">
        <v>1338</v>
      </c>
      <c r="J948" s="1578"/>
      <c r="K948" s="1578"/>
      <c r="L948" s="1578"/>
      <c r="M948" s="1578"/>
      <c r="N948" s="1578"/>
      <c r="O948" s="1578"/>
      <c r="P948" s="1578"/>
      <c r="Q948" s="1578"/>
      <c r="R948" s="1578"/>
      <c r="S948" s="1578"/>
      <c r="T948" s="1579"/>
      <c r="U948" s="1563" t="s">
        <v>810</v>
      </c>
      <c r="V948" s="1382"/>
      <c r="W948" s="1382"/>
      <c r="X948" s="1382"/>
      <c r="Y948" s="1382"/>
      <c r="Z948" s="1383"/>
      <c r="AA948" s="1567"/>
      <c r="AB948" s="1478"/>
      <c r="AC948" s="1478"/>
      <c r="AD948" s="1478"/>
      <c r="AE948" s="1478"/>
      <c r="AF948" s="1568"/>
      <c r="AV948" s="1"/>
      <c r="AW948" s="1"/>
      <c r="AX948" s="1"/>
      <c r="AY948" s="1"/>
      <c r="AZ948" s="2"/>
      <c r="BA948" s="2"/>
      <c r="BB948" s="2"/>
      <c r="BC948" s="2"/>
    </row>
    <row r="949" spans="1:55" ht="13.2" customHeight="1">
      <c r="F949" s="31" t="s">
        <v>233</v>
      </c>
      <c r="G949" s="32"/>
      <c r="H949" s="32"/>
      <c r="I949" s="1577" t="s">
        <v>1629</v>
      </c>
      <c r="J949" s="1578"/>
      <c r="K949" s="1578"/>
      <c r="L949" s="1578"/>
      <c r="M949" s="1578"/>
      <c r="N949" s="1578"/>
      <c r="O949" s="1578"/>
      <c r="P949" s="1578"/>
      <c r="Q949" s="1578"/>
      <c r="R949" s="1578"/>
      <c r="S949" s="1578"/>
      <c r="T949" s="1579"/>
      <c r="U949" s="1563" t="s">
        <v>694</v>
      </c>
      <c r="V949" s="1382"/>
      <c r="W949" s="1382"/>
      <c r="X949" s="1382"/>
      <c r="Y949" s="1382"/>
      <c r="Z949" s="1383"/>
      <c r="AA949" s="1567">
        <v>3100000</v>
      </c>
      <c r="AB949" s="1478"/>
      <c r="AC949" s="1478"/>
      <c r="AD949" s="1478"/>
      <c r="AE949" s="1478"/>
      <c r="AF949" s="1568"/>
      <c r="AU949" s="1"/>
      <c r="AZ949" s="2"/>
      <c r="BA949" s="2"/>
      <c r="BB949" s="2"/>
      <c r="BC949" s="2"/>
    </row>
    <row r="950" spans="1:55" ht="13.2" customHeight="1">
      <c r="F950" s="31" t="s">
        <v>233</v>
      </c>
      <c r="G950" s="32"/>
      <c r="H950" s="32"/>
      <c r="I950" s="1577" t="s">
        <v>1396</v>
      </c>
      <c r="J950" s="1578"/>
      <c r="K950" s="1578"/>
      <c r="L950" s="1578"/>
      <c r="M950" s="1578"/>
      <c r="N950" s="1578"/>
      <c r="O950" s="1578"/>
      <c r="P950" s="1578"/>
      <c r="Q950" s="1578"/>
      <c r="R950" s="1578"/>
      <c r="S950" s="1578"/>
      <c r="T950" s="1579"/>
      <c r="U950" s="1563" t="s">
        <v>694</v>
      </c>
      <c r="V950" s="1382"/>
      <c r="W950" s="1382"/>
      <c r="X950" s="1382"/>
      <c r="Y950" s="1382"/>
      <c r="Z950" s="1383"/>
      <c r="AA950" s="1567">
        <v>4000000</v>
      </c>
      <c r="AB950" s="1478"/>
      <c r="AC950" s="1478"/>
      <c r="AD950" s="1478"/>
      <c r="AE950" s="1478"/>
      <c r="AF950" s="1568"/>
      <c r="AU950" s="1"/>
      <c r="AZ950" s="2"/>
      <c r="BA950" s="2"/>
      <c r="BB950" s="2"/>
      <c r="BC950" s="2"/>
    </row>
    <row r="951" spans="1:55" ht="13.2" customHeight="1">
      <c r="AU951" s="1"/>
      <c r="AZ951" s="2"/>
      <c r="BA951" s="2"/>
      <c r="BB951" s="2"/>
      <c r="BC951" s="2"/>
    </row>
    <row r="952" spans="1:55" ht="13.2" customHeight="1">
      <c r="A952" s="1" t="s">
        <v>912</v>
      </c>
      <c r="C952" s="1" t="s">
        <v>247</v>
      </c>
      <c r="AZ952" s="2"/>
      <c r="BA952" s="2"/>
      <c r="BB952" s="2"/>
      <c r="BC952" s="2"/>
    </row>
    <row r="953" spans="1:55" ht="13.2" customHeight="1">
      <c r="B953" s="1"/>
      <c r="C953" s="17" t="s">
        <v>1630</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3.2" customHeight="1">
      <c r="AZ954" s="2"/>
      <c r="BA954" s="2"/>
      <c r="BB954" s="2"/>
      <c r="BC954" s="2"/>
    </row>
    <row r="955" spans="1:55" ht="13.2" customHeight="1">
      <c r="C955" s="1107" t="s">
        <v>1631</v>
      </c>
      <c r="D955" s="4"/>
      <c r="E955" s="4"/>
      <c r="F955" s="4"/>
      <c r="G955" s="4"/>
      <c r="H955" s="4"/>
      <c r="I955" s="4"/>
      <c r="J955" s="4"/>
      <c r="K955" s="4"/>
      <c r="L955" s="1106"/>
      <c r="M955" s="1640"/>
      <c r="N955" s="1558"/>
      <c r="O955" s="1558"/>
      <c r="P955" s="1558"/>
      <c r="Q955" s="1558"/>
      <c r="R955" s="1558"/>
      <c r="S955" s="1559"/>
      <c r="U955" s="1107" t="s">
        <v>1631</v>
      </c>
      <c r="V955" s="4"/>
      <c r="W955" s="4"/>
      <c r="X955" s="4"/>
      <c r="Y955" s="4"/>
      <c r="Z955" s="4"/>
      <c r="AA955" s="4"/>
      <c r="AB955" s="4"/>
      <c r="AC955" s="4"/>
      <c r="AD955" s="1106"/>
      <c r="AE955" s="1640"/>
      <c r="AF955" s="1558"/>
      <c r="AG955" s="1558"/>
      <c r="AH955" s="1558"/>
      <c r="AI955" s="1558"/>
      <c r="AJ955" s="1558"/>
      <c r="AK955" s="1559"/>
      <c r="AZ955" s="2"/>
      <c r="BA955" s="2"/>
      <c r="BB955" s="2"/>
      <c r="BC955" s="2"/>
    </row>
    <row r="956" spans="1:55" ht="13.2" customHeight="1">
      <c r="C956" s="1107" t="s">
        <v>1632</v>
      </c>
      <c r="D956" s="4"/>
      <c r="E956" s="4"/>
      <c r="F956" s="4"/>
      <c r="G956" s="4"/>
      <c r="H956" s="4"/>
      <c r="I956" s="4"/>
      <c r="J956" s="4"/>
      <c r="K956" s="4"/>
      <c r="L956" s="1106"/>
      <c r="M956" s="1418"/>
      <c r="N956" s="1427"/>
      <c r="O956" s="1427"/>
      <c r="P956" s="1427"/>
      <c r="Q956" s="1427"/>
      <c r="R956" s="1427"/>
      <c r="S956" s="1595"/>
      <c r="U956" s="1107" t="s">
        <v>1632</v>
      </c>
      <c r="V956" s="4"/>
      <c r="W956" s="4"/>
      <c r="X956" s="4"/>
      <c r="Y956" s="4"/>
      <c r="Z956" s="4"/>
      <c r="AA956" s="4"/>
      <c r="AB956" s="4"/>
      <c r="AC956" s="4"/>
      <c r="AD956" s="1106"/>
      <c r="AE956" s="1418"/>
      <c r="AF956" s="1427"/>
      <c r="AG956" s="1427"/>
      <c r="AH956" s="1427"/>
      <c r="AI956" s="1427"/>
      <c r="AJ956" s="1427"/>
      <c r="AK956" s="1595"/>
      <c r="AZ956" s="2"/>
      <c r="BA956" s="2"/>
      <c r="BB956" s="2"/>
      <c r="BC956" s="2"/>
    </row>
    <row r="957" spans="1:55" ht="13.2" customHeight="1">
      <c r="C957" s="1107" t="s">
        <v>1633</v>
      </c>
      <c r="D957" s="4"/>
      <c r="E957" s="4"/>
      <c r="J957" s="1741" t="s">
        <v>547</v>
      </c>
      <c r="K957" s="1742"/>
      <c r="L957" s="1742"/>
      <c r="M957" s="1742"/>
      <c r="N957" s="1742"/>
      <c r="O957" s="1742"/>
      <c r="P957" s="1742"/>
      <c r="Q957" s="1742"/>
      <c r="R957" s="1742"/>
      <c r="S957" s="1743"/>
      <c r="U957" s="1107" t="s">
        <v>1633</v>
      </c>
      <c r="V957" s="4"/>
      <c r="W957" s="4"/>
      <c r="AB957" s="1741" t="s">
        <v>547</v>
      </c>
      <c r="AC957" s="1742"/>
      <c r="AD957" s="1742"/>
      <c r="AE957" s="1742"/>
      <c r="AF957" s="1742"/>
      <c r="AG957" s="1742"/>
      <c r="AH957" s="1742"/>
      <c r="AI957" s="1742"/>
      <c r="AJ957" s="1742"/>
      <c r="AK957" s="1743"/>
      <c r="AZ957" s="2"/>
      <c r="BA957" s="2"/>
      <c r="BB957" s="2"/>
      <c r="BC957" s="2"/>
    </row>
    <row r="958" spans="1:55" ht="13.2" customHeight="1">
      <c r="C958" s="1107" t="s">
        <v>1634</v>
      </c>
      <c r="D958" s="4"/>
      <c r="E958" s="4"/>
      <c r="F958" s="4"/>
      <c r="G958" s="4"/>
      <c r="H958" s="4"/>
      <c r="I958" s="4"/>
      <c r="J958" s="4"/>
      <c r="K958" s="4"/>
      <c r="L958" s="1106"/>
      <c r="M958" s="1641"/>
      <c r="N958" s="1642"/>
      <c r="O958" s="1642"/>
      <c r="P958" s="1642"/>
      <c r="Q958" s="1642"/>
      <c r="R958" s="1642"/>
      <c r="S958" s="1643"/>
      <c r="U958" s="1107" t="s">
        <v>1634</v>
      </c>
      <c r="V958" s="4"/>
      <c r="W958" s="4"/>
      <c r="X958" s="4"/>
      <c r="Y958" s="4"/>
      <c r="Z958" s="4"/>
      <c r="AA958" s="4"/>
      <c r="AB958" s="4"/>
      <c r="AC958" s="4"/>
      <c r="AD958" s="1106"/>
      <c r="AE958" s="1715"/>
      <c r="AF958" s="1642"/>
      <c r="AG958" s="1642"/>
      <c r="AH958" s="1642"/>
      <c r="AI958" s="1642"/>
      <c r="AJ958" s="1642"/>
      <c r="AK958" s="1643"/>
      <c r="AZ958" s="2"/>
      <c r="BA958" s="2"/>
      <c r="BB958" s="2"/>
      <c r="BC958" s="2"/>
    </row>
    <row r="959" spans="1:55" ht="13.2" customHeight="1">
      <c r="C959" s="1107" t="s">
        <v>1635</v>
      </c>
      <c r="D959" s="4"/>
      <c r="E959" s="4"/>
      <c r="F959" s="4"/>
      <c r="G959" s="4"/>
      <c r="H959" s="4"/>
      <c r="I959" s="4"/>
      <c r="J959" s="4"/>
      <c r="K959" s="4"/>
      <c r="L959" s="1106"/>
      <c r="M959" s="1661"/>
      <c r="N959" s="1543"/>
      <c r="O959" s="1543"/>
      <c r="P959" s="1543"/>
      <c r="Q959" s="1543"/>
      <c r="R959" s="1543"/>
      <c r="S959" s="1544"/>
      <c r="U959" s="1107" t="s">
        <v>1635</v>
      </c>
      <c r="V959" s="4"/>
      <c r="W959" s="4"/>
      <c r="X959" s="4"/>
      <c r="Y959" s="4"/>
      <c r="Z959" s="4"/>
      <c r="AA959" s="4"/>
      <c r="AB959" s="4"/>
      <c r="AC959" s="4"/>
      <c r="AD959" s="1106"/>
      <c r="AE959" s="1661"/>
      <c r="AF959" s="1543"/>
      <c r="AG959" s="1543"/>
      <c r="AH959" s="1543"/>
      <c r="AI959" s="1543"/>
      <c r="AJ959" s="1543"/>
      <c r="AK959" s="1544"/>
      <c r="AV959" s="1"/>
      <c r="AW959" s="1"/>
      <c r="AX959" s="1"/>
      <c r="AY959" s="1"/>
      <c r="AZ959" s="2"/>
      <c r="BA959" s="2"/>
      <c r="BB959" s="2"/>
      <c r="BC959" s="2"/>
    </row>
    <row r="960" spans="1:55" ht="13.2" customHeight="1">
      <c r="C960" s="1107" t="s">
        <v>1636</v>
      </c>
      <c r="D960" s="4"/>
      <c r="E960" s="4"/>
      <c r="F960" s="4"/>
      <c r="G960" s="4"/>
      <c r="H960" s="4"/>
      <c r="I960" s="4"/>
      <c r="J960" s="4"/>
      <c r="K960" s="4"/>
      <c r="L960" s="1106"/>
      <c r="M960" s="1567"/>
      <c r="N960" s="1478"/>
      <c r="O960" s="1478"/>
      <c r="P960" s="1478"/>
      <c r="Q960" s="1478"/>
      <c r="R960" s="1478"/>
      <c r="S960" s="1568"/>
      <c r="U960" s="1107" t="s">
        <v>1636</v>
      </c>
      <c r="V960" s="4"/>
      <c r="W960" s="4"/>
      <c r="X960" s="4"/>
      <c r="Y960" s="4"/>
      <c r="Z960" s="4"/>
      <c r="AA960" s="4"/>
      <c r="AB960" s="4"/>
      <c r="AC960" s="4"/>
      <c r="AD960" s="1106"/>
      <c r="AE960" s="1567"/>
      <c r="AF960" s="1478"/>
      <c r="AG960" s="1478"/>
      <c r="AH960" s="1478"/>
      <c r="AI960" s="1478"/>
      <c r="AJ960" s="1478"/>
      <c r="AK960" s="1568"/>
      <c r="AV960" s="1"/>
      <c r="AW960" s="1"/>
      <c r="AX960" s="1"/>
      <c r="AY960" s="1"/>
      <c r="AZ960" s="2"/>
      <c r="BA960" s="2"/>
      <c r="BB960" s="2"/>
      <c r="BC960" s="2"/>
    </row>
    <row r="961" spans="1:64" ht="13.2" customHeight="1">
      <c r="C961" s="1107" t="s">
        <v>1637</v>
      </c>
      <c r="D961" s="4"/>
      <c r="E961" s="4"/>
      <c r="F961" s="4"/>
      <c r="G961" s="4"/>
      <c r="H961" s="4"/>
      <c r="I961" s="4"/>
      <c r="J961" s="4"/>
      <c r="K961" s="4"/>
      <c r="L961" s="1106"/>
      <c r="M961" s="1567"/>
      <c r="N961" s="1478"/>
      <c r="O961" s="1478"/>
      <c r="P961" s="1478"/>
      <c r="Q961" s="1478"/>
      <c r="R961" s="1478"/>
      <c r="S961" s="1568"/>
      <c r="U961" s="1107" t="s">
        <v>1637</v>
      </c>
      <c r="V961" s="4"/>
      <c r="W961" s="4"/>
      <c r="X961" s="4"/>
      <c r="Y961" s="4"/>
      <c r="Z961" s="4"/>
      <c r="AA961" s="4"/>
      <c r="AB961" s="4"/>
      <c r="AC961" s="4"/>
      <c r="AD961" s="1106"/>
      <c r="AE961" s="1567"/>
      <c r="AF961" s="1478"/>
      <c r="AG961" s="1478"/>
      <c r="AH961" s="1478"/>
      <c r="AI961" s="1478"/>
      <c r="AJ961" s="1478"/>
      <c r="AK961" s="1568"/>
      <c r="AV961" s="1"/>
      <c r="AW961" s="1"/>
      <c r="AX961" s="1"/>
      <c r="AY961" s="1"/>
      <c r="AZ961" s="2"/>
      <c r="BB961" s="2"/>
      <c r="BC961" s="2"/>
    </row>
    <row r="962" spans="1:64" ht="13.2" customHeight="1">
      <c r="C962" s="1107" t="s">
        <v>1241</v>
      </c>
      <c r="D962" s="4"/>
      <c r="E962" s="4"/>
      <c r="F962" s="4"/>
      <c r="G962" s="4"/>
      <c r="H962" s="4"/>
      <c r="I962" s="4"/>
      <c r="J962" s="4"/>
      <c r="K962" s="4"/>
      <c r="L962" s="1106"/>
      <c r="M962" s="1712"/>
      <c r="N962" s="1713"/>
      <c r="O962" s="1713"/>
      <c r="P962" s="1713"/>
      <c r="Q962" s="1713"/>
      <c r="R962" s="1713"/>
      <c r="S962" s="1714"/>
      <c r="U962" s="1107" t="s">
        <v>1241</v>
      </c>
      <c r="V962" s="4"/>
      <c r="W962" s="4"/>
      <c r="X962" s="4"/>
      <c r="Y962" s="4"/>
      <c r="Z962" s="4"/>
      <c r="AA962" s="4"/>
      <c r="AB962" s="4"/>
      <c r="AC962" s="4"/>
      <c r="AD962" s="1106"/>
      <c r="AE962" s="1712"/>
      <c r="AF962" s="1713"/>
      <c r="AG962" s="1713"/>
      <c r="AH962" s="1713"/>
      <c r="AI962" s="1713"/>
      <c r="AJ962" s="1713"/>
      <c r="AK962" s="1714"/>
      <c r="AZ962" s="2"/>
      <c r="BB962" s="2"/>
      <c r="BC962" s="2"/>
      <c r="BD962" s="2"/>
      <c r="BE962" s="2"/>
      <c r="BF962" s="2"/>
      <c r="BG962" s="2"/>
      <c r="BH962" s="2"/>
      <c r="BI962" s="2"/>
      <c r="BJ962" s="2"/>
      <c r="BK962" s="2"/>
      <c r="BL962" s="2"/>
    </row>
    <row r="963" spans="1:64" ht="13.2" customHeight="1">
      <c r="AZ963" s="2"/>
      <c r="BB963" s="2"/>
      <c r="BC963" s="2"/>
      <c r="BD963" s="2"/>
      <c r="BE963" s="2"/>
      <c r="BF963" s="2"/>
      <c r="BG963" s="2"/>
      <c r="BH963" s="2"/>
      <c r="BI963" s="2"/>
      <c r="BJ963" s="2"/>
      <c r="BK963" s="2"/>
      <c r="BL963" s="2"/>
    </row>
    <row r="964" spans="1:64" ht="13.2" customHeight="1">
      <c r="A964" s="1" t="s">
        <v>990</v>
      </c>
      <c r="C964" s="1" t="s">
        <v>1638</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3.2" customHeight="1">
      <c r="A965"/>
      <c r="B965" s="1"/>
      <c r="C965" s="17" t="s">
        <v>1639</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3.2"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062"/>
      <c r="AV966"/>
      <c r="AW966"/>
      <c r="AX966"/>
      <c r="AY966"/>
      <c r="AZ966" s="2"/>
      <c r="BA966"/>
      <c r="BB966" s="2"/>
      <c r="BC966" s="2"/>
      <c r="BD966" s="2"/>
      <c r="BE966" s="2"/>
      <c r="BF966" s="2"/>
      <c r="BG966" s="2"/>
      <c r="BH966" s="2"/>
      <c r="BI966" s="2"/>
      <c r="BJ966" s="2"/>
      <c r="BK966" s="2"/>
      <c r="BL966" s="2"/>
    </row>
    <row r="967" spans="1:64" s="11" customFormat="1" ht="13.2" customHeight="1">
      <c r="A967"/>
      <c r="B967"/>
      <c r="C967"/>
      <c r="D967"/>
      <c r="E967"/>
      <c r="F967" s="1105" t="s">
        <v>1640</v>
      </c>
      <c r="G967" s="4"/>
      <c r="H967" s="4"/>
      <c r="I967" s="4"/>
      <c r="J967" s="4"/>
      <c r="K967" s="4"/>
      <c r="L967" s="1106"/>
      <c r="M967" s="1593"/>
      <c r="N967" s="1404"/>
      <c r="O967" s="1404"/>
      <c r="P967" s="1404"/>
      <c r="Q967" s="1404"/>
      <c r="R967" s="1404"/>
      <c r="S967" s="1594"/>
      <c r="T967" s="1107" t="s">
        <v>1641</v>
      </c>
      <c r="U967" s="4"/>
      <c r="V967" s="4"/>
      <c r="W967" s="4"/>
      <c r="X967" s="4"/>
      <c r="Y967" s="4"/>
      <c r="Z967" s="1106"/>
      <c r="AA967" s="1593"/>
      <c r="AB967" s="1404"/>
      <c r="AC967" s="1404"/>
      <c r="AD967" s="1404"/>
      <c r="AE967" s="1404"/>
      <c r="AF967" s="1404"/>
      <c r="AG967" s="1594"/>
      <c r="AH967"/>
      <c r="AI967"/>
      <c r="AJ967"/>
      <c r="AK967"/>
      <c r="AL967"/>
      <c r="AM967"/>
      <c r="AN967"/>
      <c r="AO967"/>
      <c r="AP967"/>
      <c r="AQ967"/>
      <c r="AR967"/>
      <c r="AS967"/>
      <c r="AT967"/>
      <c r="AU967" s="1062"/>
      <c r="AV967"/>
      <c r="AW967"/>
      <c r="AX967"/>
      <c r="AY967"/>
      <c r="AZ967" s="2"/>
      <c r="BA967"/>
      <c r="BB967" s="2"/>
      <c r="BC967" s="2"/>
      <c r="BD967" s="2"/>
      <c r="BE967" s="2"/>
      <c r="BF967" s="2"/>
      <c r="BG967" s="2"/>
      <c r="BH967" s="2"/>
      <c r="BI967" s="2"/>
      <c r="BJ967" s="2"/>
      <c r="BK967" s="2"/>
      <c r="BL967" s="2"/>
    </row>
    <row r="968" spans="1:64" s="11" customFormat="1" ht="13.2" customHeight="1">
      <c r="A968"/>
      <c r="B968"/>
      <c r="C968"/>
      <c r="D968"/>
      <c r="E968"/>
      <c r="F968" s="1105" t="s">
        <v>1642</v>
      </c>
      <c r="G968" s="4"/>
      <c r="H968" s="4"/>
      <c r="I968" s="4"/>
      <c r="J968" s="4"/>
      <c r="K968" s="4"/>
      <c r="L968" s="1106"/>
      <c r="M968" s="1593"/>
      <c r="N968" s="1404"/>
      <c r="O968" s="1404"/>
      <c r="P968" s="1404"/>
      <c r="Q968" s="1404"/>
      <c r="R968" s="1404"/>
      <c r="S968" s="1594"/>
      <c r="T968" s="1107" t="s">
        <v>1643</v>
      </c>
      <c r="U968" s="4"/>
      <c r="V968" s="4"/>
      <c r="W968" s="4"/>
      <c r="X968" s="4"/>
      <c r="Y968" s="4"/>
      <c r="Z968" s="1106"/>
      <c r="AA968" s="1593"/>
      <c r="AB968" s="1404"/>
      <c r="AC968" s="1404"/>
      <c r="AD968" s="1404"/>
      <c r="AE968" s="1404"/>
      <c r="AF968" s="1404"/>
      <c r="AG968" s="1594"/>
      <c r="AH968"/>
      <c r="AI968"/>
      <c r="AJ968"/>
      <c r="AK968"/>
      <c r="AL968"/>
      <c r="AM968"/>
      <c r="AN968"/>
      <c r="AO968"/>
      <c r="AP968"/>
      <c r="AQ968"/>
      <c r="AR968"/>
      <c r="AS968"/>
      <c r="AT968"/>
      <c r="AU968" s="1062"/>
      <c r="AV968"/>
      <c r="AW968"/>
      <c r="AX968"/>
      <c r="AY968"/>
      <c r="AZ968" s="2"/>
      <c r="BA968"/>
      <c r="BB968" s="2"/>
      <c r="BC968" s="2"/>
      <c r="BD968" s="2"/>
      <c r="BE968" s="2"/>
      <c r="BF968"/>
      <c r="BG968"/>
      <c r="BH968"/>
      <c r="BI968"/>
      <c r="BJ968" s="2"/>
      <c r="BK968" s="2"/>
      <c r="BL968" s="2"/>
    </row>
    <row r="969" spans="1:64" s="11" customFormat="1" ht="13.2" customHeight="1">
      <c r="A969"/>
      <c r="B969"/>
      <c r="C969"/>
      <c r="D969"/>
      <c r="E969"/>
      <c r="F969" s="1105" t="s">
        <v>1644</v>
      </c>
      <c r="G969" s="4"/>
      <c r="H969" s="4"/>
      <c r="I969" s="4"/>
      <c r="J969" s="4"/>
      <c r="K969" s="4"/>
      <c r="L969" s="1106"/>
      <c r="M969" s="1644" t="s">
        <v>810</v>
      </c>
      <c r="N969" s="1645"/>
      <c r="O969" s="1645"/>
      <c r="P969" s="1645"/>
      <c r="Q969" s="1645"/>
      <c r="R969" s="1645"/>
      <c r="S969" s="1646"/>
      <c r="T969" s="1105" t="s">
        <v>1645</v>
      </c>
      <c r="U969" s="4"/>
      <c r="V969" s="4"/>
      <c r="W969" s="4"/>
      <c r="X969" s="4"/>
      <c r="Y969" s="4"/>
      <c r="Z969" s="1106"/>
      <c r="AA969" s="1593"/>
      <c r="AB969" s="1404"/>
      <c r="AC969" s="1404"/>
      <c r="AD969" s="1404"/>
      <c r="AE969" s="1404"/>
      <c r="AF969" s="1404"/>
      <c r="AG969" s="1594"/>
      <c r="AH969"/>
      <c r="AI969"/>
      <c r="AJ969"/>
      <c r="AK969"/>
      <c r="AL969"/>
      <c r="AM969"/>
      <c r="AN969"/>
      <c r="AO969"/>
      <c r="AP969"/>
      <c r="AQ969"/>
      <c r="AR969"/>
      <c r="AS969"/>
      <c r="AT969"/>
      <c r="AU969" s="1062"/>
      <c r="AV969"/>
      <c r="AW969"/>
      <c r="AX969"/>
      <c r="AY969"/>
      <c r="AZ969" s="2"/>
      <c r="BA969"/>
      <c r="BB969" s="2"/>
      <c r="BC969" s="2"/>
      <c r="BD969" s="2"/>
      <c r="BE969" s="2"/>
      <c r="BF969"/>
      <c r="BG969"/>
      <c r="BH969"/>
      <c r="BI969"/>
      <c r="BJ969" s="2"/>
      <c r="BK969" s="2"/>
      <c r="BL969" s="2"/>
    </row>
    <row r="970" spans="1:64" s="11" customFormat="1" ht="13.2" customHeight="1">
      <c r="A970"/>
      <c r="B970"/>
      <c r="C970"/>
      <c r="D970"/>
      <c r="E970"/>
      <c r="F970" s="1105" t="s">
        <v>1646</v>
      </c>
      <c r="G970" s="4"/>
      <c r="H970" s="4"/>
      <c r="I970" s="4"/>
      <c r="J970" s="4"/>
      <c r="K970" s="4"/>
      <c r="L970" s="1106"/>
      <c r="M970" s="1593"/>
      <c r="N970" s="1404"/>
      <c r="O970" s="1404"/>
      <c r="P970" s="1404"/>
      <c r="Q970" s="1404"/>
      <c r="R970" s="1404"/>
      <c r="S970" s="1594"/>
      <c r="T970" s="1105" t="s">
        <v>1647</v>
      </c>
      <c r="U970" s="4"/>
      <c r="V970" s="4"/>
      <c r="W970" s="4"/>
      <c r="X970" s="4"/>
      <c r="Y970" s="4"/>
      <c r="Z970" s="1106"/>
      <c r="AA970" s="1593"/>
      <c r="AB970" s="1404"/>
      <c r="AC970" s="1404"/>
      <c r="AD970" s="1404"/>
      <c r="AE970" s="1404"/>
      <c r="AF970" s="1404"/>
      <c r="AG970" s="1594"/>
      <c r="AH970"/>
      <c r="AI970"/>
      <c r="AJ970"/>
      <c r="AK970"/>
      <c r="AL970"/>
      <c r="AM970"/>
      <c r="AN970"/>
      <c r="AO970"/>
      <c r="AP970"/>
      <c r="AQ970"/>
      <c r="AR970"/>
      <c r="AS970"/>
      <c r="AT970"/>
      <c r="AU970" s="1062"/>
      <c r="AV970"/>
      <c r="AW970"/>
      <c r="AX970"/>
      <c r="AY970"/>
      <c r="AZ970" s="2"/>
      <c r="BA970"/>
      <c r="BB970" s="2"/>
      <c r="BC970" s="2"/>
      <c r="BD970" s="2"/>
      <c r="BE970" s="2"/>
      <c r="BF970"/>
      <c r="BG970"/>
      <c r="BH970"/>
      <c r="BI970"/>
      <c r="BJ970" s="2"/>
      <c r="BK970" s="2"/>
      <c r="BL970" s="2"/>
    </row>
    <row r="971" spans="1:64" s="11" customFormat="1" ht="13.2" customHeight="1">
      <c r="A971"/>
      <c r="B971"/>
      <c r="C971"/>
      <c r="D971"/>
      <c r="E971"/>
      <c r="F971" s="1105" t="s">
        <v>1648</v>
      </c>
      <c r="G971" s="4"/>
      <c r="H971" s="4"/>
      <c r="I971" s="4"/>
      <c r="J971" s="4"/>
      <c r="K971" s="4"/>
      <c r="L971" s="1106"/>
      <c r="M971" s="1593"/>
      <c r="N971" s="1404"/>
      <c r="O971" s="1404"/>
      <c r="P971" s="1404"/>
      <c r="Q971" s="1404"/>
      <c r="R971" s="1404"/>
      <c r="S971" s="1594"/>
      <c r="T971" s="1105" t="s">
        <v>1649</v>
      </c>
      <c r="U971" s="4"/>
      <c r="V971" s="4"/>
      <c r="W971" s="4"/>
      <c r="X971" s="4"/>
      <c r="Y971" s="4"/>
      <c r="Z971" s="1106"/>
      <c r="AA971" s="1593"/>
      <c r="AB971" s="1404"/>
      <c r="AC971" s="1404"/>
      <c r="AD971" s="1404"/>
      <c r="AE971" s="1404"/>
      <c r="AF971" s="1404"/>
      <c r="AG971" s="1594"/>
      <c r="AH971"/>
      <c r="AI971"/>
      <c r="AJ971"/>
      <c r="AK971"/>
      <c r="AL971"/>
      <c r="AM971"/>
      <c r="AN971"/>
      <c r="AO971"/>
      <c r="AP971"/>
      <c r="AQ971"/>
      <c r="AR971"/>
      <c r="AS971"/>
      <c r="AT971"/>
      <c r="AU971" s="1062"/>
      <c r="AV971"/>
      <c r="AW971"/>
      <c r="AX971"/>
      <c r="AY971"/>
      <c r="AZ971" s="2"/>
      <c r="BA971"/>
      <c r="BB971" s="2"/>
      <c r="BC971" s="2"/>
      <c r="BD971" s="2"/>
      <c r="BE971" s="2"/>
      <c r="BF971"/>
      <c r="BG971"/>
      <c r="BH971"/>
      <c r="BI971"/>
      <c r="BJ971" s="2"/>
      <c r="BK971" s="2"/>
      <c r="BL971" s="2"/>
    </row>
    <row r="972" spans="1:64" s="11" customFormat="1" ht="13.2" customHeight="1">
      <c r="A972"/>
      <c r="B972"/>
      <c r="C972"/>
      <c r="D972"/>
      <c r="E972"/>
      <c r="F972" s="1063" t="s">
        <v>1633</v>
      </c>
      <c r="G972" s="30"/>
      <c r="H972" s="30"/>
      <c r="I972" s="30"/>
      <c r="J972" s="30"/>
      <c r="K972" s="30"/>
      <c r="L972" s="39"/>
      <c r="M972" s="1741" t="s">
        <v>547</v>
      </c>
      <c r="N972" s="1742"/>
      <c r="O972" s="1742"/>
      <c r="P972" s="1742"/>
      <c r="Q972" s="1742"/>
      <c r="R972" s="1742"/>
      <c r="S972" s="1743"/>
      <c r="T972" s="1699"/>
      <c r="U972" s="1700"/>
      <c r="V972" s="1700"/>
      <c r="W972" s="1700"/>
      <c r="X972" s="1700"/>
      <c r="Y972" s="1700"/>
      <c r="Z972" s="1701"/>
      <c r="AA972" s="1593"/>
      <c r="AB972" s="1404"/>
      <c r="AC972" s="1404"/>
      <c r="AD972" s="1404"/>
      <c r="AE972" s="1404"/>
      <c r="AF972" s="1404"/>
      <c r="AG972" s="1594"/>
      <c r="AH972"/>
      <c r="AI972"/>
      <c r="AJ972"/>
      <c r="AK972"/>
      <c r="AL972"/>
      <c r="AM972"/>
      <c r="AN972"/>
      <c r="AO972"/>
      <c r="AP972"/>
      <c r="AQ972"/>
      <c r="AR972"/>
      <c r="AS972"/>
      <c r="AT972"/>
      <c r="AU972" s="1062"/>
      <c r="AV972"/>
      <c r="AW972"/>
      <c r="AX972"/>
      <c r="AY972"/>
      <c r="AZ972" s="2"/>
      <c r="BA972" s="2"/>
      <c r="BB972" s="2"/>
      <c r="BC972" s="2"/>
      <c r="BD972" s="2"/>
      <c r="BE972" s="2"/>
      <c r="BF972" s="2"/>
      <c r="BG972" s="2"/>
      <c r="BH972" s="2"/>
      <c r="BI972" s="2"/>
      <c r="BJ972" s="2"/>
      <c r="BK972" s="2"/>
      <c r="BL972" s="2"/>
    </row>
    <row r="973" spans="1:64" s="11" customFormat="1" ht="13.2" customHeight="1">
      <c r="A973"/>
      <c r="B973"/>
      <c r="C973"/>
      <c r="D973"/>
      <c r="E973"/>
      <c r="F973" s="29" t="s">
        <v>1650</v>
      </c>
      <c r="G973" s="30"/>
      <c r="H973" s="30"/>
      <c r="I973" s="30"/>
      <c r="J973" s="30"/>
      <c r="K973" s="30"/>
      <c r="L973" s="39"/>
      <c r="M973" s="1593"/>
      <c r="N973" s="1404"/>
      <c r="O973" s="1404"/>
      <c r="P973" s="1404"/>
      <c r="Q973" s="1404"/>
      <c r="R973" s="1404"/>
      <c r="S973" s="1594"/>
      <c r="T973" s="1699"/>
      <c r="U973" s="1700"/>
      <c r="V973" s="1700"/>
      <c r="W973" s="1700"/>
      <c r="X973" s="1700"/>
      <c r="Y973" s="1700"/>
      <c r="Z973" s="1701"/>
      <c r="AA973" s="1593"/>
      <c r="AB973" s="1404"/>
      <c r="AC973" s="1404"/>
      <c r="AD973" s="1404"/>
      <c r="AE973" s="1404"/>
      <c r="AF973" s="1404"/>
      <c r="AG973" s="1594"/>
      <c r="AH973"/>
      <c r="AI973"/>
      <c r="AJ973"/>
      <c r="AK973"/>
      <c r="AL973"/>
      <c r="AM973"/>
      <c r="AN973"/>
      <c r="AO973"/>
      <c r="AP973"/>
      <c r="AQ973"/>
      <c r="AR973"/>
      <c r="AS973"/>
      <c r="AT973"/>
      <c r="AU973" s="1062"/>
      <c r="AV973"/>
      <c r="AW973"/>
      <c r="AX973"/>
      <c r="AY973"/>
      <c r="AZ973" s="2"/>
      <c r="BA973" s="2"/>
      <c r="BB973" s="2"/>
      <c r="BC973" s="2"/>
      <c r="BD973" s="2"/>
      <c r="BE973" s="2"/>
      <c r="BF973" s="2"/>
      <c r="BG973" s="2"/>
      <c r="BH973" s="2"/>
      <c r="BI973" s="2"/>
      <c r="BJ973" s="2"/>
      <c r="BK973" s="2"/>
      <c r="BL973" s="2"/>
    </row>
    <row r="974" spans="1:64" ht="13.2" customHeight="1">
      <c r="F974" s="29" t="s">
        <v>1651</v>
      </c>
      <c r="G974" s="30"/>
      <c r="H974" s="30"/>
      <c r="I974" s="30"/>
      <c r="J974" s="30"/>
      <c r="K974" s="30"/>
      <c r="L974" s="30"/>
      <c r="M974" s="30"/>
      <c r="N974" s="30"/>
      <c r="O974" s="1328" t="s">
        <v>844</v>
      </c>
      <c r="P974" s="1330"/>
      <c r="Q974" s="52"/>
      <c r="R974" s="52"/>
      <c r="S974" s="53"/>
      <c r="T974" s="29" t="s">
        <v>233</v>
      </c>
      <c r="U974" s="30"/>
      <c r="V974" s="30"/>
      <c r="W974" s="1744" t="s">
        <v>1338</v>
      </c>
      <c r="X974" s="1745"/>
      <c r="Y974" s="1745"/>
      <c r="Z974" s="1745"/>
      <c r="AA974" s="1745"/>
      <c r="AB974" s="1745"/>
      <c r="AC974" s="1745"/>
      <c r="AD974" s="1745"/>
      <c r="AE974" s="1745"/>
      <c r="AF974" s="1745"/>
      <c r="AG974" s="1746"/>
      <c r="AU974" s="1062"/>
      <c r="AV974" s="54"/>
      <c r="AW974" s="54"/>
      <c r="AX974" s="54"/>
      <c r="AY974" s="54"/>
      <c r="AZ974" s="2"/>
      <c r="BB974" s="2"/>
      <c r="BC974" s="2"/>
      <c r="BD974" s="2"/>
      <c r="BE974" s="2"/>
      <c r="BF974" s="2"/>
      <c r="BG974" s="2"/>
      <c r="BH974" s="2"/>
      <c r="BI974" s="2"/>
      <c r="BJ974" s="2"/>
      <c r="BK974" s="2"/>
      <c r="BL974" s="2"/>
    </row>
    <row r="975" spans="1:64" ht="13.2" customHeight="1">
      <c r="F975" s="1538" t="s">
        <v>1652</v>
      </c>
      <c r="G975" s="1439"/>
      <c r="H975" s="1439"/>
      <c r="I975" s="1439"/>
      <c r="J975" s="1439"/>
      <c r="K975" s="1439"/>
      <c r="L975" s="1439"/>
      <c r="M975" s="1593"/>
      <c r="N975" s="1404"/>
      <c r="O975" s="1404"/>
      <c r="P975" s="1404"/>
      <c r="Q975" s="1404"/>
      <c r="R975" s="1404"/>
      <c r="S975" s="1594"/>
      <c r="T975" s="31"/>
      <c r="U975" s="32"/>
      <c r="V975" s="32"/>
      <c r="W975" s="32"/>
      <c r="X975" s="32"/>
      <c r="Y975" s="32"/>
      <c r="Z975" s="72" t="s">
        <v>1653</v>
      </c>
      <c r="AA975" s="1696"/>
      <c r="AB975" s="1697"/>
      <c r="AC975" s="1697"/>
      <c r="AD975" s="1697"/>
      <c r="AE975" s="1697"/>
      <c r="AF975" s="1697"/>
      <c r="AG975" s="1698"/>
      <c r="AU975" s="1062"/>
      <c r="AV975" s="54"/>
      <c r="AW975" s="54"/>
      <c r="AX975" s="54"/>
      <c r="AY975" s="54"/>
      <c r="AZ975" s="11"/>
      <c r="BA975" s="11"/>
      <c r="BB975" s="2"/>
      <c r="BC975" s="2"/>
      <c r="BD975" s="2"/>
      <c r="BE975" s="2"/>
      <c r="BF975" s="2"/>
      <c r="BG975" s="11"/>
      <c r="BH975" s="11"/>
      <c r="BI975" s="11"/>
      <c r="BJ975" s="11"/>
      <c r="BK975" s="11"/>
      <c r="BL975" s="11"/>
    </row>
    <row r="976" spans="1:64" ht="13.2" customHeight="1">
      <c r="AU976" s="1062"/>
      <c r="AV976" s="1062"/>
      <c r="AW976" s="1062"/>
      <c r="AX976" s="1062"/>
      <c r="AY976" s="1062"/>
      <c r="AZ976" s="11"/>
      <c r="BA976" s="11"/>
      <c r="BB976" s="11"/>
      <c r="BC976" s="11"/>
      <c r="BD976" s="11"/>
      <c r="BE976" s="11"/>
      <c r="BF976" s="11"/>
      <c r="BG976" s="1569"/>
      <c r="BH976" s="1569"/>
      <c r="BI976" s="1569"/>
      <c r="BJ976" s="1569"/>
      <c r="BK976" s="1569"/>
      <c r="BL976" s="1569"/>
    </row>
    <row r="977" spans="1:64" ht="13.2" customHeight="1">
      <c r="AU977" s="1062"/>
      <c r="AV977" s="1062"/>
      <c r="AW977" s="1062"/>
      <c r="AX977" s="1062"/>
      <c r="AY977" s="1062"/>
      <c r="AZ977" s="11"/>
      <c r="BA977" s="11"/>
      <c r="BB977" s="718"/>
      <c r="BC977" s="718"/>
      <c r="BD977" s="11"/>
      <c r="BE977" s="11"/>
      <c r="BF977" s="11"/>
      <c r="BG977" s="11"/>
      <c r="BH977" s="11"/>
      <c r="BI977" s="11"/>
      <c r="BJ977" s="11"/>
      <c r="BK977" s="11"/>
      <c r="BL977" s="11"/>
    </row>
    <row r="978" spans="1:64" ht="13.2" customHeight="1">
      <c r="AU978" s="1062"/>
      <c r="AV978" s="1062"/>
      <c r="AW978" s="1062"/>
      <c r="AX978" s="1062"/>
      <c r="AY978" s="1062"/>
      <c r="AZ978" s="11"/>
      <c r="BA978" s="11"/>
      <c r="BB978" s="718"/>
      <c r="BC978" s="718"/>
    </row>
    <row r="979" spans="1:64" ht="13.2" customHeight="1">
      <c r="A979" s="1486" t="s">
        <v>1654</v>
      </c>
      <c r="B979" s="1486"/>
      <c r="C979" s="1486"/>
      <c r="D979" s="1486"/>
      <c r="E979" s="1486"/>
      <c r="F979" s="1486"/>
      <c r="G979" s="1486"/>
      <c r="H979" s="1486"/>
      <c r="I979" s="1486"/>
      <c r="J979" s="1486"/>
      <c r="K979" s="1486"/>
      <c r="L979" s="1486"/>
      <c r="M979" s="1486"/>
      <c r="N979" s="1486"/>
      <c r="O979" s="1486"/>
      <c r="P979" s="1486"/>
      <c r="Q979" s="1486"/>
      <c r="R979" s="1486"/>
      <c r="S979" s="1486"/>
      <c r="T979" s="1486"/>
      <c r="U979" s="1486"/>
      <c r="V979" s="1486"/>
      <c r="W979" s="1486"/>
      <c r="X979" s="1486"/>
      <c r="Y979" s="1486"/>
      <c r="Z979" s="1486"/>
      <c r="AA979" s="1486"/>
      <c r="AB979" s="1486"/>
      <c r="AC979" s="1486"/>
      <c r="AD979" s="1486"/>
      <c r="AE979" s="1486"/>
      <c r="AF979" s="1486"/>
      <c r="AG979" s="1486"/>
      <c r="AH979" s="1486"/>
      <c r="AI979" s="1486"/>
      <c r="AJ979" s="1486"/>
      <c r="AK979" s="1486"/>
      <c r="AL979" s="1486"/>
      <c r="AM979" s="1486"/>
      <c r="AN979" s="1486"/>
      <c r="AO979" s="1486"/>
      <c r="AP979" s="1486"/>
      <c r="AQ979" s="1486"/>
      <c r="AR979" s="1486"/>
      <c r="AS979" s="1486"/>
      <c r="AT979" s="1486"/>
      <c r="AU979" s="1062"/>
      <c r="AV979" s="1062"/>
      <c r="AW979" s="1062"/>
      <c r="AX979" s="1062"/>
      <c r="AY979" s="1062"/>
      <c r="AZ979" s="11"/>
      <c r="BA979" s="11"/>
      <c r="BB979" s="718"/>
      <c r="BC979" s="718"/>
    </row>
    <row r="980" spans="1:64" ht="13.2" customHeight="1">
      <c r="A980" s="1486"/>
      <c r="B980" s="1486"/>
      <c r="C980" s="1486"/>
      <c r="D980" s="1486"/>
      <c r="E980" s="1486"/>
      <c r="F980" s="1486"/>
      <c r="G980" s="1486"/>
      <c r="H980" s="1486"/>
      <c r="I980" s="1486"/>
      <c r="J980" s="1486"/>
      <c r="K980" s="1486"/>
      <c r="L980" s="1486"/>
      <c r="M980" s="1486"/>
      <c r="N980" s="1486"/>
      <c r="O980" s="1486"/>
      <c r="P980" s="1486"/>
      <c r="Q980" s="1486"/>
      <c r="R980" s="1486"/>
      <c r="S980" s="1486"/>
      <c r="T980" s="1486"/>
      <c r="U980" s="1486"/>
      <c r="V980" s="1486"/>
      <c r="W980" s="1486"/>
      <c r="X980" s="1486"/>
      <c r="Y980" s="1486"/>
      <c r="Z980" s="1486"/>
      <c r="AA980" s="1486"/>
      <c r="AB980" s="1486"/>
      <c r="AC980" s="1486"/>
      <c r="AD980" s="1486"/>
      <c r="AE980" s="1486"/>
      <c r="AF980" s="1486"/>
      <c r="AG980" s="1486"/>
      <c r="AH980" s="1486"/>
      <c r="AI980" s="1486"/>
      <c r="AJ980" s="1486"/>
      <c r="AK980" s="1486"/>
      <c r="AL980" s="1486"/>
      <c r="AM980" s="1486"/>
      <c r="AN980" s="1486"/>
      <c r="AO980" s="1486"/>
      <c r="AP980" s="1486"/>
      <c r="AQ980" s="1486"/>
      <c r="AR980" s="1486"/>
      <c r="AS980" s="1486"/>
      <c r="AT980" s="1486"/>
      <c r="AU980" s="1062"/>
      <c r="AV980" s="1062"/>
      <c r="AW980" s="1062"/>
      <c r="AX980" s="1062"/>
      <c r="AY980" s="1062"/>
      <c r="AZ980" s="23"/>
      <c r="BA980" s="11"/>
      <c r="BB980" s="11"/>
      <c r="BC980" s="11"/>
    </row>
    <row r="981" spans="1:64" ht="13.2" customHeight="1">
      <c r="A981" s="1486"/>
      <c r="B981" s="1486"/>
      <c r="C981" s="1486"/>
      <c r="D981" s="1486"/>
      <c r="E981" s="1486"/>
      <c r="F981" s="1486"/>
      <c r="G981" s="1486"/>
      <c r="H981" s="1486"/>
      <c r="I981" s="1486"/>
      <c r="J981" s="1486"/>
      <c r="K981" s="1486"/>
      <c r="L981" s="1486"/>
      <c r="M981" s="1486"/>
      <c r="N981" s="1486"/>
      <c r="O981" s="1486"/>
      <c r="P981" s="1486"/>
      <c r="Q981" s="1486"/>
      <c r="R981" s="1486"/>
      <c r="S981" s="1486"/>
      <c r="T981" s="1486"/>
      <c r="U981" s="1486"/>
      <c r="V981" s="1486"/>
      <c r="W981" s="1486"/>
      <c r="X981" s="1486"/>
      <c r="Y981" s="1486"/>
      <c r="Z981" s="1486"/>
      <c r="AA981" s="1486"/>
      <c r="AB981" s="1486"/>
      <c r="AC981" s="1486"/>
      <c r="AD981" s="1486"/>
      <c r="AE981" s="1486"/>
      <c r="AF981" s="1486"/>
      <c r="AG981" s="1486"/>
      <c r="AH981" s="1486"/>
      <c r="AI981" s="1486"/>
      <c r="AJ981" s="1486"/>
      <c r="AK981" s="1486"/>
      <c r="AL981" s="1486"/>
      <c r="AM981" s="1486"/>
      <c r="AN981" s="1486"/>
      <c r="AO981" s="1486"/>
      <c r="AP981" s="1486"/>
      <c r="AQ981" s="1486"/>
      <c r="AR981" s="1486"/>
      <c r="AS981" s="1486"/>
      <c r="AT981" s="1486"/>
      <c r="AU981" s="1062"/>
      <c r="AV981" s="1062"/>
      <c r="AW981" s="1062"/>
      <c r="AX981" s="1062"/>
      <c r="AY981" s="1062"/>
      <c r="AZ981" s="23"/>
      <c r="BA981" s="11"/>
      <c r="BB981" s="11"/>
      <c r="BC981" s="11"/>
    </row>
    <row r="982" spans="1:64" ht="13.2"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062"/>
      <c r="AM982" s="1062"/>
      <c r="AN982" s="1062"/>
      <c r="AO982" s="1062"/>
      <c r="AP982" s="1062"/>
      <c r="AQ982" s="1062"/>
      <c r="AR982" s="1062"/>
      <c r="AS982" s="1062"/>
      <c r="AT982" s="1062"/>
      <c r="AU982" s="1062"/>
      <c r="AV982" s="1062"/>
      <c r="AW982" s="1062"/>
      <c r="AX982" s="1062"/>
      <c r="AY982" s="1062"/>
      <c r="AZ982" s="11"/>
      <c r="BA982" s="11"/>
      <c r="BB982" s="11"/>
      <c r="BC982" s="11"/>
    </row>
    <row r="983" spans="1:64" ht="13.2" customHeight="1">
      <c r="A983" s="1" t="s">
        <v>871</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062"/>
      <c r="AM983" s="1062"/>
      <c r="AN983" s="1062"/>
      <c r="AO983" s="1062"/>
      <c r="AP983" s="1062"/>
      <c r="AQ983" s="1062"/>
      <c r="AR983" s="1062"/>
      <c r="AS983" s="1062"/>
      <c r="AT983" s="1062"/>
      <c r="AU983" s="1062"/>
      <c r="AV983" s="1062"/>
      <c r="AW983" s="1062"/>
      <c r="AX983" s="1062"/>
      <c r="AY983" s="1062"/>
      <c r="AZ983" s="11"/>
      <c r="BA983" s="11"/>
      <c r="BB983" s="11"/>
      <c r="BC983" s="11"/>
    </row>
    <row r="984" spans="1:64" ht="13.2"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062"/>
      <c r="AM984" s="1062"/>
      <c r="AN984" s="1062"/>
      <c r="AO984" s="1062"/>
      <c r="AP984" s="1062"/>
      <c r="AQ984" s="1062"/>
      <c r="AR984" s="1062"/>
      <c r="AS984" s="1062"/>
      <c r="AT984" s="1062"/>
      <c r="AU984" s="1062"/>
      <c r="AV984" s="1062"/>
      <c r="AW984" s="1062"/>
      <c r="AX984" s="1062"/>
      <c r="AY984" s="1062"/>
      <c r="AZ984" s="11"/>
      <c r="BA984" s="11"/>
      <c r="BB984" s="11"/>
      <c r="BC984" s="11"/>
    </row>
    <row r="985" spans="1:64" ht="13.2" customHeight="1">
      <c r="A985" s="11"/>
      <c r="B985" s="47"/>
      <c r="C985" s="1064"/>
      <c r="D985" s="1725" t="s">
        <v>1655</v>
      </c>
      <c r="E985" s="1726"/>
      <c r="F985" s="1726"/>
      <c r="G985" s="1726"/>
      <c r="H985" s="1726"/>
      <c r="I985" s="1726"/>
      <c r="J985" s="1726"/>
      <c r="K985" s="1726"/>
      <c r="L985" s="1726"/>
      <c r="M985" s="1726"/>
      <c r="N985" s="1726"/>
      <c r="O985" s="1726"/>
      <c r="P985" s="1726"/>
      <c r="Q985" s="1727"/>
      <c r="R985" s="1725" t="s">
        <v>1656</v>
      </c>
      <c r="S985" s="1726"/>
      <c r="T985" s="1726"/>
      <c r="U985" s="1726"/>
      <c r="V985" s="1726"/>
      <c r="W985" s="1726"/>
      <c r="X985" s="1726"/>
      <c r="Y985" s="1726"/>
      <c r="Z985" s="1726"/>
      <c r="AA985" s="1727"/>
      <c r="AB985" s="1725" t="s">
        <v>1657</v>
      </c>
      <c r="AC985" s="1726"/>
      <c r="AD985" s="1726"/>
      <c r="AE985" s="1726"/>
      <c r="AF985" s="1726"/>
      <c r="AG985" s="1726"/>
      <c r="AH985" s="1726"/>
      <c r="AI985" s="1727"/>
      <c r="AJ985" s="1725" t="s">
        <v>1658</v>
      </c>
      <c r="AK985" s="1726"/>
      <c r="AL985" s="1726"/>
      <c r="AM985" s="1726"/>
      <c r="AN985" s="1726"/>
      <c r="AO985" s="1726"/>
      <c r="AP985" s="1726"/>
      <c r="AQ985" s="1727"/>
      <c r="AR985" s="1062"/>
      <c r="AS985" s="1062"/>
      <c r="AT985" s="1062"/>
      <c r="AU985" s="1062"/>
      <c r="AV985" s="1062"/>
      <c r="AW985" s="1062"/>
      <c r="AX985" s="1062"/>
      <c r="AY985" s="1062"/>
      <c r="AZ985" s="23"/>
      <c r="BB985" s="11"/>
      <c r="BC985" s="11"/>
    </row>
    <row r="986" spans="1:64" ht="13.2" customHeight="1">
      <c r="A986" s="11"/>
      <c r="B986" s="44"/>
      <c r="C986" s="733"/>
      <c r="D986" s="1731" t="s">
        <v>836</v>
      </c>
      <c r="E986" s="1732"/>
      <c r="F986" s="1732"/>
      <c r="G986" s="1732"/>
      <c r="H986" s="1732"/>
      <c r="I986" s="1732"/>
      <c r="J986" s="1732"/>
      <c r="K986" s="1732"/>
      <c r="L986" s="1732"/>
      <c r="M986" s="1732"/>
      <c r="N986" s="1732"/>
      <c r="O986" s="1732"/>
      <c r="P986" s="1732"/>
      <c r="Q986" s="1733"/>
      <c r="R986" s="1720">
        <f>IF(ISNA(IF($CU$122="4%",(INDEX($CS$160:$CW$217,MATCH($DG$122,$CR$160:$CR$217,0),MATCH(D986,$CS$159:$CW$159,0))),(INDEX($CZ$160:$DD$217,MATCH($DG$122,$CY$160:$CY$217,0),MATCH(D986,$CZ$159:$DD$159,0))))),0,IF($CU$122="4%",(INDEX($CS$160:$CW$217,MATCH($DG$122,$CR$160:$CR$217,0),MATCH(D986,$CS$159:$CW$159,0))),(INDEX($CZ$160:$DD$217,MATCH($DG$122,$CY$160:$CY$217,0),MATCH(D986,$CZ$159:$DD$159,0)))))</f>
        <v>532060</v>
      </c>
      <c r="S986" s="1720"/>
      <c r="T986" s="1720"/>
      <c r="U986" s="1720"/>
      <c r="V986" s="1720"/>
      <c r="W986" s="1720"/>
      <c r="X986" s="1720"/>
      <c r="Y986" s="1720"/>
      <c r="Z986" s="1720"/>
      <c r="AA986" s="1720"/>
      <c r="AB986" s="1717">
        <f>CP802</f>
        <v>0</v>
      </c>
      <c r="AC986" s="1718"/>
      <c r="AD986" s="1718"/>
      <c r="AE986" s="1718"/>
      <c r="AF986" s="1718"/>
      <c r="AG986" s="1718"/>
      <c r="AH986" s="1718"/>
      <c r="AI986" s="1719"/>
      <c r="AJ986" s="1653">
        <f>IF(ISERROR((R986*AB986)),0,(R986*AB986))</f>
        <v>0</v>
      </c>
      <c r="AK986" s="1654"/>
      <c r="AL986" s="1654"/>
      <c r="AM986" s="1654"/>
      <c r="AN986" s="1654"/>
      <c r="AO986" s="1654"/>
      <c r="AP986" s="1654"/>
      <c r="AQ986" s="1655"/>
      <c r="AR986" s="1062"/>
      <c r="AS986" s="1062"/>
      <c r="AT986" s="1062"/>
      <c r="AU986" s="1062"/>
      <c r="AV986" s="1062"/>
      <c r="AW986" s="1062"/>
      <c r="AX986" s="1062"/>
      <c r="AY986" s="1062"/>
      <c r="AZ986" s="23"/>
      <c r="BB986" s="11"/>
      <c r="BC986" s="11"/>
    </row>
    <row r="987" spans="1:64" ht="13.2" customHeight="1">
      <c r="A987" s="11"/>
      <c r="B987" s="44"/>
      <c r="C987" s="48"/>
      <c r="D987" s="1731" t="s">
        <v>831</v>
      </c>
      <c r="E987" s="1732"/>
      <c r="F987" s="1732"/>
      <c r="G987" s="1732"/>
      <c r="H987" s="1732"/>
      <c r="I987" s="1732"/>
      <c r="J987" s="1732"/>
      <c r="K987" s="1732"/>
      <c r="L987" s="1732"/>
      <c r="M987" s="1732"/>
      <c r="N987" s="1732"/>
      <c r="O987" s="1732"/>
      <c r="P987" s="1732"/>
      <c r="Q987" s="1733"/>
      <c r="R987" s="1720">
        <f>IF(ISNA(IF($CU$122="4%",(INDEX($CS$160:$CW$217,MATCH($DG$122,$CR$160:$CR$217,0),MATCH(D987,$CS$159:$CW$159,0))),(INDEX($CZ$160:$DD$217,MATCH($DG$122,$CY$160:$CY$217,0),MATCH(D987,$CZ$159:$DD$159,0))))),0,IF($CU$122="4%",(INDEX($CS$160:$CW$217,MATCH($DG$122,$CR$160:$CR$217,0),MATCH(D987,$CS$159:$CW$159,0))),(INDEX($CZ$160:$DD$217,MATCH($DG$122,$CY$160:$CY$217,0),MATCH(D987,$CZ$159:$DD$159,0)))))</f>
        <v>613460</v>
      </c>
      <c r="S987" s="1720"/>
      <c r="T987" s="1720"/>
      <c r="U987" s="1720"/>
      <c r="V987" s="1720"/>
      <c r="W987" s="1720"/>
      <c r="X987" s="1720"/>
      <c r="Y987" s="1720"/>
      <c r="Z987" s="1720"/>
      <c r="AA987" s="1720"/>
      <c r="AB987" s="1717">
        <f>CU802</f>
        <v>36</v>
      </c>
      <c r="AC987" s="1718"/>
      <c r="AD987" s="1718"/>
      <c r="AE987" s="1718"/>
      <c r="AF987" s="1718"/>
      <c r="AG987" s="1718"/>
      <c r="AH987" s="1718"/>
      <c r="AI987" s="1719"/>
      <c r="AJ987" s="1653">
        <f>IF(ISERROR((R987*AB987)),0,(R987*AB987))</f>
        <v>22084560</v>
      </c>
      <c r="AK987" s="1654"/>
      <c r="AL987" s="1654"/>
      <c r="AM987" s="1654"/>
      <c r="AN987" s="1654"/>
      <c r="AO987" s="1654"/>
      <c r="AP987" s="1654"/>
      <c r="AQ987" s="1655"/>
      <c r="AR987" s="1062"/>
      <c r="AS987" s="1062"/>
      <c r="AT987" s="1062"/>
      <c r="AU987" s="1062"/>
      <c r="AV987" s="1062"/>
      <c r="AW987" s="1062"/>
      <c r="AX987" s="1062"/>
      <c r="AY987" s="1062"/>
      <c r="AZ987" s="23"/>
      <c r="BB987" s="11"/>
      <c r="BC987" s="11"/>
    </row>
    <row r="988" spans="1:64" ht="13.2" customHeight="1">
      <c r="A988" s="11"/>
      <c r="B988" s="44"/>
      <c r="C988" s="48"/>
      <c r="D988" s="1731" t="s">
        <v>832</v>
      </c>
      <c r="E988" s="1732"/>
      <c r="F988" s="1732"/>
      <c r="G988" s="1732"/>
      <c r="H988" s="1732"/>
      <c r="I988" s="1732"/>
      <c r="J988" s="1732"/>
      <c r="K988" s="1732"/>
      <c r="L988" s="1732"/>
      <c r="M988" s="1732"/>
      <c r="N988" s="1732"/>
      <c r="O988" s="1732"/>
      <c r="P988" s="1732"/>
      <c r="Q988" s="1733"/>
      <c r="R988" s="1720">
        <f>IF(ISNA(IF($CU$122="4%",(INDEX($CS$160:$CW$217,MATCH($DG$122,$CR$160:$CR$217,0),MATCH(D988,$CS$159:$CW$159,0))),(INDEX($CZ$160:$DD$217,MATCH($DG$122,$CY$160:$CY$217,0),MATCH(D988,$CZ$159:$DD$159,0))))),0,IF($CU$122="4%",(INDEX($CS$160:$CW$217,MATCH($DG$122,$CR$160:$CR$217,0),MATCH(D988,$CS$159:$CW$159,0))),(INDEX($CZ$160:$DD$217,MATCH($DG$122,$CY$160:$CY$217,0),MATCH(D988,$CZ$159:$DD$159,0)))))</f>
        <v>740000</v>
      </c>
      <c r="S988" s="1720"/>
      <c r="T988" s="1720"/>
      <c r="U988" s="1720"/>
      <c r="V988" s="1720"/>
      <c r="W988" s="1720"/>
      <c r="X988" s="1720"/>
      <c r="Y988" s="1720"/>
      <c r="Z988" s="1720"/>
      <c r="AA988" s="1720"/>
      <c r="AB988" s="1717">
        <f>CZ802</f>
        <v>28</v>
      </c>
      <c r="AC988" s="1718"/>
      <c r="AD988" s="1718"/>
      <c r="AE988" s="1718"/>
      <c r="AF988" s="1718"/>
      <c r="AG988" s="1718"/>
      <c r="AH988" s="1718"/>
      <c r="AI988" s="1719"/>
      <c r="AJ988" s="1653">
        <f>IF(ISERROR((R988*AB988)),0,(R988*AB988))</f>
        <v>20720000</v>
      </c>
      <c r="AK988" s="1654"/>
      <c r="AL988" s="1654"/>
      <c r="AM988" s="1654"/>
      <c r="AN988" s="1654"/>
      <c r="AO988" s="1654"/>
      <c r="AP988" s="1654"/>
      <c r="AQ988" s="1655"/>
      <c r="AR988" s="1062"/>
      <c r="AS988" s="1062"/>
      <c r="AT988" s="1062"/>
      <c r="AU988" s="1062"/>
      <c r="AV988" s="1062"/>
      <c r="AW988" s="1062"/>
      <c r="AX988" s="1062"/>
      <c r="AY988" s="1062"/>
      <c r="AZ988" s="23"/>
      <c r="BB988" s="11"/>
      <c r="BC988" s="11"/>
    </row>
    <row r="989" spans="1:64" ht="13.2" customHeight="1">
      <c r="A989" s="11"/>
      <c r="B989" s="44"/>
      <c r="C989" s="48"/>
      <c r="D989" s="1731" t="s">
        <v>833</v>
      </c>
      <c r="E989" s="1732"/>
      <c r="F989" s="1732"/>
      <c r="G989" s="1732"/>
      <c r="H989" s="1732"/>
      <c r="I989" s="1732"/>
      <c r="J989" s="1732"/>
      <c r="K989" s="1732"/>
      <c r="L989" s="1732"/>
      <c r="M989" s="1732"/>
      <c r="N989" s="1732"/>
      <c r="O989" s="1732"/>
      <c r="P989" s="1732"/>
      <c r="Q989" s="1733"/>
      <c r="R989" s="1720">
        <f>IF(ISNA(IF($CU$122="4%",(INDEX($CS$160:$CW$217,MATCH($DG$122,$CR$160:$CR$217,0),MATCH(D989,$CS$159:$CW$159,0))),(INDEX($CZ$160:$DD$217,MATCH($DG$122,$CY$160:$CY$217,0),MATCH(D989,$CZ$159:$DD$159,0))))),0,IF($CU$122="4%",(INDEX($CS$160:$CW$217,MATCH($DG$122,$CR$160:$CR$217,0),MATCH(D989,$CS$159:$CW$159,0))),(INDEX($CZ$160:$DD$217,MATCH($DG$122,$CY$160:$CY$217,0),MATCH(D989,$CZ$159:$DD$159,0)))))</f>
        <v>947200</v>
      </c>
      <c r="S989" s="1720"/>
      <c r="T989" s="1720"/>
      <c r="U989" s="1720"/>
      <c r="V989" s="1720"/>
      <c r="W989" s="1720"/>
      <c r="X989" s="1720"/>
      <c r="Y989" s="1720"/>
      <c r="Z989" s="1720"/>
      <c r="AA989" s="1720"/>
      <c r="AB989" s="1717">
        <f>DE802</f>
        <v>36</v>
      </c>
      <c r="AC989" s="1718"/>
      <c r="AD989" s="1718"/>
      <c r="AE989" s="1718"/>
      <c r="AF989" s="1718"/>
      <c r="AG989" s="1718"/>
      <c r="AH989" s="1718"/>
      <c r="AI989" s="1719"/>
      <c r="AJ989" s="1653">
        <f>IF(ISERROR((R989*AB989)),0,(R989*AB989))</f>
        <v>34099200</v>
      </c>
      <c r="AK989" s="1654"/>
      <c r="AL989" s="1654"/>
      <c r="AM989" s="1654"/>
      <c r="AN989" s="1654"/>
      <c r="AO989" s="1654"/>
      <c r="AP989" s="1654"/>
      <c r="AQ989" s="1655"/>
      <c r="AR989" s="1062"/>
      <c r="AS989" s="1062"/>
      <c r="AT989" s="1062"/>
      <c r="AU989" s="1062"/>
      <c r="AV989" s="1062"/>
      <c r="AW989" s="1062"/>
      <c r="AX989" s="1062"/>
      <c r="AY989" s="1062"/>
      <c r="AZ989" s="23"/>
      <c r="BA989" s="2"/>
      <c r="BB989" s="11"/>
      <c r="BC989" s="11"/>
    </row>
    <row r="990" spans="1:64" ht="13.2" customHeight="1">
      <c r="A990" s="11"/>
      <c r="B990" s="31"/>
      <c r="C990" s="46"/>
      <c r="D990" s="1731" t="s">
        <v>837</v>
      </c>
      <c r="E990" s="1732"/>
      <c r="F990" s="1732"/>
      <c r="G990" s="1732"/>
      <c r="H990" s="1732"/>
      <c r="I990" s="1732"/>
      <c r="J990" s="1732"/>
      <c r="K990" s="1732"/>
      <c r="L990" s="1732"/>
      <c r="M990" s="1732"/>
      <c r="N990" s="1732"/>
      <c r="O990" s="1732"/>
      <c r="P990" s="1732"/>
      <c r="Q990" s="1733"/>
      <c r="R990" s="1720">
        <f>IF(ISNA(IF($CU$122="4%",(INDEX($CS$160:$CW$217,MATCH($DG$122,$CR$160:$CR$217,0),MATCH(D990,$CS$159:$CW$159,0))),(INDEX($CZ$160:$DD$217,MATCH($DG$122,$CY$160:$CY$217,0),MATCH(D990,$CZ$159:$DD$159,0))))),0,IF($CU$122="4%",(INDEX($CS$160:$CW$217,MATCH($DG$122,$CR$160:$CR$217,0),MATCH(D990,$CS$159:$CW$159,0))),(INDEX($CZ$160:$DD$217,MATCH($DG$122,$CY$160:$CY$217,0),MATCH(D990,$CZ$159:$DD$159,0)))))</f>
        <v>1055240</v>
      </c>
      <c r="S990" s="1720"/>
      <c r="T990" s="1720"/>
      <c r="U990" s="1720"/>
      <c r="V990" s="1720"/>
      <c r="W990" s="1720"/>
      <c r="X990" s="1720"/>
      <c r="Y990" s="1720"/>
      <c r="Z990" s="1720"/>
      <c r="AA990" s="1720"/>
      <c r="AB990" s="1717">
        <f>DO802+DJ802</f>
        <v>0</v>
      </c>
      <c r="AC990" s="1718"/>
      <c r="AD990" s="1718"/>
      <c r="AE990" s="1718"/>
      <c r="AF990" s="1718"/>
      <c r="AG990" s="1718"/>
      <c r="AH990" s="1718"/>
      <c r="AI990" s="1719"/>
      <c r="AJ990" s="1653">
        <f>IF(ISERROR((R990*AB990)),0,(R990*AB990))</f>
        <v>0</v>
      </c>
      <c r="AK990" s="1654"/>
      <c r="AL990" s="1654"/>
      <c r="AM990" s="1654"/>
      <c r="AN990" s="1654"/>
      <c r="AO990" s="1654"/>
      <c r="AP990" s="1654"/>
      <c r="AQ990" s="1655"/>
      <c r="AR990" s="1062"/>
      <c r="AS990" s="1062"/>
      <c r="AT990" s="1062"/>
      <c r="AU990" s="1062"/>
      <c r="AV990" s="1062"/>
      <c r="AW990" s="1062"/>
      <c r="AX990" s="1062"/>
      <c r="AY990" s="1062"/>
      <c r="AZ990" s="23"/>
      <c r="BB990" s="11"/>
      <c r="BC990" s="11"/>
    </row>
    <row r="991" spans="1:64" ht="13.2" customHeight="1">
      <c r="A991" s="11"/>
      <c r="B991" s="1674" t="s">
        <v>1659</v>
      </c>
      <c r="C991" s="1675"/>
      <c r="D991" s="1675"/>
      <c r="E991" s="1675"/>
      <c r="F991" s="1675"/>
      <c r="G991" s="1675"/>
      <c r="H991" s="1675"/>
      <c r="I991" s="1675"/>
      <c r="J991" s="1675"/>
      <c r="K991" s="1675"/>
      <c r="L991" s="1675"/>
      <c r="M991" s="1675"/>
      <c r="N991" s="1675"/>
      <c r="O991" s="1675"/>
      <c r="P991" s="1675"/>
      <c r="Q991" s="1675"/>
      <c r="R991" s="1675"/>
      <c r="S991" s="1675"/>
      <c r="T991" s="1675"/>
      <c r="U991" s="1675"/>
      <c r="V991" s="1675"/>
      <c r="W991" s="1675"/>
      <c r="X991" s="1675"/>
      <c r="Y991" s="1675"/>
      <c r="Z991" s="1675"/>
      <c r="AA991" s="1676"/>
      <c r="AB991" s="1717">
        <f>SUM(AB986:AI990)</f>
        <v>100</v>
      </c>
      <c r="AC991" s="1718"/>
      <c r="AD991" s="1718"/>
      <c r="AE991" s="1718"/>
      <c r="AF991" s="1718"/>
      <c r="AG991" s="1718"/>
      <c r="AH991" s="1718"/>
      <c r="AI991" s="1719"/>
      <c r="AJ991" s="1653"/>
      <c r="AK991" s="1654"/>
      <c r="AL991" s="1654"/>
      <c r="AM991" s="1654"/>
      <c r="AN991" s="1654"/>
      <c r="AO991" s="1654"/>
      <c r="AP991" s="1654"/>
      <c r="AQ991" s="1655"/>
      <c r="AR991" s="1062"/>
      <c r="AS991" s="1062"/>
      <c r="AT991" s="1062"/>
      <c r="AU991" s="1062"/>
      <c r="AV991" s="1062"/>
      <c r="AW991" s="1062"/>
      <c r="AX991" s="1062"/>
      <c r="AY991" s="1062"/>
      <c r="AZ991" s="2"/>
      <c r="BA991" s="2"/>
      <c r="BB991" s="11"/>
      <c r="BC991" s="11"/>
    </row>
    <row r="992" spans="1:64" ht="13.2" customHeight="1">
      <c r="A992" s="11"/>
      <c r="B992" s="1728" t="s">
        <v>1660</v>
      </c>
      <c r="C992" s="1729"/>
      <c r="D992" s="1729"/>
      <c r="E992" s="1729"/>
      <c r="F992" s="1729"/>
      <c r="G992" s="1729"/>
      <c r="H992" s="1729"/>
      <c r="I992" s="1729"/>
      <c r="J992" s="1729"/>
      <c r="K992" s="1729"/>
      <c r="L992" s="1729"/>
      <c r="M992" s="1729"/>
      <c r="N992" s="1729"/>
      <c r="O992" s="1729"/>
      <c r="P992" s="1729"/>
      <c r="Q992" s="1729"/>
      <c r="R992" s="1729"/>
      <c r="S992" s="1729"/>
      <c r="T992" s="1729"/>
      <c r="U992" s="1729"/>
      <c r="V992" s="1729"/>
      <c r="W992" s="1729"/>
      <c r="X992" s="1729"/>
      <c r="Y992" s="1729"/>
      <c r="Z992" s="1729"/>
      <c r="AA992" s="1729"/>
      <c r="AB992" s="1729"/>
      <c r="AC992" s="1729"/>
      <c r="AD992" s="1729"/>
      <c r="AE992" s="1729"/>
      <c r="AF992" s="1729"/>
      <c r="AG992" s="1729"/>
      <c r="AH992" s="1729"/>
      <c r="AI992" s="1730"/>
      <c r="AJ992" s="1653">
        <f>SUM(AJ986:AQ990)</f>
        <v>76903760</v>
      </c>
      <c r="AK992" s="1654"/>
      <c r="AL992" s="1654"/>
      <c r="AM992" s="1654"/>
      <c r="AN992" s="1654"/>
      <c r="AO992" s="1654"/>
      <c r="AP992" s="1654"/>
      <c r="AQ992" s="1655"/>
      <c r="AR992" s="1062"/>
      <c r="AS992" s="1062"/>
      <c r="AT992" s="1062"/>
      <c r="AU992" s="1062"/>
      <c r="AV992" s="1062"/>
      <c r="AW992" s="1062"/>
      <c r="AX992" s="1062"/>
      <c r="AY992" s="1062"/>
      <c r="AZ992" s="2"/>
      <c r="BB992" s="2"/>
      <c r="BC992" s="2"/>
    </row>
    <row r="993" spans="1:55" ht="13.2" customHeight="1">
      <c r="A993" s="11"/>
      <c r="B993" s="1683"/>
      <c r="C993" s="1684"/>
      <c r="D993" s="1684"/>
      <c r="E993" s="1684"/>
      <c r="F993" s="1684"/>
      <c r="G993" s="1684"/>
      <c r="H993" s="1684"/>
      <c r="I993" s="1684"/>
      <c r="J993" s="1684"/>
      <c r="K993" s="1684"/>
      <c r="L993" s="1684"/>
      <c r="M993" s="1684"/>
      <c r="N993" s="1684"/>
      <c r="O993" s="1684"/>
      <c r="P993" s="1684"/>
      <c r="Q993" s="1684"/>
      <c r="R993" s="1684"/>
      <c r="S993" s="1684"/>
      <c r="T993" s="1684"/>
      <c r="U993" s="1684"/>
      <c r="V993" s="1684"/>
      <c r="W993" s="1684"/>
      <c r="X993" s="1684"/>
      <c r="Y993" s="1684"/>
      <c r="Z993" s="1684"/>
      <c r="AA993" s="1684"/>
      <c r="AB993" s="1684"/>
      <c r="AC993" s="1684"/>
      <c r="AD993" s="1684"/>
      <c r="AE993" s="1685"/>
      <c r="AF993" s="1759" t="s">
        <v>1661</v>
      </c>
      <c r="AG993" s="1760"/>
      <c r="AH993" s="1760"/>
      <c r="AI993" s="1761"/>
      <c r="AJ993" s="1683"/>
      <c r="AK993" s="1684"/>
      <c r="AL993" s="1684"/>
      <c r="AM993" s="1684"/>
      <c r="AN993" s="1684"/>
      <c r="AO993" s="1684"/>
      <c r="AP993" s="1684"/>
      <c r="AQ993" s="1685"/>
      <c r="AR993" s="1062"/>
      <c r="AS993" s="1062"/>
      <c r="AT993" s="1062"/>
      <c r="AU993" s="1062"/>
      <c r="AV993" s="1062"/>
      <c r="AW993" s="1062"/>
      <c r="AX993" s="1062"/>
      <c r="AY993" s="1062"/>
      <c r="AZ993" s="2"/>
      <c r="BA993" s="2"/>
      <c r="BB993" s="2"/>
      <c r="BC993" s="2"/>
    </row>
    <row r="994" spans="1:55" ht="13.2" customHeight="1">
      <c r="A994" s="11"/>
      <c r="B994" s="44"/>
      <c r="C994" s="1065" t="s">
        <v>1662</v>
      </c>
      <c r="D994" s="1671" t="s">
        <v>1663</v>
      </c>
      <c r="E994" s="1672"/>
      <c r="F994" s="1672"/>
      <c r="G994" s="1672"/>
      <c r="H994" s="1672"/>
      <c r="I994" s="1672"/>
      <c r="J994" s="1672"/>
      <c r="K994" s="1672"/>
      <c r="L994" s="1672"/>
      <c r="M994" s="1672"/>
      <c r="N994" s="1672"/>
      <c r="O994" s="1672"/>
      <c r="P994" s="1672"/>
      <c r="Q994" s="1672"/>
      <c r="R994" s="1672"/>
      <c r="S994" s="1672"/>
      <c r="T994" s="1672"/>
      <c r="U994" s="1672"/>
      <c r="V994" s="1672"/>
      <c r="W994" s="1672"/>
      <c r="X994" s="1672"/>
      <c r="Y994" s="1672"/>
      <c r="Z994" s="1672"/>
      <c r="AA994" s="1672"/>
      <c r="AB994" s="1672"/>
      <c r="AC994" s="1672"/>
      <c r="AD994" s="1672"/>
      <c r="AE994" s="1673"/>
      <c r="AF994" s="47"/>
      <c r="AG994" s="1762" t="s">
        <v>844</v>
      </c>
      <c r="AH994" s="1763"/>
      <c r="AI994" s="50"/>
      <c r="AJ994" s="1662">
        <f>ROUND(IF(AND(AG994="yes",D1000&gt;0),AJ992*0.2,0),0)</f>
        <v>0</v>
      </c>
      <c r="AK994" s="1663"/>
      <c r="AL994" s="1663"/>
      <c r="AM994" s="1663"/>
      <c r="AN994" s="1663"/>
      <c r="AO994" s="1663"/>
      <c r="AP994" s="1663"/>
      <c r="AQ994" s="1664"/>
      <c r="AR994" s="1062"/>
      <c r="AS994" s="1062"/>
      <c r="AT994" s="1062"/>
      <c r="AU994" s="1062"/>
      <c r="AV994" s="1062"/>
      <c r="AW994" s="1062"/>
      <c r="AX994" s="1062"/>
      <c r="AY994" s="1062"/>
      <c r="AZ994" s="2"/>
      <c r="BA994" s="2"/>
      <c r="BB994" s="2"/>
      <c r="BC994" s="2"/>
    </row>
    <row r="995" spans="1:55" ht="13.2" customHeight="1">
      <c r="A995" s="11"/>
      <c r="B995" s="1066"/>
      <c r="C995" s="1067"/>
      <c r="D995" s="1705" t="s">
        <v>1664</v>
      </c>
      <c r="E995" s="1706"/>
      <c r="F995" s="1706"/>
      <c r="G995" s="1706"/>
      <c r="H995" s="1706"/>
      <c r="I995" s="1706"/>
      <c r="J995" s="1706"/>
      <c r="K995" s="1706"/>
      <c r="L995" s="1706"/>
      <c r="M995" s="1706"/>
      <c r="N995" s="1706"/>
      <c r="O995" s="1706"/>
      <c r="P995" s="1706"/>
      <c r="Q995" s="1706"/>
      <c r="R995" s="1706"/>
      <c r="S995" s="1706"/>
      <c r="T995" s="1706"/>
      <c r="U995" s="1706"/>
      <c r="V995" s="1706"/>
      <c r="W995" s="1706"/>
      <c r="X995" s="1706"/>
      <c r="Y995" s="1706"/>
      <c r="Z995" s="1706"/>
      <c r="AA995" s="1706"/>
      <c r="AB995" s="1706"/>
      <c r="AC995" s="1706"/>
      <c r="AD995" s="1706"/>
      <c r="AE995" s="1707"/>
      <c r="AF995" s="44"/>
      <c r="AG995" s="11"/>
      <c r="AH995" s="11"/>
      <c r="AI995" s="48"/>
      <c r="AJ995" s="1665"/>
      <c r="AK995" s="1666"/>
      <c r="AL995" s="1666"/>
      <c r="AM995" s="1666"/>
      <c r="AN995" s="1666"/>
      <c r="AO995" s="1666"/>
      <c r="AP995" s="1666"/>
      <c r="AQ995" s="1667"/>
      <c r="AR995" s="1062"/>
      <c r="AS995" s="1062"/>
      <c r="AT995" s="1062"/>
      <c r="AU995" s="1062"/>
      <c r="AV995" s="1062"/>
      <c r="AW995" s="1062"/>
      <c r="AX995" s="1062"/>
      <c r="AY995" s="1062"/>
      <c r="AZ995" s="2"/>
      <c r="BA995" s="2"/>
      <c r="BB995" s="2"/>
      <c r="BC995" s="2"/>
    </row>
    <row r="996" spans="1:55" ht="13.2" customHeight="1">
      <c r="A996" s="11"/>
      <c r="B996" s="1066"/>
      <c r="C996" s="1067"/>
      <c r="D996" s="1705"/>
      <c r="E996" s="1706"/>
      <c r="F996" s="1706"/>
      <c r="G996" s="1706"/>
      <c r="H996" s="1706"/>
      <c r="I996" s="1706"/>
      <c r="J996" s="1706"/>
      <c r="K996" s="1706"/>
      <c r="L996" s="1706"/>
      <c r="M996" s="1706"/>
      <c r="N996" s="1706"/>
      <c r="O996" s="1706"/>
      <c r="P996" s="1706"/>
      <c r="Q996" s="1706"/>
      <c r="R996" s="1706"/>
      <c r="S996" s="1706"/>
      <c r="T996" s="1706"/>
      <c r="U996" s="1706"/>
      <c r="V996" s="1706"/>
      <c r="W996" s="1706"/>
      <c r="X996" s="1706"/>
      <c r="Y996" s="1706"/>
      <c r="Z996" s="1706"/>
      <c r="AA996" s="1706"/>
      <c r="AB996" s="1706"/>
      <c r="AC996" s="1706"/>
      <c r="AD996" s="1706"/>
      <c r="AE996" s="1707"/>
      <c r="AF996" s="44"/>
      <c r="AG996" s="11"/>
      <c r="AH996" s="11"/>
      <c r="AI996" s="48"/>
      <c r="AJ996" s="1665"/>
      <c r="AK996" s="1666"/>
      <c r="AL996" s="1666"/>
      <c r="AM996" s="1666"/>
      <c r="AN996" s="1666"/>
      <c r="AO996" s="1666"/>
      <c r="AP996" s="1666"/>
      <c r="AQ996" s="1667"/>
      <c r="AR996" s="1062"/>
      <c r="AS996" s="1062"/>
      <c r="AT996" s="1062"/>
      <c r="AU996" s="1062"/>
      <c r="AV996" s="1062"/>
      <c r="AW996" s="1062"/>
      <c r="AX996" s="1062"/>
      <c r="AY996" s="1062"/>
      <c r="AZ996" s="2"/>
      <c r="BA996" s="2"/>
      <c r="BB996" s="2"/>
      <c r="BC996" s="2"/>
    </row>
    <row r="997" spans="1:55" ht="13.2" customHeight="1">
      <c r="A997" s="11"/>
      <c r="B997" s="1066"/>
      <c r="C997" s="1067"/>
      <c r="D997" s="1705"/>
      <c r="E997" s="1706"/>
      <c r="F997" s="1706"/>
      <c r="G997" s="1706"/>
      <c r="H997" s="1706"/>
      <c r="I997" s="1706"/>
      <c r="J997" s="1706"/>
      <c r="K997" s="1706"/>
      <c r="L997" s="1706"/>
      <c r="M997" s="1706"/>
      <c r="N997" s="1706"/>
      <c r="O997" s="1706"/>
      <c r="P997" s="1706"/>
      <c r="Q997" s="1706"/>
      <c r="R997" s="1706"/>
      <c r="S997" s="1706"/>
      <c r="T997" s="1706"/>
      <c r="U997" s="1706"/>
      <c r="V997" s="1706"/>
      <c r="W997" s="1706"/>
      <c r="X997" s="1706"/>
      <c r="Y997" s="1706"/>
      <c r="Z997" s="1706"/>
      <c r="AA997" s="1706"/>
      <c r="AB997" s="1706"/>
      <c r="AC997" s="1706"/>
      <c r="AD997" s="1706"/>
      <c r="AE997" s="1707"/>
      <c r="AF997" s="44"/>
      <c r="AG997" s="11"/>
      <c r="AH997" s="11"/>
      <c r="AI997" s="48"/>
      <c r="AJ997" s="1665"/>
      <c r="AK997" s="1666"/>
      <c r="AL997" s="1666"/>
      <c r="AM997" s="1666"/>
      <c r="AN997" s="1666"/>
      <c r="AO997" s="1666"/>
      <c r="AP997" s="1666"/>
      <c r="AQ997" s="1667"/>
      <c r="AR997" s="1062"/>
      <c r="AS997" s="1062"/>
      <c r="AT997" s="1062"/>
      <c r="AU997" s="1062"/>
      <c r="AV997" s="1062"/>
      <c r="AW997" s="1062"/>
      <c r="AX997" s="1062"/>
      <c r="AY997" s="1062"/>
      <c r="AZ997" s="2"/>
      <c r="BA997" s="2"/>
      <c r="BB997" s="2"/>
      <c r="BC997" s="2"/>
    </row>
    <row r="998" spans="1:55" ht="13.2" customHeight="1">
      <c r="A998" s="11"/>
      <c r="B998" s="1066"/>
      <c r="C998" s="1067"/>
      <c r="D998" s="1705"/>
      <c r="E998" s="1706"/>
      <c r="F998" s="1706"/>
      <c r="G998" s="1706"/>
      <c r="H998" s="1706"/>
      <c r="I998" s="1706"/>
      <c r="J998" s="1706"/>
      <c r="K998" s="1706"/>
      <c r="L998" s="1706"/>
      <c r="M998" s="1706"/>
      <c r="N998" s="1706"/>
      <c r="O998" s="1706"/>
      <c r="P998" s="1706"/>
      <c r="Q998" s="1706"/>
      <c r="R998" s="1706"/>
      <c r="S998" s="1706"/>
      <c r="T998" s="1706"/>
      <c r="U998" s="1706"/>
      <c r="V998" s="1706"/>
      <c r="W998" s="1706"/>
      <c r="X998" s="1706"/>
      <c r="Y998" s="1706"/>
      <c r="Z998" s="1706"/>
      <c r="AA998" s="1706"/>
      <c r="AB998" s="1706"/>
      <c r="AC998" s="1706"/>
      <c r="AD998" s="1706"/>
      <c r="AE998" s="1707"/>
      <c r="AF998" s="44"/>
      <c r="AG998" s="11"/>
      <c r="AH998" s="11"/>
      <c r="AI998" s="48"/>
      <c r="AJ998" s="1665"/>
      <c r="AK998" s="1666"/>
      <c r="AL998" s="1666"/>
      <c r="AM998" s="1666"/>
      <c r="AN998" s="1666"/>
      <c r="AO998" s="1666"/>
      <c r="AP998" s="1666"/>
      <c r="AQ998" s="1667"/>
      <c r="AR998" s="1062"/>
      <c r="AS998" s="1062"/>
      <c r="AT998" s="1062"/>
      <c r="AU998" s="1062"/>
      <c r="AV998" s="1062"/>
      <c r="AW998" s="1062"/>
      <c r="AX998" s="1062"/>
      <c r="AY998" s="1062"/>
      <c r="AZ998" s="2"/>
      <c r="BA998" s="2"/>
      <c r="BB998" s="2"/>
      <c r="BC998" s="2"/>
    </row>
    <row r="999" spans="1:55" ht="13.2" customHeight="1">
      <c r="A999" s="11"/>
      <c r="B999" s="1066"/>
      <c r="C999" s="1067"/>
      <c r="D999" s="1708" t="s">
        <v>1665</v>
      </c>
      <c r="E999" s="1709"/>
      <c r="F999" s="1709"/>
      <c r="G999" s="1709"/>
      <c r="H999" s="1709"/>
      <c r="I999" s="1709"/>
      <c r="J999" s="1709"/>
      <c r="K999" s="1709"/>
      <c r="L999" s="1709"/>
      <c r="M999" s="1709"/>
      <c r="N999" s="1709"/>
      <c r="O999" s="1709"/>
      <c r="P999" s="1709"/>
      <c r="Q999" s="1709"/>
      <c r="R999" s="1709"/>
      <c r="S999" s="1709"/>
      <c r="T999" s="1709"/>
      <c r="U999" s="1709"/>
      <c r="V999" s="1709"/>
      <c r="W999" s="1709"/>
      <c r="X999" s="1709"/>
      <c r="Y999" s="1709"/>
      <c r="Z999" s="1709"/>
      <c r="AA999" s="1709"/>
      <c r="AB999" s="1709"/>
      <c r="AC999" s="1709"/>
      <c r="AD999" s="1709"/>
      <c r="AE999" s="1710"/>
      <c r="AF999" s="44"/>
      <c r="AG999" s="11"/>
      <c r="AH999" s="11"/>
      <c r="AI999" s="48"/>
      <c r="AJ999" s="1665"/>
      <c r="AK999" s="1666"/>
      <c r="AL999" s="1666"/>
      <c r="AM999" s="1666"/>
      <c r="AN999" s="1666"/>
      <c r="AO999" s="1666"/>
      <c r="AP999" s="1666"/>
      <c r="AQ999" s="1667"/>
      <c r="AR999" s="1062"/>
      <c r="AS999" s="1062"/>
      <c r="AT999" s="1062"/>
      <c r="AU999" s="1062"/>
      <c r="AV999" s="1062"/>
      <c r="AW999" s="1062"/>
      <c r="AX999" s="1062"/>
      <c r="AY999" s="1062"/>
      <c r="AZ999" s="2"/>
      <c r="BA999" s="2"/>
      <c r="BB999" s="2"/>
      <c r="BC999" s="2"/>
    </row>
    <row r="1000" spans="1:55" ht="13.2" customHeight="1">
      <c r="A1000" s="11"/>
      <c r="B1000" s="1066"/>
      <c r="C1000" s="1067"/>
      <c r="D1000" s="1677"/>
      <c r="E1000" s="1678"/>
      <c r="F1000" s="1678"/>
      <c r="G1000" s="1678"/>
      <c r="H1000" s="1678"/>
      <c r="I1000" s="1678"/>
      <c r="J1000" s="1678"/>
      <c r="K1000" s="1678"/>
      <c r="L1000" s="1678"/>
      <c r="M1000" s="1678"/>
      <c r="N1000" s="1678"/>
      <c r="O1000" s="1678"/>
      <c r="P1000" s="1678"/>
      <c r="Q1000" s="1678"/>
      <c r="R1000" s="1678"/>
      <c r="S1000" s="1678"/>
      <c r="T1000" s="1678"/>
      <c r="U1000" s="1678"/>
      <c r="V1000" s="1678"/>
      <c r="W1000" s="1678"/>
      <c r="X1000" s="1678"/>
      <c r="Y1000" s="1678"/>
      <c r="Z1000" s="1678"/>
      <c r="AA1000" s="1678"/>
      <c r="AB1000" s="1678"/>
      <c r="AC1000" s="1678"/>
      <c r="AD1000" s="1678"/>
      <c r="AE1000" s="1679"/>
      <c r="AF1000" s="45"/>
      <c r="AG1000" s="5"/>
      <c r="AH1000" s="5"/>
      <c r="AI1000" s="46"/>
      <c r="AJ1000" s="1668"/>
      <c r="AK1000" s="1669"/>
      <c r="AL1000" s="1669"/>
      <c r="AM1000" s="1669"/>
      <c r="AN1000" s="1669"/>
      <c r="AO1000" s="1669"/>
      <c r="AP1000" s="1669"/>
      <c r="AQ1000" s="1670"/>
      <c r="AR1000" s="1062"/>
      <c r="AS1000" s="1062"/>
      <c r="AT1000" s="1062"/>
      <c r="AU1000" s="1062"/>
      <c r="AV1000" s="1062"/>
      <c r="AW1000" s="1062"/>
      <c r="AX1000" s="1062"/>
      <c r="AY1000" s="1062"/>
      <c r="AZ1000" s="2"/>
      <c r="BA1000" s="2"/>
      <c r="BB1000" s="2"/>
      <c r="BC1000" s="2"/>
    </row>
    <row r="1001" spans="1:55" ht="13.2" customHeight="1">
      <c r="A1001" s="11"/>
      <c r="B1001" s="1068"/>
      <c r="C1001" s="1069"/>
      <c r="D1001" s="1702" t="s">
        <v>1666</v>
      </c>
      <c r="E1001" s="1703"/>
      <c r="F1001" s="1703"/>
      <c r="G1001" s="1703"/>
      <c r="H1001" s="1703"/>
      <c r="I1001" s="1703"/>
      <c r="J1001" s="1703"/>
      <c r="K1001" s="1703"/>
      <c r="L1001" s="1703"/>
      <c r="M1001" s="1703"/>
      <c r="N1001" s="1703"/>
      <c r="O1001" s="1703"/>
      <c r="P1001" s="1703"/>
      <c r="Q1001" s="1703"/>
      <c r="R1001" s="1703"/>
      <c r="S1001" s="1703"/>
      <c r="T1001" s="1703"/>
      <c r="U1001" s="1703"/>
      <c r="V1001" s="1703"/>
      <c r="W1001" s="1703"/>
      <c r="X1001" s="1703"/>
      <c r="Y1001" s="1703"/>
      <c r="Z1001" s="1703"/>
      <c r="AA1001" s="1703"/>
      <c r="AB1001" s="1703"/>
      <c r="AC1001" s="1703"/>
      <c r="AD1001" s="1703"/>
      <c r="AE1001" s="1704"/>
      <c r="AF1001" s="47"/>
      <c r="AG1001" s="1688" t="s">
        <v>844</v>
      </c>
      <c r="AH1001" s="1689"/>
      <c r="AI1001" s="50"/>
      <c r="AJ1001" s="1662">
        <f>ROUND(IF(AG1001="yes",AJ992*0.05,0),0)</f>
        <v>0</v>
      </c>
      <c r="AK1001" s="1663"/>
      <c r="AL1001" s="1663"/>
      <c r="AM1001" s="1663"/>
      <c r="AN1001" s="1663"/>
      <c r="AO1001" s="1663"/>
      <c r="AP1001" s="1663"/>
      <c r="AQ1001" s="1664"/>
      <c r="AR1001" s="1062"/>
      <c r="AS1001" s="1062"/>
      <c r="AT1001" s="1062"/>
      <c r="AU1001" s="1062"/>
      <c r="AV1001" s="1062"/>
      <c r="AW1001" s="1062"/>
      <c r="AX1001" s="1062"/>
      <c r="AY1001" s="1062"/>
      <c r="AZ1001" s="2"/>
      <c r="BA1001" s="2"/>
      <c r="BB1001" s="2"/>
      <c r="BC1001" s="2"/>
    </row>
    <row r="1002" spans="1:55" ht="13.2" customHeight="1">
      <c r="A1002" s="11"/>
      <c r="B1002" s="1066"/>
      <c r="C1002" s="1070"/>
      <c r="D1002" s="1705" t="s">
        <v>1667</v>
      </c>
      <c r="E1002" s="1706"/>
      <c r="F1002" s="1706"/>
      <c r="G1002" s="1706"/>
      <c r="H1002" s="1706"/>
      <c r="I1002" s="1706"/>
      <c r="J1002" s="1706"/>
      <c r="K1002" s="1706"/>
      <c r="L1002" s="1706"/>
      <c r="M1002" s="1706"/>
      <c r="N1002" s="1706"/>
      <c r="O1002" s="1706"/>
      <c r="P1002" s="1706"/>
      <c r="Q1002" s="1706"/>
      <c r="R1002" s="1706"/>
      <c r="S1002" s="1706"/>
      <c r="T1002" s="1706"/>
      <c r="U1002" s="1706"/>
      <c r="V1002" s="1706"/>
      <c r="W1002" s="1706"/>
      <c r="X1002" s="1706"/>
      <c r="Y1002" s="1706"/>
      <c r="Z1002" s="1706"/>
      <c r="AA1002" s="1706"/>
      <c r="AB1002" s="1706"/>
      <c r="AC1002" s="1706"/>
      <c r="AD1002" s="1706"/>
      <c r="AE1002" s="1707"/>
      <c r="AF1002" s="44"/>
      <c r="AG1002" s="11"/>
      <c r="AH1002" s="11"/>
      <c r="AI1002" s="48"/>
      <c r="AJ1002" s="1665"/>
      <c r="AK1002" s="1666"/>
      <c r="AL1002" s="1666"/>
      <c r="AM1002" s="1666"/>
      <c r="AN1002" s="1666"/>
      <c r="AO1002" s="1666"/>
      <c r="AP1002" s="1666"/>
      <c r="AQ1002" s="1667"/>
      <c r="AR1002" s="1062"/>
      <c r="AS1002" s="1062"/>
      <c r="AT1002" s="1062"/>
      <c r="AU1002" s="1062"/>
      <c r="AV1002" s="1062"/>
      <c r="AW1002" s="1062"/>
      <c r="AX1002" s="1062"/>
      <c r="AY1002" s="2"/>
      <c r="AZ1002" s="2"/>
      <c r="BB1002" s="2"/>
    </row>
    <row r="1003" spans="1:55" ht="13.2" customHeight="1">
      <c r="A1003" s="11"/>
      <c r="B1003" s="1066"/>
      <c r="C1003" s="1070"/>
      <c r="D1003" s="1705"/>
      <c r="E1003" s="1706"/>
      <c r="F1003" s="1706"/>
      <c r="G1003" s="1706"/>
      <c r="H1003" s="1706"/>
      <c r="I1003" s="1706"/>
      <c r="J1003" s="1706"/>
      <c r="K1003" s="1706"/>
      <c r="L1003" s="1706"/>
      <c r="M1003" s="1706"/>
      <c r="N1003" s="1706"/>
      <c r="O1003" s="1706"/>
      <c r="P1003" s="1706"/>
      <c r="Q1003" s="1706"/>
      <c r="R1003" s="1706"/>
      <c r="S1003" s="1706"/>
      <c r="T1003" s="1706"/>
      <c r="U1003" s="1706"/>
      <c r="V1003" s="1706"/>
      <c r="W1003" s="1706"/>
      <c r="X1003" s="1706"/>
      <c r="Y1003" s="1706"/>
      <c r="Z1003" s="1706"/>
      <c r="AA1003" s="1706"/>
      <c r="AB1003" s="1706"/>
      <c r="AC1003" s="1706"/>
      <c r="AD1003" s="1706"/>
      <c r="AE1003" s="1707"/>
      <c r="AF1003" s="44"/>
      <c r="AG1003" s="11"/>
      <c r="AH1003" s="11"/>
      <c r="AI1003" s="48"/>
      <c r="AJ1003" s="1665"/>
      <c r="AK1003" s="1666"/>
      <c r="AL1003" s="1666"/>
      <c r="AM1003" s="1666"/>
      <c r="AN1003" s="1666"/>
      <c r="AO1003" s="1666"/>
      <c r="AP1003" s="1666"/>
      <c r="AQ1003" s="1667"/>
      <c r="AR1003" s="1062"/>
      <c r="AS1003" s="1062"/>
      <c r="AT1003" s="1062"/>
      <c r="AU1003" s="1062"/>
      <c r="AV1003" s="1062"/>
      <c r="AW1003" s="1062"/>
      <c r="AX1003" s="1062"/>
      <c r="AY1003" s="720">
        <f>G753+O797</f>
        <v>99</v>
      </c>
      <c r="AZ1003" s="2"/>
      <c r="BB1003" s="2"/>
    </row>
    <row r="1004" spans="1:55" ht="13.2" customHeight="1">
      <c r="A1004" s="11"/>
      <c r="B1004" s="1066"/>
      <c r="C1004" s="1070"/>
      <c r="D1004" s="1705"/>
      <c r="E1004" s="1706"/>
      <c r="F1004" s="1706"/>
      <c r="G1004" s="1706"/>
      <c r="H1004" s="1706"/>
      <c r="I1004" s="1706"/>
      <c r="J1004" s="1706"/>
      <c r="K1004" s="1706"/>
      <c r="L1004" s="1706"/>
      <c r="M1004" s="1706"/>
      <c r="N1004" s="1706"/>
      <c r="O1004" s="1706"/>
      <c r="P1004" s="1706"/>
      <c r="Q1004" s="1706"/>
      <c r="R1004" s="1706"/>
      <c r="S1004" s="1706"/>
      <c r="T1004" s="1706"/>
      <c r="U1004" s="1706"/>
      <c r="V1004" s="1706"/>
      <c r="W1004" s="1706"/>
      <c r="X1004" s="1706"/>
      <c r="Y1004" s="1706"/>
      <c r="Z1004" s="1706"/>
      <c r="AA1004" s="1706"/>
      <c r="AB1004" s="1706"/>
      <c r="AC1004" s="1706"/>
      <c r="AD1004" s="1706"/>
      <c r="AE1004" s="1707"/>
      <c r="AF1004" s="44"/>
      <c r="AG1004" s="11"/>
      <c r="AH1004" s="11"/>
      <c r="AI1004" s="48"/>
      <c r="AJ1004" s="1665"/>
      <c r="AK1004" s="1666"/>
      <c r="AL1004" s="1666"/>
      <c r="AM1004" s="1666"/>
      <c r="AN1004" s="1666"/>
      <c r="AO1004" s="1666"/>
      <c r="AP1004" s="1666"/>
      <c r="AQ1004" s="1667"/>
      <c r="AR1004" s="1062"/>
      <c r="AS1004" s="1062"/>
      <c r="AT1004" s="1062"/>
      <c r="AU1004" s="1062"/>
      <c r="AV1004" s="1062"/>
      <c r="AW1004" s="1062"/>
      <c r="AX1004" s="1062"/>
      <c r="AY1004" s="11"/>
      <c r="AZ1004" s="2"/>
      <c r="BB1004" s="2"/>
    </row>
    <row r="1005" spans="1:55" ht="13.2" customHeight="1">
      <c r="A1005" s="11"/>
      <c r="B1005" s="1066"/>
      <c r="C1005" s="1070"/>
      <c r="D1005" s="1705"/>
      <c r="E1005" s="1706"/>
      <c r="F1005" s="1706"/>
      <c r="G1005" s="1706"/>
      <c r="H1005" s="1706"/>
      <c r="I1005" s="1706"/>
      <c r="J1005" s="1706"/>
      <c r="K1005" s="1706"/>
      <c r="L1005" s="1706"/>
      <c r="M1005" s="1706"/>
      <c r="N1005" s="1706"/>
      <c r="O1005" s="1706"/>
      <c r="P1005" s="1706"/>
      <c r="Q1005" s="1706"/>
      <c r="R1005" s="1706"/>
      <c r="S1005" s="1706"/>
      <c r="T1005" s="1706"/>
      <c r="U1005" s="1706"/>
      <c r="V1005" s="1706"/>
      <c r="W1005" s="1706"/>
      <c r="X1005" s="1706"/>
      <c r="Y1005" s="1706"/>
      <c r="Z1005" s="1706"/>
      <c r="AA1005" s="1706"/>
      <c r="AB1005" s="1706"/>
      <c r="AC1005" s="1706"/>
      <c r="AD1005" s="1706"/>
      <c r="AE1005" s="1707"/>
      <c r="AF1005" s="44"/>
      <c r="AG1005" s="11"/>
      <c r="AH1005" s="11"/>
      <c r="AI1005" s="48"/>
      <c r="AJ1005" s="1665"/>
      <c r="AK1005" s="1666"/>
      <c r="AL1005" s="1666"/>
      <c r="AM1005" s="1666"/>
      <c r="AN1005" s="1666"/>
      <c r="AO1005" s="1666"/>
      <c r="AP1005" s="1666"/>
      <c r="AQ1005" s="1667"/>
      <c r="AR1005" s="1062"/>
      <c r="AS1005" s="1062"/>
      <c r="AT1005" s="1062"/>
      <c r="AU1005" s="1062"/>
      <c r="AV1005" s="1062"/>
      <c r="AW1005" s="1062"/>
      <c r="AX1005" s="1062"/>
      <c r="AY1005" s="719">
        <f>ROUNDDOWN(X1048/I1048,2)</f>
        <v>0.11</v>
      </c>
      <c r="AZ1005" s="2"/>
      <c r="BB1005" s="2"/>
    </row>
    <row r="1006" spans="1:55" ht="13.2" customHeight="1">
      <c r="A1006" s="11"/>
      <c r="B1006" s="1071"/>
      <c r="C1006" s="1072"/>
      <c r="D1006" s="1708"/>
      <c r="E1006" s="1709"/>
      <c r="F1006" s="1709"/>
      <c r="G1006" s="1709"/>
      <c r="H1006" s="1709"/>
      <c r="I1006" s="1709"/>
      <c r="J1006" s="1709"/>
      <c r="K1006" s="1709"/>
      <c r="L1006" s="1709"/>
      <c r="M1006" s="1709"/>
      <c r="N1006" s="1709"/>
      <c r="O1006" s="1709"/>
      <c r="P1006" s="1709"/>
      <c r="Q1006" s="1709"/>
      <c r="R1006" s="1709"/>
      <c r="S1006" s="1709"/>
      <c r="T1006" s="1709"/>
      <c r="U1006" s="1709"/>
      <c r="V1006" s="1709"/>
      <c r="W1006" s="1709"/>
      <c r="X1006" s="1709"/>
      <c r="Y1006" s="1709"/>
      <c r="Z1006" s="1709"/>
      <c r="AA1006" s="1709"/>
      <c r="AB1006" s="1709"/>
      <c r="AC1006" s="1709"/>
      <c r="AD1006" s="1709"/>
      <c r="AE1006" s="1710"/>
      <c r="AF1006" s="45"/>
      <c r="AG1006" s="5"/>
      <c r="AH1006" s="5"/>
      <c r="AI1006" s="46"/>
      <c r="AJ1006" s="1668"/>
      <c r="AK1006" s="1669"/>
      <c r="AL1006" s="1669"/>
      <c r="AM1006" s="1669"/>
      <c r="AN1006" s="1669"/>
      <c r="AO1006" s="1669"/>
      <c r="AP1006" s="1669"/>
      <c r="AQ1006" s="1670"/>
      <c r="AR1006" s="1062"/>
      <c r="AS1006" s="1062"/>
      <c r="AT1006" s="1062"/>
      <c r="AU1006" s="1062"/>
      <c r="AV1006" s="1062"/>
      <c r="AW1006" s="1062"/>
      <c r="AX1006" s="1062"/>
      <c r="AY1006" s="719">
        <f>ROUNDDOWN(X1052/I1052,2)</f>
        <v>0.11</v>
      </c>
      <c r="AZ1006" s="2"/>
      <c r="BB1006" s="2"/>
    </row>
    <row r="1007" spans="1:55" ht="13.2" customHeight="1">
      <c r="A1007" s="11"/>
      <c r="B1007" s="1068"/>
      <c r="C1007" s="214" t="s">
        <v>1668</v>
      </c>
      <c r="D1007" s="1702" t="s">
        <v>1669</v>
      </c>
      <c r="E1007" s="1703"/>
      <c r="F1007" s="1703"/>
      <c r="G1007" s="1703"/>
      <c r="H1007" s="1703"/>
      <c r="I1007" s="1703"/>
      <c r="J1007" s="1703"/>
      <c r="K1007" s="1703"/>
      <c r="L1007" s="1703"/>
      <c r="M1007" s="1703"/>
      <c r="N1007" s="1703"/>
      <c r="O1007" s="1703"/>
      <c r="P1007" s="1703"/>
      <c r="Q1007" s="1703"/>
      <c r="R1007" s="1703"/>
      <c r="S1007" s="1703"/>
      <c r="T1007" s="1703"/>
      <c r="U1007" s="1703"/>
      <c r="V1007" s="1703"/>
      <c r="W1007" s="1703"/>
      <c r="X1007" s="1703"/>
      <c r="Y1007" s="1703"/>
      <c r="Z1007" s="1703"/>
      <c r="AA1007" s="1703"/>
      <c r="AB1007" s="1703"/>
      <c r="AC1007" s="1703"/>
      <c r="AD1007" s="1703"/>
      <c r="AE1007" s="1704"/>
      <c r="AF1007" s="49"/>
      <c r="AG1007" s="1688" t="s">
        <v>844</v>
      </c>
      <c r="AH1007" s="1689"/>
      <c r="AI1007" s="50"/>
      <c r="AJ1007" s="1662">
        <f>ROUND(IF(AG1007="yes",AJ992*0.1,0),0)</f>
        <v>0</v>
      </c>
      <c r="AK1007" s="1663"/>
      <c r="AL1007" s="1663"/>
      <c r="AM1007" s="1663"/>
      <c r="AN1007" s="1663"/>
      <c r="AO1007" s="1663"/>
      <c r="AP1007" s="1663"/>
      <c r="AQ1007" s="1664"/>
      <c r="AR1007" s="1062"/>
      <c r="AS1007" s="1062"/>
      <c r="AT1007" s="1062"/>
      <c r="AU1007" s="1062"/>
      <c r="AV1007" s="1062"/>
      <c r="AW1007" s="1062"/>
      <c r="AX1007" s="1062"/>
      <c r="BB1007" s="2"/>
    </row>
    <row r="1008" spans="1:55" ht="13.2" customHeight="1">
      <c r="A1008" s="11"/>
      <c r="B1008" s="44"/>
      <c r="C1008" s="1073"/>
      <c r="D1008" s="1637" t="s">
        <v>1670</v>
      </c>
      <c r="E1008" s="1638"/>
      <c r="F1008" s="1638"/>
      <c r="G1008" s="1638"/>
      <c r="H1008" s="1638"/>
      <c r="I1008" s="1638"/>
      <c r="J1008" s="1638"/>
      <c r="K1008" s="1638"/>
      <c r="L1008" s="1638"/>
      <c r="M1008" s="1638"/>
      <c r="N1008" s="1638"/>
      <c r="O1008" s="1638"/>
      <c r="P1008" s="1638"/>
      <c r="Q1008" s="1638"/>
      <c r="R1008" s="1638"/>
      <c r="S1008" s="1638"/>
      <c r="T1008" s="1638"/>
      <c r="U1008" s="1638"/>
      <c r="V1008" s="1638"/>
      <c r="W1008" s="1638"/>
      <c r="X1008" s="1638"/>
      <c r="Y1008" s="1638"/>
      <c r="Z1008" s="1638"/>
      <c r="AA1008" s="1638"/>
      <c r="AB1008" s="1638"/>
      <c r="AC1008" s="1638"/>
      <c r="AD1008" s="1638"/>
      <c r="AE1008" s="1639"/>
      <c r="AF1008" s="44"/>
      <c r="AI1008" s="48"/>
      <c r="AJ1008" s="1665"/>
      <c r="AK1008" s="1666"/>
      <c r="AL1008" s="1666"/>
      <c r="AM1008" s="1666"/>
      <c r="AN1008" s="1666"/>
      <c r="AO1008" s="1666"/>
      <c r="AP1008" s="1666"/>
      <c r="AQ1008" s="1667"/>
      <c r="AR1008" s="1062"/>
      <c r="AS1008" s="1062"/>
      <c r="AT1008" s="1062"/>
      <c r="AU1008" s="1062"/>
      <c r="AV1008" s="1062"/>
      <c r="AW1008" s="1062"/>
      <c r="AX1008" s="1062"/>
    </row>
    <row r="1009" spans="1:52" ht="13.2" customHeight="1">
      <c r="A1009" s="11"/>
      <c r="B1009" s="44"/>
      <c r="C1009" s="1073"/>
      <c r="D1009" s="1637"/>
      <c r="E1009" s="1638"/>
      <c r="F1009" s="1638"/>
      <c r="G1009" s="1638"/>
      <c r="H1009" s="1638"/>
      <c r="I1009" s="1638"/>
      <c r="J1009" s="1638"/>
      <c r="K1009" s="1638"/>
      <c r="L1009" s="1638"/>
      <c r="M1009" s="1638"/>
      <c r="N1009" s="1638"/>
      <c r="O1009" s="1638"/>
      <c r="P1009" s="1638"/>
      <c r="Q1009" s="1638"/>
      <c r="R1009" s="1638"/>
      <c r="S1009" s="1638"/>
      <c r="T1009" s="1638"/>
      <c r="U1009" s="1638"/>
      <c r="V1009" s="1638"/>
      <c r="W1009" s="1638"/>
      <c r="X1009" s="1638"/>
      <c r="Y1009" s="1638"/>
      <c r="Z1009" s="1638"/>
      <c r="AA1009" s="1638"/>
      <c r="AB1009" s="1638"/>
      <c r="AC1009" s="1638"/>
      <c r="AD1009" s="1638"/>
      <c r="AE1009" s="1639"/>
      <c r="AF1009" s="44"/>
      <c r="AG1009" s="11"/>
      <c r="AH1009" s="11"/>
      <c r="AI1009" s="48"/>
      <c r="AJ1009" s="1665"/>
      <c r="AK1009" s="1666"/>
      <c r="AL1009" s="1666"/>
      <c r="AM1009" s="1666"/>
      <c r="AN1009" s="1666"/>
      <c r="AO1009" s="1666"/>
      <c r="AP1009" s="1666"/>
      <c r="AQ1009" s="1667"/>
      <c r="AR1009" s="1062"/>
      <c r="AS1009" s="1062"/>
      <c r="AT1009" s="1062"/>
      <c r="AU1009" s="1062"/>
      <c r="AV1009" s="1062"/>
      <c r="AW1009" s="1062"/>
      <c r="AX1009" s="1062"/>
    </row>
    <row r="1010" spans="1:52" ht="13.2" customHeight="1">
      <c r="A1010" s="11"/>
      <c r="B1010" s="1074"/>
      <c r="C1010" s="1072"/>
      <c r="D1010" s="1680"/>
      <c r="E1010" s="1681"/>
      <c r="F1010" s="1681"/>
      <c r="G1010" s="1681"/>
      <c r="H1010" s="1681"/>
      <c r="I1010" s="1681"/>
      <c r="J1010" s="1681"/>
      <c r="K1010" s="1681"/>
      <c r="L1010" s="1681"/>
      <c r="M1010" s="1681"/>
      <c r="N1010" s="1681"/>
      <c r="O1010" s="1681"/>
      <c r="P1010" s="1681"/>
      <c r="Q1010" s="1681"/>
      <c r="R1010" s="1681"/>
      <c r="S1010" s="1681"/>
      <c r="T1010" s="1681"/>
      <c r="U1010" s="1681"/>
      <c r="V1010" s="1681"/>
      <c r="W1010" s="1681"/>
      <c r="X1010" s="1681"/>
      <c r="Y1010" s="1681"/>
      <c r="Z1010" s="1681"/>
      <c r="AA1010" s="1681"/>
      <c r="AB1010" s="1681"/>
      <c r="AC1010" s="1681"/>
      <c r="AD1010" s="1681"/>
      <c r="AE1010" s="1682"/>
      <c r="AF1010" s="45"/>
      <c r="AG1010" s="5"/>
      <c r="AH1010" s="5"/>
      <c r="AI1010" s="46"/>
      <c r="AJ1010" s="1668"/>
      <c r="AK1010" s="1669"/>
      <c r="AL1010" s="1669"/>
      <c r="AM1010" s="1669"/>
      <c r="AN1010" s="1669"/>
      <c r="AO1010" s="1669"/>
      <c r="AP1010" s="1669"/>
      <c r="AQ1010" s="1670"/>
      <c r="AR1010" s="1062"/>
      <c r="AS1010" s="1062"/>
      <c r="AT1010" s="1062"/>
      <c r="AU1010" s="1062"/>
      <c r="AV1010" s="1062"/>
      <c r="AW1010" s="1062"/>
      <c r="AX1010" s="1062"/>
    </row>
    <row r="1011" spans="1:52" ht="13.2" customHeight="1">
      <c r="A1011" s="11"/>
      <c r="B1011" s="47"/>
      <c r="C1011" s="214" t="s">
        <v>1671</v>
      </c>
      <c r="D1011" s="1702" t="s">
        <v>1672</v>
      </c>
      <c r="E1011" s="1703"/>
      <c r="F1011" s="1703"/>
      <c r="G1011" s="1703"/>
      <c r="H1011" s="1703"/>
      <c r="I1011" s="1703"/>
      <c r="J1011" s="1703"/>
      <c r="K1011" s="1703"/>
      <c r="L1011" s="1703"/>
      <c r="M1011" s="1703"/>
      <c r="N1011" s="1703"/>
      <c r="O1011" s="1703"/>
      <c r="P1011" s="1703"/>
      <c r="Q1011" s="1703"/>
      <c r="R1011" s="1703"/>
      <c r="S1011" s="1703"/>
      <c r="T1011" s="1703"/>
      <c r="U1011" s="1703"/>
      <c r="V1011" s="1703"/>
      <c r="W1011" s="1703"/>
      <c r="X1011" s="1703"/>
      <c r="Y1011" s="1703"/>
      <c r="Z1011" s="1703"/>
      <c r="AA1011" s="1703"/>
      <c r="AB1011" s="1703"/>
      <c r="AC1011" s="1703"/>
      <c r="AD1011" s="1703"/>
      <c r="AE1011" s="1704"/>
      <c r="AF1011" s="47"/>
      <c r="AG1011" s="1688" t="s">
        <v>844</v>
      </c>
      <c r="AH1011" s="1689"/>
      <c r="AI1011" s="50"/>
      <c r="AJ1011" s="1662">
        <f>ROUND(IF(AG1011="yes",AJ992*0.02,0),0)</f>
        <v>0</v>
      </c>
      <c r="AK1011" s="1663"/>
      <c r="AL1011" s="1663"/>
      <c r="AM1011" s="1663"/>
      <c r="AN1011" s="1663"/>
      <c r="AO1011" s="1663"/>
      <c r="AP1011" s="1663"/>
      <c r="AQ1011" s="1664"/>
      <c r="AR1011" s="1062"/>
      <c r="AS1011" s="1062"/>
      <c r="AT1011" s="1062"/>
      <c r="AU1011" s="1062"/>
      <c r="AV1011" s="1062"/>
      <c r="AW1011" s="1062"/>
      <c r="AX1011" s="1062"/>
    </row>
    <row r="1012" spans="1:52" ht="14.25" customHeight="1">
      <c r="A1012" s="11"/>
      <c r="B1012" s="44"/>
      <c r="C1012" s="1073"/>
      <c r="D1012" s="1680" t="s">
        <v>1673</v>
      </c>
      <c r="E1012" s="1681"/>
      <c r="F1012" s="1681"/>
      <c r="G1012" s="1681"/>
      <c r="H1012" s="1681"/>
      <c r="I1012" s="1681"/>
      <c r="J1012" s="1681"/>
      <c r="K1012" s="1681"/>
      <c r="L1012" s="1681"/>
      <c r="M1012" s="1681"/>
      <c r="N1012" s="1681"/>
      <c r="O1012" s="1681"/>
      <c r="P1012" s="1681"/>
      <c r="Q1012" s="1681"/>
      <c r="R1012" s="1681"/>
      <c r="S1012" s="1681"/>
      <c r="T1012" s="1681"/>
      <c r="U1012" s="1681"/>
      <c r="V1012" s="1681"/>
      <c r="W1012" s="1681"/>
      <c r="X1012" s="1681"/>
      <c r="Y1012" s="1681"/>
      <c r="Z1012" s="1681"/>
      <c r="AA1012" s="1681"/>
      <c r="AB1012" s="1681"/>
      <c r="AC1012" s="1681"/>
      <c r="AD1012" s="1681"/>
      <c r="AE1012" s="1682"/>
      <c r="AF1012" s="45"/>
      <c r="AG1012" s="5"/>
      <c r="AH1012" s="5"/>
      <c r="AI1012" s="46"/>
      <c r="AJ1012" s="1668"/>
      <c r="AK1012" s="1669"/>
      <c r="AL1012" s="1669"/>
      <c r="AM1012" s="1669"/>
      <c r="AN1012" s="1669"/>
      <c r="AO1012" s="1669"/>
      <c r="AP1012" s="1669"/>
      <c r="AQ1012" s="1670"/>
      <c r="AR1012" s="1062"/>
      <c r="AS1012" s="1062"/>
      <c r="AT1012" s="1062"/>
      <c r="AU1012" s="1062"/>
      <c r="AV1012" s="1062"/>
      <c r="AW1012" s="1062"/>
      <c r="AX1012" s="2" t="s">
        <v>1674</v>
      </c>
      <c r="AZ1012" s="2" t="s">
        <v>1675</v>
      </c>
    </row>
    <row r="1013" spans="1:52" ht="13.2" customHeight="1">
      <c r="A1013" s="11"/>
      <c r="B1013" s="47"/>
      <c r="C1013" s="214" t="s">
        <v>1676</v>
      </c>
      <c r="D1013" s="1702" t="s">
        <v>1677</v>
      </c>
      <c r="E1013" s="1703"/>
      <c r="F1013" s="1703"/>
      <c r="G1013" s="1703"/>
      <c r="H1013" s="1703"/>
      <c r="I1013" s="1703"/>
      <c r="J1013" s="1703"/>
      <c r="K1013" s="1703"/>
      <c r="L1013" s="1703"/>
      <c r="M1013" s="1703"/>
      <c r="N1013" s="1703"/>
      <c r="O1013" s="1703"/>
      <c r="P1013" s="1703"/>
      <c r="Q1013" s="1703"/>
      <c r="R1013" s="1703"/>
      <c r="S1013" s="1703"/>
      <c r="T1013" s="1703"/>
      <c r="U1013" s="1703"/>
      <c r="V1013" s="1703"/>
      <c r="W1013" s="1703"/>
      <c r="X1013" s="1703"/>
      <c r="Y1013" s="1703"/>
      <c r="Z1013" s="1703"/>
      <c r="AA1013" s="1703"/>
      <c r="AB1013" s="1703"/>
      <c r="AC1013" s="1703"/>
      <c r="AD1013" s="1703"/>
      <c r="AE1013" s="1704"/>
      <c r="AF1013" s="47"/>
      <c r="AG1013" s="1688" t="s">
        <v>844</v>
      </c>
      <c r="AH1013" s="1689"/>
      <c r="AI1013" s="47"/>
      <c r="AJ1013" s="1662">
        <f>ROUND(IF(AG1013="yes",AJ992*0.02,0),0)</f>
        <v>0</v>
      </c>
      <c r="AK1013" s="1663"/>
      <c r="AL1013" s="1663"/>
      <c r="AM1013" s="1663"/>
      <c r="AN1013" s="1663"/>
      <c r="AO1013" s="1663"/>
      <c r="AP1013" s="1663"/>
      <c r="AQ1013" s="1664"/>
      <c r="AR1013" s="1062"/>
      <c r="AS1013" s="1062"/>
      <c r="AT1013" s="1062"/>
      <c r="AU1013" s="1062"/>
      <c r="AV1013" s="1062"/>
      <c r="AW1013" s="1062"/>
      <c r="AX1013" s="2">
        <v>1</v>
      </c>
      <c r="AY1013" s="1075">
        <f>IF((_xlfn.XLOOKUP(AX1013,$C$1065:$C$1103,$A$1065:$A$1103,"",0,1))="Yes",AZ1013,0)</f>
        <v>0</v>
      </c>
      <c r="AZ1013" s="1031">
        <v>0.2</v>
      </c>
    </row>
    <row r="1014" spans="1:52" ht="13.2" customHeight="1">
      <c r="A1014" s="11"/>
      <c r="B1014" s="44"/>
      <c r="C1014" s="1073"/>
      <c r="D1014" s="1637" t="s">
        <v>1678</v>
      </c>
      <c r="E1014" s="1638"/>
      <c r="F1014" s="1638"/>
      <c r="G1014" s="1638"/>
      <c r="H1014" s="1638"/>
      <c r="I1014" s="1638"/>
      <c r="J1014" s="1638"/>
      <c r="K1014" s="1638"/>
      <c r="L1014" s="1638"/>
      <c r="M1014" s="1638"/>
      <c r="N1014" s="1638"/>
      <c r="O1014" s="1638"/>
      <c r="P1014" s="1638"/>
      <c r="Q1014" s="1638"/>
      <c r="R1014" s="1638"/>
      <c r="S1014" s="1638"/>
      <c r="T1014" s="1638"/>
      <c r="U1014" s="1638"/>
      <c r="V1014" s="1638"/>
      <c r="W1014" s="1638"/>
      <c r="X1014" s="1638"/>
      <c r="Y1014" s="1638"/>
      <c r="Z1014" s="1638"/>
      <c r="AA1014" s="1638"/>
      <c r="AB1014" s="1638"/>
      <c r="AC1014" s="1638"/>
      <c r="AD1014" s="1638"/>
      <c r="AE1014" s="1639"/>
      <c r="AF1014" s="1782" t="str">
        <f>IF(AND(AG1013="yes",T212&lt;&gt;1),"The project may not be eligible for this boost","")</f>
        <v/>
      </c>
      <c r="AG1014" s="1783"/>
      <c r="AH1014" s="1783"/>
      <c r="AI1014" s="1784"/>
      <c r="AJ1014" s="1665"/>
      <c r="AK1014" s="1666"/>
      <c r="AL1014" s="1666"/>
      <c r="AM1014" s="1666"/>
      <c r="AN1014" s="1666"/>
      <c r="AO1014" s="1666"/>
      <c r="AP1014" s="1666"/>
      <c r="AQ1014" s="1667"/>
      <c r="AR1014" s="1062"/>
      <c r="AS1014" s="1062"/>
      <c r="AT1014" s="1062"/>
      <c r="AU1014" s="1062"/>
      <c r="AV1014" s="1062"/>
      <c r="AW1014" s="1062"/>
      <c r="AX1014" s="2">
        <v>2</v>
      </c>
      <c r="AY1014" s="1075">
        <f t="shared" ref="AY1014:AY1023" si="53">IF((_xlfn.XLOOKUP(AX1014,$C$1065:$C$1103,$A$1065:$A$1103,"",0,1))="Yes",AZ1014,0)</f>
        <v>0</v>
      </c>
      <c r="AZ1014" s="1031">
        <v>0.15</v>
      </c>
    </row>
    <row r="1015" spans="1:52" ht="13.2" customHeight="1">
      <c r="A1015" s="11"/>
      <c r="B1015" s="1071"/>
      <c r="C1015" s="1072"/>
      <c r="D1015" s="1680"/>
      <c r="E1015" s="1681"/>
      <c r="F1015" s="1681"/>
      <c r="G1015" s="1681"/>
      <c r="H1015" s="1681"/>
      <c r="I1015" s="1681"/>
      <c r="J1015" s="1681"/>
      <c r="K1015" s="1681"/>
      <c r="L1015" s="1681"/>
      <c r="M1015" s="1681"/>
      <c r="N1015" s="1681"/>
      <c r="O1015" s="1681"/>
      <c r="P1015" s="1681"/>
      <c r="Q1015" s="1681"/>
      <c r="R1015" s="1681"/>
      <c r="S1015" s="1681"/>
      <c r="T1015" s="1681"/>
      <c r="U1015" s="1681"/>
      <c r="V1015" s="1681"/>
      <c r="W1015" s="1681"/>
      <c r="X1015" s="1681"/>
      <c r="Y1015" s="1681"/>
      <c r="Z1015" s="1681"/>
      <c r="AA1015" s="1681"/>
      <c r="AB1015" s="1681"/>
      <c r="AC1015" s="1681"/>
      <c r="AD1015" s="1681"/>
      <c r="AE1015" s="1682"/>
      <c r="AF1015" s="1785"/>
      <c r="AG1015" s="1786"/>
      <c r="AH1015" s="1786"/>
      <c r="AI1015" s="1787"/>
      <c r="AJ1015" s="1668"/>
      <c r="AK1015" s="1669"/>
      <c r="AL1015" s="1669"/>
      <c r="AM1015" s="1669"/>
      <c r="AN1015" s="1669"/>
      <c r="AO1015" s="1669"/>
      <c r="AP1015" s="1669"/>
      <c r="AQ1015" s="1670"/>
      <c r="AR1015" s="1062"/>
      <c r="AS1015" s="1062"/>
      <c r="AT1015" s="1062"/>
      <c r="AU1015" s="1062"/>
      <c r="AV1015" s="1062"/>
      <c r="AW1015" s="1062"/>
      <c r="AX1015" s="2">
        <v>3</v>
      </c>
      <c r="AY1015" s="1075">
        <f t="shared" si="53"/>
        <v>0</v>
      </c>
      <c r="AZ1015" s="1031">
        <v>0.05</v>
      </c>
    </row>
    <row r="1016" spans="1:52" ht="13.2" customHeight="1">
      <c r="A1016" s="11"/>
      <c r="B1016" s="47"/>
      <c r="C1016" s="214" t="s">
        <v>1679</v>
      </c>
      <c r="D1016" s="1671" t="s">
        <v>1680</v>
      </c>
      <c r="E1016" s="1672"/>
      <c r="F1016" s="1672"/>
      <c r="G1016" s="1672"/>
      <c r="H1016" s="1672"/>
      <c r="I1016" s="1672"/>
      <c r="J1016" s="1672"/>
      <c r="K1016" s="1672"/>
      <c r="L1016" s="1672"/>
      <c r="M1016" s="1672"/>
      <c r="N1016" s="1672"/>
      <c r="O1016" s="1672"/>
      <c r="P1016" s="1672"/>
      <c r="Q1016" s="1672"/>
      <c r="R1016" s="1672"/>
      <c r="S1016" s="1672"/>
      <c r="T1016" s="1672"/>
      <c r="U1016" s="1672"/>
      <c r="V1016" s="1672"/>
      <c r="W1016" s="1672"/>
      <c r="X1016" s="1672"/>
      <c r="Y1016" s="1672"/>
      <c r="Z1016" s="1672"/>
      <c r="AA1016" s="1672"/>
      <c r="AB1016" s="1672"/>
      <c r="AC1016" s="1672"/>
      <c r="AD1016" s="1672"/>
      <c r="AE1016" s="1673"/>
      <c r="AF1016" s="47"/>
      <c r="AG1016" s="1688" t="s">
        <v>844</v>
      </c>
      <c r="AH1016" s="1689"/>
      <c r="AI1016" s="50"/>
      <c r="AJ1016" s="1662">
        <f>IF(AG1016="yes",AJ992*AY1024,0)</f>
        <v>0</v>
      </c>
      <c r="AK1016" s="1663"/>
      <c r="AL1016" s="1663"/>
      <c r="AM1016" s="1663"/>
      <c r="AN1016" s="1663"/>
      <c r="AO1016" s="1663"/>
      <c r="AP1016" s="1663"/>
      <c r="AQ1016" s="1664"/>
      <c r="AR1016" s="1062"/>
      <c r="AS1016" s="1062"/>
      <c r="AT1016" s="1062"/>
      <c r="AU1016" s="1062"/>
      <c r="AV1016" s="1062"/>
      <c r="AW1016" s="1062"/>
      <c r="AX1016" s="2">
        <v>4</v>
      </c>
      <c r="AY1016" s="1075">
        <f t="shared" si="53"/>
        <v>0</v>
      </c>
      <c r="AZ1016" s="1031">
        <v>0.02</v>
      </c>
    </row>
    <row r="1017" spans="1:52" ht="13.2" customHeight="1">
      <c r="A1017" s="11"/>
      <c r="B1017" s="44"/>
      <c r="C1017" s="1073"/>
      <c r="D1017" s="1637" t="s">
        <v>1681</v>
      </c>
      <c r="E1017" s="1638"/>
      <c r="F1017" s="1638"/>
      <c r="G1017" s="1638"/>
      <c r="H1017" s="1638"/>
      <c r="I1017" s="1638"/>
      <c r="J1017" s="1638"/>
      <c r="K1017" s="1638"/>
      <c r="L1017" s="1638"/>
      <c r="M1017" s="1638"/>
      <c r="N1017" s="1638"/>
      <c r="O1017" s="1638"/>
      <c r="P1017" s="1638"/>
      <c r="Q1017" s="1638"/>
      <c r="R1017" s="1638"/>
      <c r="S1017" s="1638"/>
      <c r="T1017" s="1638"/>
      <c r="U1017" s="1638"/>
      <c r="V1017" s="1638"/>
      <c r="W1017" s="1638"/>
      <c r="X1017" s="1638"/>
      <c r="Y1017" s="1638"/>
      <c r="Z1017" s="1638"/>
      <c r="AA1017" s="1638"/>
      <c r="AB1017" s="1638"/>
      <c r="AC1017" s="1638"/>
      <c r="AD1017" s="1638"/>
      <c r="AE1017" s="1639"/>
      <c r="AF1017" s="1776" t="str">
        <f>IF(AND(AG1016="Yes",AY1024=0),AY1027,"")</f>
        <v/>
      </c>
      <c r="AG1017" s="1777"/>
      <c r="AH1017" s="1777"/>
      <c r="AI1017" s="1778"/>
      <c r="AJ1017" s="1665"/>
      <c r="AK1017" s="1666"/>
      <c r="AL1017" s="1666"/>
      <c r="AM1017" s="1666"/>
      <c r="AN1017" s="1666"/>
      <c r="AO1017" s="1666"/>
      <c r="AP1017" s="1666"/>
      <c r="AQ1017" s="1667"/>
      <c r="AR1017" s="1062"/>
      <c r="AS1017" s="1062"/>
      <c r="AT1017" s="1062"/>
      <c r="AU1017" s="1062"/>
      <c r="AV1017" s="1062"/>
      <c r="AW1017" s="1062"/>
      <c r="AX1017" s="2">
        <v>5</v>
      </c>
      <c r="AY1017" s="1075">
        <f t="shared" si="53"/>
        <v>0</v>
      </c>
      <c r="AZ1017" s="1031">
        <v>0.04</v>
      </c>
    </row>
    <row r="1018" spans="1:52" ht="13.2" customHeight="1">
      <c r="A1018" s="11"/>
      <c r="B1018" s="44"/>
      <c r="C1018" s="1073"/>
      <c r="D1018" s="1637"/>
      <c r="E1018" s="1638"/>
      <c r="F1018" s="1638"/>
      <c r="G1018" s="1638"/>
      <c r="H1018" s="1638"/>
      <c r="I1018" s="1638"/>
      <c r="J1018" s="1638"/>
      <c r="K1018" s="1638"/>
      <c r="L1018" s="1638"/>
      <c r="M1018" s="1638"/>
      <c r="N1018" s="1638"/>
      <c r="O1018" s="1638"/>
      <c r="P1018" s="1638"/>
      <c r="Q1018" s="1638"/>
      <c r="R1018" s="1638"/>
      <c r="S1018" s="1638"/>
      <c r="T1018" s="1638"/>
      <c r="U1018" s="1638"/>
      <c r="V1018" s="1638"/>
      <c r="W1018" s="1638"/>
      <c r="X1018" s="1638"/>
      <c r="Y1018" s="1638"/>
      <c r="Z1018" s="1638"/>
      <c r="AA1018" s="1638"/>
      <c r="AB1018" s="1638"/>
      <c r="AC1018" s="1638"/>
      <c r="AD1018" s="1638"/>
      <c r="AE1018" s="1639"/>
      <c r="AF1018" s="1776"/>
      <c r="AG1018" s="1777"/>
      <c r="AH1018" s="1777"/>
      <c r="AI1018" s="1778"/>
      <c r="AJ1018" s="1665"/>
      <c r="AK1018" s="1666"/>
      <c r="AL1018" s="1666"/>
      <c r="AM1018" s="1666"/>
      <c r="AN1018" s="1666"/>
      <c r="AO1018" s="1666"/>
      <c r="AP1018" s="1666"/>
      <c r="AQ1018" s="1667"/>
      <c r="AR1018" s="1062"/>
      <c r="AS1018" s="1062"/>
      <c r="AT1018" s="1062"/>
      <c r="AU1018" s="1062"/>
      <c r="AV1018" s="1062"/>
      <c r="AW1018" s="1062"/>
      <c r="AX1018" s="2">
        <v>6</v>
      </c>
      <c r="AY1018" s="1075">
        <f t="shared" si="53"/>
        <v>0</v>
      </c>
      <c r="AZ1018" s="1031">
        <v>0.04</v>
      </c>
    </row>
    <row r="1019" spans="1:52" ht="13.2" customHeight="1">
      <c r="A1019" s="11"/>
      <c r="B1019" s="1076"/>
      <c r="C1019" s="1070"/>
      <c r="D1019" s="1680"/>
      <c r="E1019" s="1681"/>
      <c r="F1019" s="1681"/>
      <c r="G1019" s="1681"/>
      <c r="H1019" s="1681"/>
      <c r="I1019" s="1681"/>
      <c r="J1019" s="1681"/>
      <c r="K1019" s="1681"/>
      <c r="L1019" s="1681"/>
      <c r="M1019" s="1681"/>
      <c r="N1019" s="1681"/>
      <c r="O1019" s="1681"/>
      <c r="P1019" s="1681"/>
      <c r="Q1019" s="1681"/>
      <c r="R1019" s="1681"/>
      <c r="S1019" s="1681"/>
      <c r="T1019" s="1681"/>
      <c r="U1019" s="1681"/>
      <c r="V1019" s="1681"/>
      <c r="W1019" s="1681"/>
      <c r="X1019" s="1681"/>
      <c r="Y1019" s="1681"/>
      <c r="Z1019" s="1681"/>
      <c r="AA1019" s="1681"/>
      <c r="AB1019" s="1681"/>
      <c r="AC1019" s="1681"/>
      <c r="AD1019" s="1681"/>
      <c r="AE1019" s="1682"/>
      <c r="AF1019" s="1779"/>
      <c r="AG1019" s="1780"/>
      <c r="AH1019" s="1780"/>
      <c r="AI1019" s="1781"/>
      <c r="AJ1019" s="1668"/>
      <c r="AK1019" s="1669"/>
      <c r="AL1019" s="1669"/>
      <c r="AM1019" s="1669"/>
      <c r="AN1019" s="1669"/>
      <c r="AO1019" s="1669"/>
      <c r="AP1019" s="1669"/>
      <c r="AQ1019" s="1670"/>
      <c r="AR1019" s="1062"/>
      <c r="AS1019" s="1062"/>
      <c r="AT1019" s="1062"/>
      <c r="AU1019" s="1062"/>
      <c r="AV1019" s="1062"/>
      <c r="AW1019" s="1062"/>
      <c r="AX1019" s="2">
        <v>7</v>
      </c>
      <c r="AY1019" s="1075">
        <f t="shared" si="53"/>
        <v>0</v>
      </c>
      <c r="AZ1019" s="1031">
        <v>0.01</v>
      </c>
    </row>
    <row r="1020" spans="1:52" ht="13.2" customHeight="1">
      <c r="A1020" s="11"/>
      <c r="B1020" s="47"/>
      <c r="C1020" s="214" t="s">
        <v>1682</v>
      </c>
      <c r="D1020" s="1747" t="s">
        <v>1683</v>
      </c>
      <c r="E1020" s="1748"/>
      <c r="F1020" s="1748"/>
      <c r="G1020" s="1748"/>
      <c r="H1020" s="1748"/>
      <c r="I1020" s="1748"/>
      <c r="J1020" s="1748"/>
      <c r="K1020" s="1748"/>
      <c r="L1020" s="1748"/>
      <c r="M1020" s="1748"/>
      <c r="N1020" s="1748"/>
      <c r="O1020" s="1748"/>
      <c r="P1020" s="1748"/>
      <c r="Q1020" s="1748"/>
      <c r="R1020" s="1748"/>
      <c r="S1020" s="1748"/>
      <c r="T1020" s="1748"/>
      <c r="U1020" s="1748"/>
      <c r="V1020" s="1748"/>
      <c r="W1020" s="1748"/>
      <c r="X1020" s="1748"/>
      <c r="Y1020" s="1748"/>
      <c r="Z1020" s="1748"/>
      <c r="AA1020" s="1748"/>
      <c r="AB1020" s="1748"/>
      <c r="AC1020" s="1748"/>
      <c r="AD1020" s="1748"/>
      <c r="AE1020" s="1749"/>
      <c r="AF1020" s="47"/>
      <c r="AG1020" s="1688" t="s">
        <v>844</v>
      </c>
      <c r="AH1020" s="1689"/>
      <c r="AI1020" s="50"/>
      <c r="AJ1020" s="1662">
        <f>ROUND(IF(AND(AG1020="Yes",J1024&lt;&gt;"N/A",AF1023&lt;&gt;""),MIN(AF1023,(0.15*AJ992)),0),0)</f>
        <v>0</v>
      </c>
      <c r="AK1020" s="1663"/>
      <c r="AL1020" s="1663"/>
      <c r="AM1020" s="1663"/>
      <c r="AN1020" s="1663"/>
      <c r="AO1020" s="1663"/>
      <c r="AP1020" s="1663"/>
      <c r="AQ1020" s="1664"/>
      <c r="AR1020" s="1062"/>
      <c r="AS1020" s="1062"/>
      <c r="AT1020" s="1062"/>
      <c r="AU1020" s="1062"/>
      <c r="AV1020" s="1062"/>
      <c r="AW1020" s="1062"/>
      <c r="AX1020" s="2">
        <v>8</v>
      </c>
      <c r="AY1020" s="1075">
        <f t="shared" si="53"/>
        <v>0</v>
      </c>
      <c r="AZ1020" s="1031">
        <v>0.01</v>
      </c>
    </row>
    <row r="1021" spans="1:52" ht="13.2" customHeight="1">
      <c r="A1021" s="11"/>
      <c r="B1021" s="1076"/>
      <c r="C1021" s="1077"/>
      <c r="D1021" s="1750"/>
      <c r="E1021" s="1751"/>
      <c r="F1021" s="1751"/>
      <c r="G1021" s="1751"/>
      <c r="H1021" s="1751"/>
      <c r="I1021" s="1751"/>
      <c r="J1021" s="1751"/>
      <c r="K1021" s="1751"/>
      <c r="L1021" s="1751"/>
      <c r="M1021" s="1751"/>
      <c r="N1021" s="1751"/>
      <c r="O1021" s="1751"/>
      <c r="P1021" s="1751"/>
      <c r="Q1021" s="1751"/>
      <c r="R1021" s="1751"/>
      <c r="S1021" s="1751"/>
      <c r="T1021" s="1751"/>
      <c r="U1021" s="1751"/>
      <c r="V1021" s="1751"/>
      <c r="W1021" s="1751"/>
      <c r="X1021" s="1751"/>
      <c r="Y1021" s="1751"/>
      <c r="Z1021" s="1751"/>
      <c r="AA1021" s="1751"/>
      <c r="AB1021" s="1751"/>
      <c r="AC1021" s="1751"/>
      <c r="AD1021" s="1751"/>
      <c r="AE1021" s="1752"/>
      <c r="AF1021" s="1764" t="str">
        <f>IF(AG1020="yes","Please Select Type and Enter Amount:","")</f>
        <v/>
      </c>
      <c r="AG1021" s="1765"/>
      <c r="AH1021" s="1765"/>
      <c r="AI1021" s="1766"/>
      <c r="AJ1021" s="1665"/>
      <c r="AK1021" s="1666"/>
      <c r="AL1021" s="1666"/>
      <c r="AM1021" s="1666"/>
      <c r="AN1021" s="1666"/>
      <c r="AO1021" s="1666"/>
      <c r="AP1021" s="1666"/>
      <c r="AQ1021" s="1667"/>
      <c r="AR1021" s="1062"/>
      <c r="AS1021" s="1062"/>
      <c r="AT1021" s="1062"/>
      <c r="AU1021" s="1062"/>
      <c r="AV1021" s="1062"/>
      <c r="AW1021" s="1062"/>
      <c r="AX1021" s="2">
        <v>9</v>
      </c>
      <c r="AY1021" s="1075">
        <f t="shared" si="53"/>
        <v>0</v>
      </c>
      <c r="AZ1021" s="1031">
        <v>0.01</v>
      </c>
    </row>
    <row r="1022" spans="1:52" ht="13.2" customHeight="1">
      <c r="A1022" s="11"/>
      <c r="B1022" s="1076"/>
      <c r="C1022" s="1077"/>
      <c r="D1022" s="1637" t="s">
        <v>1684</v>
      </c>
      <c r="E1022" s="1638"/>
      <c r="F1022" s="1638"/>
      <c r="G1022" s="1638"/>
      <c r="H1022" s="1638"/>
      <c r="I1022" s="1638"/>
      <c r="J1022" s="1638"/>
      <c r="K1022" s="1638"/>
      <c r="L1022" s="1638"/>
      <c r="M1022" s="1638"/>
      <c r="N1022" s="1638"/>
      <c r="O1022" s="1638"/>
      <c r="P1022" s="1638"/>
      <c r="Q1022" s="1638"/>
      <c r="R1022" s="1638"/>
      <c r="S1022" s="1638"/>
      <c r="T1022" s="1638"/>
      <c r="U1022" s="1638"/>
      <c r="V1022" s="1638"/>
      <c r="W1022" s="1638"/>
      <c r="X1022" s="1638"/>
      <c r="Y1022" s="1638"/>
      <c r="Z1022" s="1638"/>
      <c r="AA1022" s="1638"/>
      <c r="AB1022" s="1638"/>
      <c r="AC1022" s="1638"/>
      <c r="AD1022" s="1638"/>
      <c r="AE1022" s="1639"/>
      <c r="AF1022" s="1764"/>
      <c r="AG1022" s="1765"/>
      <c r="AH1022" s="1765"/>
      <c r="AI1022" s="1766"/>
      <c r="AJ1022" s="1665"/>
      <c r="AK1022" s="1666"/>
      <c r="AL1022" s="1666"/>
      <c r="AM1022" s="1666"/>
      <c r="AN1022" s="1666"/>
      <c r="AO1022" s="1666"/>
      <c r="AP1022" s="1666"/>
      <c r="AQ1022" s="1667"/>
      <c r="AR1022" s="1062"/>
      <c r="AS1022" s="1062"/>
      <c r="AT1022" s="1062"/>
      <c r="AU1022" s="1062"/>
      <c r="AV1022" s="1062"/>
      <c r="AW1022" s="1062"/>
      <c r="AX1022" s="2">
        <v>10</v>
      </c>
      <c r="AY1022" s="1075">
        <f t="shared" si="53"/>
        <v>0</v>
      </c>
      <c r="AZ1022" s="1031">
        <v>0.02</v>
      </c>
    </row>
    <row r="1023" spans="1:52" ht="13.2" customHeight="1">
      <c r="A1023" s="11"/>
      <c r="B1023" s="1076"/>
      <c r="C1023" s="1077"/>
      <c r="D1023" s="1637"/>
      <c r="E1023" s="1638"/>
      <c r="F1023" s="1638"/>
      <c r="G1023" s="1638"/>
      <c r="H1023" s="1638"/>
      <c r="I1023" s="1638"/>
      <c r="J1023" s="1638"/>
      <c r="K1023" s="1638"/>
      <c r="L1023" s="1638"/>
      <c r="M1023" s="1638"/>
      <c r="N1023" s="1638"/>
      <c r="O1023" s="1638"/>
      <c r="P1023" s="1638"/>
      <c r="Q1023" s="1638"/>
      <c r="R1023" s="1638"/>
      <c r="S1023" s="1638"/>
      <c r="T1023" s="1638"/>
      <c r="U1023" s="1638"/>
      <c r="V1023" s="1638"/>
      <c r="W1023" s="1638"/>
      <c r="X1023" s="1638"/>
      <c r="Y1023" s="1638"/>
      <c r="Z1023" s="1638"/>
      <c r="AA1023" s="1638"/>
      <c r="AB1023" s="1638"/>
      <c r="AC1023" s="1638"/>
      <c r="AD1023" s="1638"/>
      <c r="AE1023" s="1639"/>
      <c r="AF1023" s="1711"/>
      <c r="AG1023" s="1711"/>
      <c r="AH1023" s="1711"/>
      <c r="AI1023" s="1711"/>
      <c r="AJ1023" s="1665"/>
      <c r="AK1023" s="1666"/>
      <c r="AL1023" s="1666"/>
      <c r="AM1023" s="1666"/>
      <c r="AN1023" s="1666"/>
      <c r="AO1023" s="1666"/>
      <c r="AP1023" s="1666"/>
      <c r="AQ1023" s="1667"/>
      <c r="AR1023" s="1062"/>
      <c r="AS1023" s="1062"/>
      <c r="AT1023" s="1062"/>
      <c r="AU1023" s="1062"/>
      <c r="AV1023" s="1062"/>
      <c r="AW1023" s="1062"/>
      <c r="AX1023" s="2">
        <v>11</v>
      </c>
      <c r="AY1023" s="1075">
        <f t="shared" si="53"/>
        <v>0</v>
      </c>
      <c r="AZ1023" s="1031">
        <v>0.02</v>
      </c>
    </row>
    <row r="1024" spans="1:52" ht="13.2" customHeight="1">
      <c r="A1024" s="11"/>
      <c r="B1024" s="1076"/>
      <c r="C1024" s="1077"/>
      <c r="D1024" s="375" t="s">
        <v>1685</v>
      </c>
      <c r="E1024" s="51"/>
      <c r="F1024" s="51"/>
      <c r="G1024" s="708"/>
      <c r="H1024" s="708"/>
      <c r="I1024" s="33"/>
      <c r="J1024" s="1756" t="s">
        <v>810</v>
      </c>
      <c r="K1024" s="1757"/>
      <c r="L1024" s="1757"/>
      <c r="M1024" s="1757"/>
      <c r="N1024" s="1757"/>
      <c r="O1024" s="1757"/>
      <c r="P1024" s="1757"/>
      <c r="Q1024" s="1757"/>
      <c r="R1024" s="1757"/>
      <c r="S1024" s="1757"/>
      <c r="T1024" s="1757"/>
      <c r="U1024" s="1757"/>
      <c r="V1024" s="1757"/>
      <c r="W1024" s="1757"/>
      <c r="X1024" s="1757"/>
      <c r="Y1024" s="1757"/>
      <c r="Z1024" s="1757"/>
      <c r="AA1024" s="1757"/>
      <c r="AB1024" s="1757"/>
      <c r="AC1024" s="1757"/>
      <c r="AD1024" s="1757"/>
      <c r="AE1024" s="1758"/>
      <c r="AF1024" s="1711"/>
      <c r="AG1024" s="1711"/>
      <c r="AH1024" s="1711"/>
      <c r="AI1024" s="1711"/>
      <c r="AJ1024" s="1668"/>
      <c r="AK1024" s="1669"/>
      <c r="AL1024" s="1669"/>
      <c r="AM1024" s="1669"/>
      <c r="AN1024" s="1669"/>
      <c r="AO1024" s="1669"/>
      <c r="AP1024" s="1669"/>
      <c r="AQ1024" s="1670"/>
      <c r="AR1024" s="1062"/>
      <c r="AS1024" s="1062"/>
      <c r="AT1024" s="1062"/>
      <c r="AU1024" s="1062"/>
      <c r="AV1024" s="1062"/>
      <c r="AW1024" s="1062"/>
      <c r="AX1024" s="819" t="s">
        <v>1686</v>
      </c>
      <c r="AY1024" s="1078">
        <f>IF(SUM(AY1015:AY1023)&lt;=0.2,SUM(AY1015:AY1023),0.2)</f>
        <v>0</v>
      </c>
    </row>
    <row r="1025" spans="1:57" ht="13.2" customHeight="1">
      <c r="A1025" s="11"/>
      <c r="B1025" s="47"/>
      <c r="C1025" s="214" t="s">
        <v>1687</v>
      </c>
      <c r="D1025" s="1702" t="s">
        <v>1688</v>
      </c>
      <c r="E1025" s="1703"/>
      <c r="F1025" s="1703"/>
      <c r="G1025" s="1703"/>
      <c r="H1025" s="1703"/>
      <c r="I1025" s="1703"/>
      <c r="J1025" s="1703"/>
      <c r="K1025" s="1703"/>
      <c r="L1025" s="1703"/>
      <c r="M1025" s="1703"/>
      <c r="N1025" s="1703"/>
      <c r="O1025" s="1703"/>
      <c r="P1025" s="1703"/>
      <c r="Q1025" s="1703"/>
      <c r="R1025" s="1703"/>
      <c r="S1025" s="1703"/>
      <c r="T1025" s="1703"/>
      <c r="U1025" s="1703"/>
      <c r="V1025" s="1703"/>
      <c r="W1025" s="1703"/>
      <c r="X1025" s="1703"/>
      <c r="Y1025" s="1703"/>
      <c r="Z1025" s="1703"/>
      <c r="AA1025" s="1703"/>
      <c r="AB1025" s="1703"/>
      <c r="AC1025" s="1703"/>
      <c r="AD1025" s="1703"/>
      <c r="AE1025" s="1704"/>
      <c r="AF1025" s="47"/>
      <c r="AG1025" s="1688" t="s">
        <v>694</v>
      </c>
      <c r="AH1025" s="1689"/>
      <c r="AI1025" s="50"/>
      <c r="AJ1025" s="1662">
        <f>ROUND(IF(AG1025="Yes",AF1027,0),0)</f>
        <v>1021813</v>
      </c>
      <c r="AK1025" s="1663"/>
      <c r="AL1025" s="1663"/>
      <c r="AM1025" s="1663"/>
      <c r="AN1025" s="1663"/>
      <c r="AO1025" s="1663"/>
      <c r="AP1025" s="1663"/>
      <c r="AQ1025" s="1664"/>
      <c r="AR1025" s="1062"/>
      <c r="AS1025" s="1062"/>
      <c r="AT1025" s="1062"/>
      <c r="AU1025" s="1062"/>
      <c r="AV1025" s="1062"/>
      <c r="AW1025" s="1062"/>
      <c r="AX1025" s="1062"/>
      <c r="AY1025" s="1062"/>
    </row>
    <row r="1026" spans="1:57" ht="13.2" customHeight="1">
      <c r="A1026" s="11"/>
      <c r="B1026" s="44"/>
      <c r="C1026" s="1073"/>
      <c r="D1026" s="1637" t="s">
        <v>1689</v>
      </c>
      <c r="E1026" s="1638"/>
      <c r="F1026" s="1638"/>
      <c r="G1026" s="1638"/>
      <c r="H1026" s="1638"/>
      <c r="I1026" s="1638"/>
      <c r="J1026" s="1638"/>
      <c r="K1026" s="1638"/>
      <c r="L1026" s="1638"/>
      <c r="M1026" s="1638"/>
      <c r="N1026" s="1638"/>
      <c r="O1026" s="1638"/>
      <c r="P1026" s="1638"/>
      <c r="Q1026" s="1638"/>
      <c r="R1026" s="1638"/>
      <c r="S1026" s="1638"/>
      <c r="T1026" s="1638"/>
      <c r="U1026" s="1638"/>
      <c r="V1026" s="1638"/>
      <c r="W1026" s="1638"/>
      <c r="X1026" s="1638"/>
      <c r="Y1026" s="1638"/>
      <c r="Z1026" s="1638"/>
      <c r="AA1026" s="1638"/>
      <c r="AB1026" s="1638"/>
      <c r="AC1026" s="1638"/>
      <c r="AD1026" s="1638"/>
      <c r="AE1026" s="1639"/>
      <c r="AF1026" s="1753" t="str">
        <f>IF(AG1025="yes","Enter Amount:","")</f>
        <v>Enter Amount:</v>
      </c>
      <c r="AG1026" s="1754"/>
      <c r="AH1026" s="1754"/>
      <c r="AI1026" s="1755"/>
      <c r="AJ1026" s="1665"/>
      <c r="AK1026" s="1666"/>
      <c r="AL1026" s="1666"/>
      <c r="AM1026" s="1666"/>
      <c r="AN1026" s="1666"/>
      <c r="AO1026" s="1666"/>
      <c r="AP1026" s="1666"/>
      <c r="AQ1026" s="1667"/>
      <c r="AR1026" s="1062"/>
      <c r="AS1026" s="1062"/>
      <c r="AT1026" s="1062"/>
      <c r="AU1026" s="1062"/>
      <c r="AV1026" s="1062"/>
      <c r="AW1026" s="1062"/>
      <c r="AX1026" s="1062"/>
      <c r="AY1026" s="1062"/>
    </row>
    <row r="1027" spans="1:57" ht="13.2" customHeight="1">
      <c r="A1027" s="11"/>
      <c r="B1027" s="44"/>
      <c r="C1027" s="1073"/>
      <c r="D1027" s="1637"/>
      <c r="E1027" s="1638"/>
      <c r="F1027" s="1638"/>
      <c r="G1027" s="1638"/>
      <c r="H1027" s="1638"/>
      <c r="I1027" s="1638"/>
      <c r="J1027" s="1638"/>
      <c r="K1027" s="1638"/>
      <c r="L1027" s="1638"/>
      <c r="M1027" s="1638"/>
      <c r="N1027" s="1638"/>
      <c r="O1027" s="1638"/>
      <c r="P1027" s="1638"/>
      <c r="Q1027" s="1638"/>
      <c r="R1027" s="1638"/>
      <c r="S1027" s="1638"/>
      <c r="T1027" s="1638"/>
      <c r="U1027" s="1638"/>
      <c r="V1027" s="1638"/>
      <c r="W1027" s="1638"/>
      <c r="X1027" s="1638"/>
      <c r="Y1027" s="1638"/>
      <c r="Z1027" s="1638"/>
      <c r="AA1027" s="1638"/>
      <c r="AB1027" s="1638"/>
      <c r="AC1027" s="1638"/>
      <c r="AD1027" s="1638"/>
      <c r="AE1027" s="1639"/>
      <c r="AF1027" s="1711">
        <f>+'Sources and Uses Budget'!C85</f>
        <v>1021813</v>
      </c>
      <c r="AG1027" s="1711"/>
      <c r="AH1027" s="1711"/>
      <c r="AI1027" s="1711"/>
      <c r="AJ1027" s="1665"/>
      <c r="AK1027" s="1666"/>
      <c r="AL1027" s="1666"/>
      <c r="AM1027" s="1666"/>
      <c r="AN1027" s="1666"/>
      <c r="AO1027" s="1666"/>
      <c r="AP1027" s="1666"/>
      <c r="AQ1027" s="1667"/>
      <c r="AR1027" s="1062"/>
      <c r="AS1027" s="1062"/>
      <c r="AT1027" s="1062"/>
      <c r="AU1027" s="1062"/>
      <c r="AV1027" s="1062"/>
      <c r="AW1027" s="1062"/>
      <c r="AX1027" s="1062"/>
      <c r="AY1027" s="11" t="str">
        <f>"Select items beginning on row #"&amp;TEXT(ROW(A1061),"#")&amp;" to claim this boost"</f>
        <v>Select items beginning on row #1061 to claim this boost</v>
      </c>
    </row>
    <row r="1028" spans="1:57" ht="13.2" customHeight="1">
      <c r="A1028" s="11"/>
      <c r="B1028" s="1074"/>
      <c r="C1028" s="1077"/>
      <c r="D1028" s="1680"/>
      <c r="E1028" s="1681"/>
      <c r="F1028" s="1681"/>
      <c r="G1028" s="1681"/>
      <c r="H1028" s="1681"/>
      <c r="I1028" s="1681"/>
      <c r="J1028" s="1681"/>
      <c r="K1028" s="1681"/>
      <c r="L1028" s="1681"/>
      <c r="M1028" s="1681"/>
      <c r="N1028" s="1681"/>
      <c r="O1028" s="1681"/>
      <c r="P1028" s="1681"/>
      <c r="Q1028" s="1681"/>
      <c r="R1028" s="1681"/>
      <c r="S1028" s="1681"/>
      <c r="T1028" s="1681"/>
      <c r="U1028" s="1681"/>
      <c r="V1028" s="1681"/>
      <c r="W1028" s="1681"/>
      <c r="X1028" s="1681"/>
      <c r="Y1028" s="1681"/>
      <c r="Z1028" s="1681"/>
      <c r="AA1028" s="1681"/>
      <c r="AB1028" s="1681"/>
      <c r="AC1028" s="1681"/>
      <c r="AD1028" s="1681"/>
      <c r="AE1028" s="1682"/>
      <c r="AF1028" s="1711"/>
      <c r="AG1028" s="1711"/>
      <c r="AH1028" s="1711"/>
      <c r="AI1028" s="1711"/>
      <c r="AJ1028" s="1668"/>
      <c r="AK1028" s="1669"/>
      <c r="AL1028" s="1669"/>
      <c r="AM1028" s="1669"/>
      <c r="AN1028" s="1669"/>
      <c r="AO1028" s="1669"/>
      <c r="AP1028" s="1669"/>
      <c r="AQ1028" s="1670"/>
      <c r="AR1028" s="1062"/>
      <c r="AS1028" s="1062"/>
      <c r="AT1028" s="1062"/>
      <c r="AU1028" s="1062"/>
      <c r="AV1028" s="1062"/>
      <c r="AW1028" s="1062"/>
      <c r="AX1028" s="1062"/>
      <c r="AY1028" s="1062"/>
    </row>
    <row r="1029" spans="1:57" ht="13.2" customHeight="1">
      <c r="A1029" s="11"/>
      <c r="B1029" s="47"/>
      <c r="C1029" s="214" t="s">
        <v>1690</v>
      </c>
      <c r="D1029" s="1671" t="s">
        <v>1691</v>
      </c>
      <c r="E1029" s="1672"/>
      <c r="F1029" s="1672"/>
      <c r="G1029" s="1672"/>
      <c r="H1029" s="1672"/>
      <c r="I1029" s="1672"/>
      <c r="J1029" s="1672"/>
      <c r="K1029" s="1672"/>
      <c r="L1029" s="1672"/>
      <c r="M1029" s="1672"/>
      <c r="N1029" s="1672"/>
      <c r="O1029" s="1672"/>
      <c r="P1029" s="1672"/>
      <c r="Q1029" s="1672"/>
      <c r="R1029" s="1672"/>
      <c r="S1029" s="1672"/>
      <c r="T1029" s="1672"/>
      <c r="U1029" s="1672"/>
      <c r="V1029" s="1672"/>
      <c r="W1029" s="1672"/>
      <c r="X1029" s="1672"/>
      <c r="Y1029" s="1672"/>
      <c r="Z1029" s="1672"/>
      <c r="AA1029" s="1672"/>
      <c r="AB1029" s="1672"/>
      <c r="AC1029" s="1672"/>
      <c r="AD1029" s="1672"/>
      <c r="AE1029" s="1673"/>
      <c r="AF1029" s="47"/>
      <c r="AG1029" s="1688" t="s">
        <v>844</v>
      </c>
      <c r="AH1029" s="1689"/>
      <c r="AI1029" s="50"/>
      <c r="AJ1029" s="1662">
        <f>ROUND(IF(AG1029="yes",(AJ992*0.1),0),0)</f>
        <v>0</v>
      </c>
      <c r="AK1029" s="1663"/>
      <c r="AL1029" s="1663"/>
      <c r="AM1029" s="1663"/>
      <c r="AN1029" s="1663"/>
      <c r="AO1029" s="1663"/>
      <c r="AP1029" s="1663"/>
      <c r="AQ1029" s="1664"/>
      <c r="AR1029" s="1062"/>
      <c r="AS1029" s="1062"/>
      <c r="AT1029" s="1062"/>
      <c r="AU1029" s="1062"/>
      <c r="AV1029" s="1062"/>
      <c r="AW1029" s="1062"/>
      <c r="AX1029" s="1062"/>
      <c r="AY1029" s="1062"/>
    </row>
    <row r="1030" spans="1:57" ht="13.2" customHeight="1">
      <c r="A1030" s="11"/>
      <c r="B1030" s="44"/>
      <c r="C1030" s="1073"/>
      <c r="D1030" s="1637" t="s">
        <v>1692</v>
      </c>
      <c r="E1030" s="1638"/>
      <c r="F1030" s="1638"/>
      <c r="G1030" s="1638"/>
      <c r="H1030" s="1638"/>
      <c r="I1030" s="1638"/>
      <c r="J1030" s="1638"/>
      <c r="K1030" s="1638"/>
      <c r="L1030" s="1638"/>
      <c r="M1030" s="1638"/>
      <c r="N1030" s="1638"/>
      <c r="O1030" s="1638"/>
      <c r="P1030" s="1638"/>
      <c r="Q1030" s="1638"/>
      <c r="R1030" s="1638"/>
      <c r="S1030" s="1638"/>
      <c r="T1030" s="1638"/>
      <c r="U1030" s="1638"/>
      <c r="V1030" s="1638"/>
      <c r="W1030" s="1638"/>
      <c r="X1030" s="1638"/>
      <c r="Y1030" s="1638"/>
      <c r="Z1030" s="1638"/>
      <c r="AA1030" s="1638"/>
      <c r="AB1030" s="1638"/>
      <c r="AC1030" s="1638"/>
      <c r="AD1030" s="1638"/>
      <c r="AE1030" s="1639"/>
      <c r="AF1030" s="44"/>
      <c r="AG1030" s="11"/>
      <c r="AH1030" s="11"/>
      <c r="AI1030" s="48"/>
      <c r="AJ1030" s="1665"/>
      <c r="AK1030" s="1666"/>
      <c r="AL1030" s="1666"/>
      <c r="AM1030" s="1666"/>
      <c r="AN1030" s="1666"/>
      <c r="AO1030" s="1666"/>
      <c r="AP1030" s="1666"/>
      <c r="AQ1030" s="1667"/>
      <c r="AR1030" s="1062"/>
      <c r="AS1030" s="1062"/>
      <c r="AT1030" s="1062"/>
      <c r="AU1030" s="1062"/>
      <c r="AV1030" s="1062"/>
      <c r="AW1030" s="1062"/>
      <c r="AX1030" s="1062"/>
      <c r="AY1030" s="1062"/>
    </row>
    <row r="1031" spans="1:57" ht="13.2" customHeight="1">
      <c r="A1031" s="11"/>
      <c r="B1031" s="45"/>
      <c r="C1031" s="1073"/>
      <c r="D1031" s="1680"/>
      <c r="E1031" s="1681"/>
      <c r="F1031" s="1681"/>
      <c r="G1031" s="1681"/>
      <c r="H1031" s="1681"/>
      <c r="I1031" s="1681"/>
      <c r="J1031" s="1681"/>
      <c r="K1031" s="1681"/>
      <c r="L1031" s="1681"/>
      <c r="M1031" s="1681"/>
      <c r="N1031" s="1681"/>
      <c r="O1031" s="1681"/>
      <c r="P1031" s="1681"/>
      <c r="Q1031" s="1681"/>
      <c r="R1031" s="1681"/>
      <c r="S1031" s="1681"/>
      <c r="T1031" s="1681"/>
      <c r="U1031" s="1681"/>
      <c r="V1031" s="1681"/>
      <c r="W1031" s="1681"/>
      <c r="X1031" s="1681"/>
      <c r="Y1031" s="1681"/>
      <c r="Z1031" s="1681"/>
      <c r="AA1031" s="1681"/>
      <c r="AB1031" s="1681"/>
      <c r="AC1031" s="1681"/>
      <c r="AD1031" s="1681"/>
      <c r="AE1031" s="1682"/>
      <c r="AF1031" s="44"/>
      <c r="AG1031" s="11"/>
      <c r="AH1031" s="11"/>
      <c r="AI1031" s="48"/>
      <c r="AJ1031" s="1668"/>
      <c r="AK1031" s="1669"/>
      <c r="AL1031" s="1669"/>
      <c r="AM1031" s="1669"/>
      <c r="AN1031" s="1669"/>
      <c r="AO1031" s="1669"/>
      <c r="AP1031" s="1669"/>
      <c r="AQ1031" s="1670"/>
      <c r="AR1031" s="1062"/>
      <c r="AS1031" s="1062"/>
      <c r="AT1031" s="1062"/>
      <c r="AU1031" s="1062"/>
      <c r="AV1031" s="1062"/>
      <c r="AW1031" s="1062"/>
      <c r="AX1031" s="1062"/>
      <c r="AY1031" s="1062"/>
    </row>
    <row r="1032" spans="1:57" ht="13.2" customHeight="1">
      <c r="A1032" s="11"/>
      <c r="B1032" s="44"/>
      <c r="C1032" s="214" t="s">
        <v>22</v>
      </c>
      <c r="D1032" s="1702" t="s">
        <v>1693</v>
      </c>
      <c r="E1032" s="1703"/>
      <c r="F1032" s="1703"/>
      <c r="G1032" s="1703"/>
      <c r="H1032" s="1703"/>
      <c r="I1032" s="1703"/>
      <c r="J1032" s="1703"/>
      <c r="K1032" s="1703"/>
      <c r="L1032" s="1703"/>
      <c r="M1032" s="1703"/>
      <c r="N1032" s="1703"/>
      <c r="O1032" s="1703"/>
      <c r="P1032" s="1703"/>
      <c r="Q1032" s="1703"/>
      <c r="R1032" s="1703"/>
      <c r="S1032" s="1703"/>
      <c r="T1032" s="1703"/>
      <c r="U1032" s="1703"/>
      <c r="V1032" s="1703"/>
      <c r="W1032" s="1703"/>
      <c r="X1032" s="1703"/>
      <c r="Y1032" s="1703"/>
      <c r="Z1032" s="1703"/>
      <c r="AA1032" s="1703"/>
      <c r="AB1032" s="1703"/>
      <c r="AC1032" s="1703"/>
      <c r="AD1032" s="1703"/>
      <c r="AE1032" s="1704"/>
      <c r="AF1032" s="47"/>
      <c r="AG1032" s="1688" t="s">
        <v>844</v>
      </c>
      <c r="AH1032" s="1689"/>
      <c r="AI1032" s="50"/>
      <c r="AJ1032" s="1662">
        <f>ROUND(IF(AG1032="yes",(AJ992*0.15),0),0)</f>
        <v>0</v>
      </c>
      <c r="AK1032" s="1663"/>
      <c r="AL1032" s="1663"/>
      <c r="AM1032" s="1663"/>
      <c r="AN1032" s="1663"/>
      <c r="AO1032" s="1663"/>
      <c r="AP1032" s="1663"/>
      <c r="AQ1032" s="1664"/>
      <c r="AR1032" s="1062"/>
      <c r="AS1032" s="1062"/>
      <c r="AT1032" s="1062"/>
      <c r="AU1032" s="1062"/>
      <c r="AV1032" s="1062"/>
      <c r="AW1032" s="1062"/>
      <c r="AX1032" s="1062"/>
      <c r="AY1032" s="1062"/>
    </row>
    <row r="1033" spans="1:57" ht="13.2" customHeight="1">
      <c r="A1033" s="11"/>
      <c r="B1033" s="44"/>
      <c r="C1033" s="1073"/>
      <c r="D1033" s="1737" t="s">
        <v>1694</v>
      </c>
      <c r="E1033" s="1230"/>
      <c r="F1033" s="1230"/>
      <c r="G1033" s="1230"/>
      <c r="H1033" s="1230"/>
      <c r="I1033" s="1230"/>
      <c r="J1033" s="1230"/>
      <c r="K1033" s="1230"/>
      <c r="L1033" s="1230"/>
      <c r="M1033" s="1230"/>
      <c r="N1033" s="1230"/>
      <c r="O1033" s="1230"/>
      <c r="P1033" s="1230"/>
      <c r="Q1033" s="1230"/>
      <c r="R1033" s="1230"/>
      <c r="S1033" s="1230"/>
      <c r="T1033" s="1230"/>
      <c r="U1033" s="1230"/>
      <c r="V1033" s="1230"/>
      <c r="W1033" s="1230"/>
      <c r="X1033" s="1230"/>
      <c r="Y1033" s="1230"/>
      <c r="Z1033" s="1230"/>
      <c r="AA1033" s="1230"/>
      <c r="AB1033" s="1230"/>
      <c r="AC1033" s="1230"/>
      <c r="AD1033" s="1230"/>
      <c r="AE1033" s="1738"/>
      <c r="AF1033" s="721"/>
      <c r="AG1033" s="722"/>
      <c r="AH1033" s="722"/>
      <c r="AI1033" s="723"/>
      <c r="AJ1033" s="1665"/>
      <c r="AK1033" s="1666"/>
      <c r="AL1033" s="1666"/>
      <c r="AM1033" s="1666"/>
      <c r="AN1033" s="1666"/>
      <c r="AO1033" s="1666"/>
      <c r="AP1033" s="1666"/>
      <c r="AQ1033" s="1667"/>
      <c r="AR1033" s="1062"/>
      <c r="AS1033" s="1062"/>
      <c r="AT1033" s="1062"/>
      <c r="AU1033" s="1062"/>
      <c r="AV1033" s="1062"/>
      <c r="AW1033" s="1062"/>
      <c r="AX1033" s="1062"/>
      <c r="AY1033" s="1062"/>
    </row>
    <row r="1034" spans="1:57" ht="13.2" customHeight="1">
      <c r="A1034" s="11"/>
      <c r="B1034" s="44"/>
      <c r="C1034" s="1073"/>
      <c r="D1034" s="1737"/>
      <c r="E1034" s="1230"/>
      <c r="F1034" s="1230"/>
      <c r="G1034" s="1230"/>
      <c r="H1034" s="1230"/>
      <c r="I1034" s="1230"/>
      <c r="J1034" s="1230"/>
      <c r="K1034" s="1230"/>
      <c r="L1034" s="1230"/>
      <c r="M1034" s="1230"/>
      <c r="N1034" s="1230"/>
      <c r="O1034" s="1230"/>
      <c r="P1034" s="1230"/>
      <c r="Q1034" s="1230"/>
      <c r="R1034" s="1230"/>
      <c r="S1034" s="1230"/>
      <c r="T1034" s="1230"/>
      <c r="U1034" s="1230"/>
      <c r="V1034" s="1230"/>
      <c r="W1034" s="1230"/>
      <c r="X1034" s="1230"/>
      <c r="Y1034" s="1230"/>
      <c r="Z1034" s="1230"/>
      <c r="AA1034" s="1230"/>
      <c r="AB1034" s="1230"/>
      <c r="AC1034" s="1230"/>
      <c r="AD1034" s="1230"/>
      <c r="AE1034" s="1738"/>
      <c r="AF1034" s="721"/>
      <c r="AG1034" s="722"/>
      <c r="AH1034" s="722"/>
      <c r="AI1034" s="723"/>
      <c r="AJ1034" s="1665"/>
      <c r="AK1034" s="1666"/>
      <c r="AL1034" s="1666"/>
      <c r="AM1034" s="1666"/>
      <c r="AN1034" s="1666"/>
      <c r="AO1034" s="1666"/>
      <c r="AP1034" s="1666"/>
      <c r="AQ1034" s="1667"/>
      <c r="AR1034" s="1062"/>
      <c r="AS1034" s="1062"/>
      <c r="AT1034" s="1062"/>
      <c r="AU1034" s="1062"/>
      <c r="AV1034" s="1062"/>
      <c r="AW1034" s="1062"/>
      <c r="AX1034" s="1062"/>
      <c r="AY1034" s="1062"/>
    </row>
    <row r="1035" spans="1:57" ht="13.2" customHeight="1">
      <c r="A1035" s="11"/>
      <c r="B1035" s="44"/>
      <c r="C1035" s="1073"/>
      <c r="D1035" s="1739"/>
      <c r="E1035" s="1505"/>
      <c r="F1035" s="1505"/>
      <c r="G1035" s="1505"/>
      <c r="H1035" s="1505"/>
      <c r="I1035" s="1505"/>
      <c r="J1035" s="1505"/>
      <c r="K1035" s="1505"/>
      <c r="L1035" s="1505"/>
      <c r="M1035" s="1505"/>
      <c r="N1035" s="1505"/>
      <c r="O1035" s="1505"/>
      <c r="P1035" s="1505"/>
      <c r="Q1035" s="1505"/>
      <c r="R1035" s="1505"/>
      <c r="S1035" s="1505"/>
      <c r="T1035" s="1505"/>
      <c r="U1035" s="1505"/>
      <c r="V1035" s="1505"/>
      <c r="W1035" s="1505"/>
      <c r="X1035" s="1505"/>
      <c r="Y1035" s="1505"/>
      <c r="Z1035" s="1505"/>
      <c r="AA1035" s="1505"/>
      <c r="AB1035" s="1505"/>
      <c r="AC1035" s="1505"/>
      <c r="AD1035" s="1505"/>
      <c r="AE1035" s="1740"/>
      <c r="AF1035" s="724"/>
      <c r="AG1035" s="725"/>
      <c r="AH1035" s="725"/>
      <c r="AI1035" s="726"/>
      <c r="AJ1035" s="1668"/>
      <c r="AK1035" s="1669"/>
      <c r="AL1035" s="1669"/>
      <c r="AM1035" s="1669"/>
      <c r="AN1035" s="1669"/>
      <c r="AO1035" s="1669"/>
      <c r="AP1035" s="1669"/>
      <c r="AQ1035" s="1670"/>
      <c r="AR1035" s="1062"/>
      <c r="AS1035" s="1062"/>
      <c r="AT1035" s="1062"/>
      <c r="AU1035" s="1062"/>
      <c r="AV1035" s="1062"/>
      <c r="AW1035" s="1062"/>
      <c r="AX1035" s="1062"/>
      <c r="AY1035" s="1062"/>
    </row>
    <row r="1036" spans="1:57" ht="13.2" customHeight="1">
      <c r="A1036" s="11"/>
      <c r="B1036" s="44"/>
      <c r="C1036" s="214" t="s">
        <v>22</v>
      </c>
      <c r="D1036" s="1671" t="s">
        <v>1695</v>
      </c>
      <c r="E1036" s="1672"/>
      <c r="F1036" s="1672"/>
      <c r="G1036" s="1672"/>
      <c r="H1036" s="1672"/>
      <c r="I1036" s="1672"/>
      <c r="J1036" s="1672"/>
      <c r="K1036" s="1672"/>
      <c r="L1036" s="1672"/>
      <c r="M1036" s="1672"/>
      <c r="N1036" s="1672"/>
      <c r="O1036" s="1672"/>
      <c r="P1036" s="1672"/>
      <c r="Q1036" s="1672"/>
      <c r="R1036" s="1672"/>
      <c r="S1036" s="1672"/>
      <c r="T1036" s="1672"/>
      <c r="U1036" s="1672"/>
      <c r="V1036" s="1672"/>
      <c r="W1036" s="1672"/>
      <c r="X1036" s="1672"/>
      <c r="Y1036" s="1672"/>
      <c r="Z1036" s="1672"/>
      <c r="AA1036" s="1672"/>
      <c r="AB1036" s="1672"/>
      <c r="AC1036" s="1672"/>
      <c r="AD1036" s="1672"/>
      <c r="AE1036" s="1673"/>
      <c r="AF1036" s="44"/>
      <c r="AG1036" s="1690" t="s">
        <v>694</v>
      </c>
      <c r="AH1036" s="1691"/>
      <c r="AI1036" s="48"/>
      <c r="AJ1036" s="1662">
        <f>ROUND(IF(AND(AG1036="yes",AJ1032=0),(AJ992*0.1),0),0)</f>
        <v>7690376</v>
      </c>
      <c r="AK1036" s="1663"/>
      <c r="AL1036" s="1663"/>
      <c r="AM1036" s="1663"/>
      <c r="AN1036" s="1663"/>
      <c r="AO1036" s="1663"/>
      <c r="AP1036" s="1663"/>
      <c r="AQ1036" s="1664"/>
      <c r="AR1036" s="1062"/>
      <c r="AS1036" s="1062"/>
      <c r="AT1036" s="1062"/>
      <c r="AU1036" s="1062"/>
      <c r="AV1036" s="1062"/>
      <c r="AW1036" s="1062"/>
      <c r="AX1036" s="1062"/>
      <c r="AY1036" s="1062"/>
    </row>
    <row r="1037" spans="1:57" ht="13.2" customHeight="1">
      <c r="A1037" s="11"/>
      <c r="B1037" s="44"/>
      <c r="C1037" s="1073"/>
      <c r="D1037" s="1737" t="s">
        <v>1696</v>
      </c>
      <c r="E1037" s="1230"/>
      <c r="F1037" s="1230"/>
      <c r="G1037" s="1230"/>
      <c r="H1037" s="1230"/>
      <c r="I1037" s="1230"/>
      <c r="J1037" s="1230"/>
      <c r="K1037" s="1230"/>
      <c r="L1037" s="1230"/>
      <c r="M1037" s="1230"/>
      <c r="N1037" s="1230"/>
      <c r="O1037" s="1230"/>
      <c r="P1037" s="1230"/>
      <c r="Q1037" s="1230"/>
      <c r="R1037" s="1230"/>
      <c r="S1037" s="1230"/>
      <c r="T1037" s="1230"/>
      <c r="U1037" s="1230"/>
      <c r="V1037" s="1230"/>
      <c r="W1037" s="1230"/>
      <c r="X1037" s="1230"/>
      <c r="Y1037" s="1230"/>
      <c r="Z1037" s="1230"/>
      <c r="AA1037" s="1230"/>
      <c r="AB1037" s="1230"/>
      <c r="AC1037" s="1230"/>
      <c r="AD1037" s="1230"/>
      <c r="AE1037" s="1738"/>
      <c r="AF1037" s="44"/>
      <c r="AG1037" s="11"/>
      <c r="AH1037" s="11"/>
      <c r="AI1037" s="48"/>
      <c r="AJ1037" s="1665"/>
      <c r="AK1037" s="1666"/>
      <c r="AL1037" s="1666"/>
      <c r="AM1037" s="1666"/>
      <c r="AN1037" s="1666"/>
      <c r="AO1037" s="1666"/>
      <c r="AP1037" s="1666"/>
      <c r="AQ1037" s="1667"/>
      <c r="AR1037" s="1062"/>
      <c r="AS1037" s="1062"/>
      <c r="AT1037" s="1062"/>
      <c r="AU1037" s="1062"/>
      <c r="AV1037" s="1062"/>
      <c r="AW1037" s="1062"/>
      <c r="AX1037" s="1062"/>
      <c r="AY1037" s="1062"/>
    </row>
    <row r="1038" spans="1:57" ht="13.2" customHeight="1">
      <c r="A1038" s="11"/>
      <c r="B1038" s="44"/>
      <c r="C1038" s="1073"/>
      <c r="D1038" s="1737"/>
      <c r="E1038" s="1230"/>
      <c r="F1038" s="1230"/>
      <c r="G1038" s="1230"/>
      <c r="H1038" s="1230"/>
      <c r="I1038" s="1230"/>
      <c r="J1038" s="1230"/>
      <c r="K1038" s="1230"/>
      <c r="L1038" s="1230"/>
      <c r="M1038" s="1230"/>
      <c r="N1038" s="1230"/>
      <c r="O1038" s="1230"/>
      <c r="P1038" s="1230"/>
      <c r="Q1038" s="1230"/>
      <c r="R1038" s="1230"/>
      <c r="S1038" s="1230"/>
      <c r="T1038" s="1230"/>
      <c r="U1038" s="1230"/>
      <c r="V1038" s="1230"/>
      <c r="W1038" s="1230"/>
      <c r="X1038" s="1230"/>
      <c r="Y1038" s="1230"/>
      <c r="Z1038" s="1230"/>
      <c r="AA1038" s="1230"/>
      <c r="AB1038" s="1230"/>
      <c r="AC1038" s="1230"/>
      <c r="AD1038" s="1230"/>
      <c r="AE1038" s="1738"/>
      <c r="AF1038" s="44"/>
      <c r="AG1038" s="11"/>
      <c r="AH1038" s="11"/>
      <c r="AI1038" s="48"/>
      <c r="AJ1038" s="1665"/>
      <c r="AK1038" s="1666"/>
      <c r="AL1038" s="1666"/>
      <c r="AM1038" s="1666"/>
      <c r="AN1038" s="1666"/>
      <c r="AO1038" s="1666"/>
      <c r="AP1038" s="1666"/>
      <c r="AQ1038" s="1667"/>
      <c r="AR1038" s="1062"/>
      <c r="AS1038" s="1062"/>
      <c r="AT1038" s="1062"/>
      <c r="AU1038" s="1062"/>
      <c r="AV1038" s="1062"/>
      <c r="AW1038" s="1062"/>
      <c r="AX1038" s="1062"/>
      <c r="AY1038" s="1062"/>
      <c r="BA1038" s="963">
        <f>IFERROR(('Sources and Uses Budget'!$C$17+'Sources and Uses Budget'!$C$18+'Sources and Uses Budget'!$C$22)/$AG$437,0)</f>
        <v>0</v>
      </c>
      <c r="BB1038" s="963" t="s">
        <v>1697</v>
      </c>
      <c r="BC1038" s="963"/>
      <c r="BD1038" s="963"/>
      <c r="BE1038" s="963"/>
    </row>
    <row r="1039" spans="1:57" ht="13.2" customHeight="1">
      <c r="A1039" s="11"/>
      <c r="B1039" s="44"/>
      <c r="C1039" s="1073"/>
      <c r="D1039" s="1737"/>
      <c r="E1039" s="1230"/>
      <c r="F1039" s="1230"/>
      <c r="G1039" s="1230"/>
      <c r="H1039" s="1230"/>
      <c r="I1039" s="1230"/>
      <c r="J1039" s="1230"/>
      <c r="K1039" s="1230"/>
      <c r="L1039" s="1230"/>
      <c r="M1039" s="1230"/>
      <c r="N1039" s="1230"/>
      <c r="O1039" s="1230"/>
      <c r="P1039" s="1230"/>
      <c r="Q1039" s="1230"/>
      <c r="R1039" s="1230"/>
      <c r="S1039" s="1230"/>
      <c r="T1039" s="1230"/>
      <c r="U1039" s="1230"/>
      <c r="V1039" s="1230"/>
      <c r="W1039" s="1230"/>
      <c r="X1039" s="1230"/>
      <c r="Y1039" s="1230"/>
      <c r="Z1039" s="1230"/>
      <c r="AA1039" s="1230"/>
      <c r="AB1039" s="1230"/>
      <c r="AC1039" s="1230"/>
      <c r="AD1039" s="1230"/>
      <c r="AE1039" s="1738"/>
      <c r="AF1039" s="44"/>
      <c r="AG1039" s="11"/>
      <c r="AH1039" s="11"/>
      <c r="AI1039" s="48"/>
      <c r="AJ1039" s="1665"/>
      <c r="AK1039" s="1666"/>
      <c r="AL1039" s="1666"/>
      <c r="AM1039" s="1666"/>
      <c r="AN1039" s="1666"/>
      <c r="AO1039" s="1666"/>
      <c r="AP1039" s="1666"/>
      <c r="AQ1039" s="1667"/>
      <c r="AR1039" s="1062"/>
      <c r="AS1039" s="1062"/>
      <c r="AT1039" s="1062"/>
      <c r="AU1039" s="1062"/>
      <c r="AV1039" s="1062"/>
      <c r="AW1039" s="1062"/>
      <c r="AX1039" s="1062"/>
      <c r="AY1039" s="1062"/>
      <c r="BA1039">
        <f>IFERROR((($CI$753+$CM$753)/$AG$440),0)</f>
        <v>0.22222222222222221</v>
      </c>
      <c r="BB1039" s="2" t="s">
        <v>1698</v>
      </c>
    </row>
    <row r="1040" spans="1:57" ht="13.2" customHeight="1">
      <c r="A1040" s="11"/>
      <c r="B1040" s="44"/>
      <c r="C1040" s="1073"/>
      <c r="D1040" s="1739"/>
      <c r="E1040" s="1505"/>
      <c r="F1040" s="1505"/>
      <c r="G1040" s="1505"/>
      <c r="H1040" s="1505"/>
      <c r="I1040" s="1505"/>
      <c r="J1040" s="1505"/>
      <c r="K1040" s="1505"/>
      <c r="L1040" s="1505"/>
      <c r="M1040" s="1505"/>
      <c r="N1040" s="1505"/>
      <c r="O1040" s="1505"/>
      <c r="P1040" s="1505"/>
      <c r="Q1040" s="1505"/>
      <c r="R1040" s="1505"/>
      <c r="S1040" s="1505"/>
      <c r="T1040" s="1505"/>
      <c r="U1040" s="1505"/>
      <c r="V1040" s="1505"/>
      <c r="W1040" s="1505"/>
      <c r="X1040" s="1505"/>
      <c r="Y1040" s="1505"/>
      <c r="Z1040" s="1505"/>
      <c r="AA1040" s="1505"/>
      <c r="AB1040" s="1505"/>
      <c r="AC1040" s="1505"/>
      <c r="AD1040" s="1505"/>
      <c r="AE1040" s="1740"/>
      <c r="AF1040" s="44"/>
      <c r="AG1040" s="11"/>
      <c r="AH1040" s="11"/>
      <c r="AI1040" s="48"/>
      <c r="AJ1040" s="1665"/>
      <c r="AK1040" s="1666"/>
      <c r="AL1040" s="1666"/>
      <c r="AM1040" s="1666"/>
      <c r="AN1040" s="1666"/>
      <c r="AO1040" s="1666"/>
      <c r="AP1040" s="1666"/>
      <c r="AQ1040" s="1667"/>
      <c r="AR1040" s="1062"/>
      <c r="AS1040" s="1062"/>
      <c r="AT1040" s="1062"/>
      <c r="AU1040" s="1062"/>
      <c r="AV1040" s="1062"/>
      <c r="AW1040" s="1062"/>
      <c r="AX1040" s="1062"/>
      <c r="AY1040" s="1062"/>
      <c r="BA1040" t="b">
        <f>'Points System'!AJ164="Yes"</f>
        <v>0</v>
      </c>
      <c r="BB1040" s="2" t="s">
        <v>1699</v>
      </c>
    </row>
    <row r="1041" spans="1:56" ht="13.2" customHeight="1">
      <c r="A1041" s="11"/>
      <c r="B1041" s="47"/>
      <c r="C1041" s="1176" t="s">
        <v>1700</v>
      </c>
      <c r="D1041" s="1702" t="s">
        <v>1701</v>
      </c>
      <c r="E1041" s="1703"/>
      <c r="F1041" s="1703"/>
      <c r="G1041" s="1703"/>
      <c r="H1041" s="1703"/>
      <c r="I1041" s="1703"/>
      <c r="J1041" s="1703"/>
      <c r="K1041" s="1703"/>
      <c r="L1041" s="1703"/>
      <c r="M1041" s="1703"/>
      <c r="N1041" s="1703"/>
      <c r="O1041" s="1703"/>
      <c r="P1041" s="1703"/>
      <c r="Q1041" s="1703"/>
      <c r="R1041" s="1703"/>
      <c r="S1041" s="1703"/>
      <c r="T1041" s="1703"/>
      <c r="U1041" s="1703"/>
      <c r="V1041" s="1703"/>
      <c r="W1041" s="1703"/>
      <c r="X1041" s="1703"/>
      <c r="Y1041" s="1703"/>
      <c r="Z1041" s="1703"/>
      <c r="AA1041" s="1703"/>
      <c r="AB1041" s="1703"/>
      <c r="AC1041" s="1703"/>
      <c r="AD1041" s="1703"/>
      <c r="AE1041" s="1704"/>
      <c r="AF1041" s="47"/>
      <c r="AG1041" s="1688" t="s">
        <v>844</v>
      </c>
      <c r="AH1041" s="1689"/>
      <c r="AI1041" s="50"/>
      <c r="AJ1041" s="1662">
        <f>ROUND(IF(AG1041="yes",(AJ992*0.1),0),0)</f>
        <v>0</v>
      </c>
      <c r="AK1041" s="1663"/>
      <c r="AL1041" s="1663"/>
      <c r="AM1041" s="1663"/>
      <c r="AN1041" s="1663"/>
      <c r="AO1041" s="1663"/>
      <c r="AP1041" s="1663"/>
      <c r="AQ1041" s="1664"/>
      <c r="AR1041" s="1062"/>
      <c r="AS1041" s="1062"/>
      <c r="AT1041" s="1062"/>
      <c r="AU1041" s="1062"/>
      <c r="AV1041" s="1062"/>
      <c r="AW1041" s="1062"/>
      <c r="AX1041" s="1062"/>
      <c r="AY1041" s="1062"/>
      <c r="BA1041">
        <f>Q212</f>
        <v>0</v>
      </c>
      <c r="BB1041" s="2" t="s">
        <v>1702</v>
      </c>
    </row>
    <row r="1042" spans="1:56" ht="13.2" customHeight="1">
      <c r="A1042" s="11"/>
      <c r="B1042" s="44"/>
      <c r="C1042" s="1073"/>
      <c r="D1042" s="1637" t="s">
        <v>1703</v>
      </c>
      <c r="E1042" s="1638"/>
      <c r="F1042" s="1638"/>
      <c r="G1042" s="1638"/>
      <c r="H1042" s="1638"/>
      <c r="I1042" s="1638"/>
      <c r="J1042" s="1638"/>
      <c r="K1042" s="1638"/>
      <c r="L1042" s="1638"/>
      <c r="M1042" s="1638"/>
      <c r="N1042" s="1638"/>
      <c r="O1042" s="1638"/>
      <c r="P1042" s="1638"/>
      <c r="Q1042" s="1638"/>
      <c r="R1042" s="1638"/>
      <c r="S1042" s="1638"/>
      <c r="T1042" s="1638"/>
      <c r="U1042" s="1638"/>
      <c r="V1042" s="1638"/>
      <c r="W1042" s="1638"/>
      <c r="X1042" s="1638"/>
      <c r="Y1042" s="1638"/>
      <c r="Z1042" s="1638"/>
      <c r="AA1042" s="1638"/>
      <c r="AB1042" s="1638"/>
      <c r="AC1042" s="1638"/>
      <c r="AD1042" s="1638"/>
      <c r="AE1042" s="1639"/>
      <c r="AF1042" s="44"/>
      <c r="AG1042" s="11"/>
      <c r="AH1042" s="11"/>
      <c r="AI1042" s="48"/>
      <c r="AJ1042" s="1665"/>
      <c r="AK1042" s="1666"/>
      <c r="AL1042" s="1666"/>
      <c r="AM1042" s="1666"/>
      <c r="AN1042" s="1666"/>
      <c r="AO1042" s="1666"/>
      <c r="AP1042" s="1666"/>
      <c r="AQ1042" s="1667"/>
      <c r="AR1042" s="1062"/>
      <c r="AS1042" s="1062"/>
      <c r="AT1042" s="1062"/>
      <c r="AU1042" s="1062"/>
      <c r="AV1042" s="1062"/>
      <c r="AW1042" s="1062"/>
      <c r="AX1042" s="1062"/>
      <c r="AY1042" s="1062"/>
      <c r="BA1042" s="964">
        <f>T212</f>
        <v>0</v>
      </c>
      <c r="BB1042" s="2" t="s">
        <v>1704</v>
      </c>
    </row>
    <row r="1043" spans="1:56" ht="13.2" customHeight="1">
      <c r="A1043" s="11"/>
      <c r="B1043" s="44"/>
      <c r="C1043" s="1073"/>
      <c r="D1043" s="1637"/>
      <c r="E1043" s="1638"/>
      <c r="F1043" s="1638"/>
      <c r="G1043" s="1638"/>
      <c r="H1043" s="1638"/>
      <c r="I1043" s="1638"/>
      <c r="J1043" s="1638"/>
      <c r="K1043" s="1638"/>
      <c r="L1043" s="1638"/>
      <c r="M1043" s="1638"/>
      <c r="N1043" s="1638"/>
      <c r="O1043" s="1638"/>
      <c r="P1043" s="1638"/>
      <c r="Q1043" s="1638"/>
      <c r="R1043" s="1638"/>
      <c r="S1043" s="1638"/>
      <c r="T1043" s="1638"/>
      <c r="U1043" s="1638"/>
      <c r="V1043" s="1638"/>
      <c r="W1043" s="1638"/>
      <c r="X1043" s="1638"/>
      <c r="Y1043" s="1638"/>
      <c r="Z1043" s="1638"/>
      <c r="AA1043" s="1638"/>
      <c r="AB1043" s="1638"/>
      <c r="AC1043" s="1638"/>
      <c r="AD1043" s="1638"/>
      <c r="AE1043" s="1639"/>
      <c r="AF1043" s="44"/>
      <c r="AG1043" s="11"/>
      <c r="AH1043" s="11"/>
      <c r="AI1043" s="48"/>
      <c r="AJ1043" s="1665"/>
      <c r="AK1043" s="1666"/>
      <c r="AL1043" s="1666"/>
      <c r="AM1043" s="1666"/>
      <c r="AN1043" s="1666"/>
      <c r="AO1043" s="1666"/>
      <c r="AP1043" s="1666"/>
      <c r="AQ1043" s="1667"/>
      <c r="AR1043" s="1062"/>
      <c r="AS1043" s="1062"/>
      <c r="AT1043" s="1062"/>
      <c r="AU1043" s="1062"/>
      <c r="AV1043" s="1062"/>
      <c r="AW1043" s="1062"/>
      <c r="AX1043" s="1062"/>
      <c r="AY1043" s="1062"/>
    </row>
    <row r="1044" spans="1:56" ht="13.2" customHeight="1">
      <c r="A1044" s="11"/>
      <c r="B1044" s="44"/>
      <c r="C1044" s="1073"/>
      <c r="D1044" s="1680"/>
      <c r="E1044" s="1681"/>
      <c r="F1044" s="1681"/>
      <c r="G1044" s="1681"/>
      <c r="H1044" s="1681"/>
      <c r="I1044" s="1681"/>
      <c r="J1044" s="1681"/>
      <c r="K1044" s="1681"/>
      <c r="L1044" s="1681"/>
      <c r="M1044" s="1681"/>
      <c r="N1044" s="1681"/>
      <c r="O1044" s="1681"/>
      <c r="P1044" s="1681"/>
      <c r="Q1044" s="1681"/>
      <c r="R1044" s="1681"/>
      <c r="S1044" s="1681"/>
      <c r="T1044" s="1681"/>
      <c r="U1044" s="1681"/>
      <c r="V1044" s="1681"/>
      <c r="W1044" s="1681"/>
      <c r="X1044" s="1681"/>
      <c r="Y1044" s="1681"/>
      <c r="Z1044" s="1681"/>
      <c r="AA1044" s="1681"/>
      <c r="AB1044" s="1681"/>
      <c r="AC1044" s="1681"/>
      <c r="AD1044" s="1681"/>
      <c r="AE1044" s="1682"/>
      <c r="AF1044" s="44"/>
      <c r="AG1044" s="11"/>
      <c r="AH1044" s="11"/>
      <c r="AI1044" s="48"/>
      <c r="AJ1044" s="1668"/>
      <c r="AK1044" s="1669"/>
      <c r="AL1044" s="1669"/>
      <c r="AM1044" s="1669"/>
      <c r="AN1044" s="1669"/>
      <c r="AO1044" s="1669"/>
      <c r="AP1044" s="1669"/>
      <c r="AQ1044" s="1670"/>
      <c r="AR1044" s="1062"/>
      <c r="AS1044" s="1062"/>
      <c r="AT1044" s="1062"/>
      <c r="AU1044" s="1062"/>
      <c r="AV1044" s="1062"/>
      <c r="AW1044" s="1062"/>
      <c r="AX1044" s="1062"/>
      <c r="AY1044" s="1062"/>
    </row>
    <row r="1045" spans="1:56" ht="13.2" customHeight="1">
      <c r="A1045" s="11"/>
      <c r="B1045" s="47"/>
      <c r="C1045" s="1176" t="s">
        <v>1705</v>
      </c>
      <c r="D1045" s="1671" t="s">
        <v>1706</v>
      </c>
      <c r="E1045" s="1672"/>
      <c r="F1045" s="1672"/>
      <c r="G1045" s="1672"/>
      <c r="H1045" s="1672"/>
      <c r="I1045" s="1672"/>
      <c r="J1045" s="1672"/>
      <c r="K1045" s="1672"/>
      <c r="L1045" s="1672"/>
      <c r="M1045" s="1672"/>
      <c r="N1045" s="1672"/>
      <c r="O1045" s="1672"/>
      <c r="P1045" s="1672"/>
      <c r="Q1045" s="1672"/>
      <c r="R1045" s="1672"/>
      <c r="S1045" s="1672"/>
      <c r="T1045" s="1672"/>
      <c r="U1045" s="1672"/>
      <c r="V1045" s="1672"/>
      <c r="W1045" s="1672"/>
      <c r="X1045" s="1672"/>
      <c r="Y1045" s="1672"/>
      <c r="Z1045" s="1672"/>
      <c r="AA1045" s="1672"/>
      <c r="AB1045" s="1672"/>
      <c r="AC1045" s="1672"/>
      <c r="AD1045" s="1672"/>
      <c r="AE1045" s="1673"/>
      <c r="AF1045" s="47"/>
      <c r="AG1045" s="1686" t="str">
        <f>IF(X1048&gt;0,"Yes","No")</f>
        <v>Yes</v>
      </c>
      <c r="AH1045" s="1687"/>
      <c r="AI1045" s="50"/>
      <c r="AJ1045" s="1662">
        <f>IF((X1048=0),0,AY1005*AJ992)</f>
        <v>8459413.5999999996</v>
      </c>
      <c r="AK1045" s="1663"/>
      <c r="AL1045" s="1663"/>
      <c r="AM1045" s="1663"/>
      <c r="AN1045" s="1663"/>
      <c r="AO1045" s="1663"/>
      <c r="AP1045" s="1663"/>
      <c r="AQ1045" s="1664"/>
      <c r="AR1045" s="1062"/>
      <c r="AS1045" s="1062"/>
      <c r="AT1045" s="1062"/>
      <c r="AU1045" s="1062"/>
      <c r="AV1045" s="1062"/>
      <c r="AW1045" s="1062"/>
      <c r="AX1045" s="1062"/>
      <c r="AY1045" s="1062"/>
      <c r="AZ1045" s="96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1707</v>
      </c>
      <c r="BB1045" s="2"/>
      <c r="BC1045" s="2"/>
      <c r="BD1045" s="2"/>
    </row>
    <row r="1046" spans="1:56" ht="13.2" customHeight="1">
      <c r="A1046" s="11"/>
      <c r="B1046" s="44"/>
      <c r="C1046" s="308"/>
      <c r="D1046" s="1637" t="s">
        <v>1708</v>
      </c>
      <c r="E1046" s="1638"/>
      <c r="F1046" s="1638"/>
      <c r="G1046" s="1638"/>
      <c r="H1046" s="1638"/>
      <c r="I1046" s="1638"/>
      <c r="J1046" s="1638"/>
      <c r="K1046" s="1638"/>
      <c r="L1046" s="1638"/>
      <c r="M1046" s="1638"/>
      <c r="N1046" s="1638"/>
      <c r="O1046" s="1638"/>
      <c r="P1046" s="1638"/>
      <c r="Q1046" s="1638"/>
      <c r="R1046" s="1638"/>
      <c r="S1046" s="1638"/>
      <c r="T1046" s="1638"/>
      <c r="U1046" s="1638"/>
      <c r="V1046" s="1638"/>
      <c r="W1046" s="1638"/>
      <c r="X1046" s="1638"/>
      <c r="Y1046" s="1638"/>
      <c r="Z1046" s="1638"/>
      <c r="AA1046" s="1638"/>
      <c r="AB1046" s="1638"/>
      <c r="AC1046" s="1638"/>
      <c r="AD1046" s="1638"/>
      <c r="AE1046" s="1639"/>
      <c r="AF1046" s="44"/>
      <c r="AG1046" s="1079"/>
      <c r="AH1046" s="1079"/>
      <c r="AI1046" s="48"/>
      <c r="AJ1046" s="1665"/>
      <c r="AK1046" s="1666"/>
      <c r="AL1046" s="1666"/>
      <c r="AM1046" s="1666"/>
      <c r="AN1046" s="1666"/>
      <c r="AO1046" s="1666"/>
      <c r="AP1046" s="1666"/>
      <c r="AQ1046" s="1667"/>
      <c r="AR1046" s="1062"/>
      <c r="AS1046" s="1062"/>
      <c r="AT1046" s="1062"/>
      <c r="AU1046" s="1178"/>
      <c r="AV1046" s="1062"/>
      <c r="AW1046" s="1062"/>
      <c r="AX1046" s="1062"/>
      <c r="AY1046" s="1062"/>
      <c r="AZ1046" s="763">
        <f>'Sources and Uses Budget'!S97*BA1046</f>
        <v>9650909.0999999996</v>
      </c>
      <c r="BA1046" s="962">
        <f>IF(BA1040,20%,15%)</f>
        <v>0.15</v>
      </c>
      <c r="BB1046" s="2" t="s">
        <v>1709</v>
      </c>
      <c r="BC1046" s="2" t="s">
        <v>1710</v>
      </c>
      <c r="BD1046" s="2"/>
    </row>
    <row r="1047" spans="1:56" ht="13.2" customHeight="1">
      <c r="A1047" s="11"/>
      <c r="B1047" s="44"/>
      <c r="C1047" s="308"/>
      <c r="D1047" s="1637"/>
      <c r="E1047" s="1638"/>
      <c r="F1047" s="1638"/>
      <c r="G1047" s="1638"/>
      <c r="H1047" s="1638"/>
      <c r="I1047" s="1638"/>
      <c r="J1047" s="1638"/>
      <c r="K1047" s="1638"/>
      <c r="L1047" s="1638"/>
      <c r="M1047" s="1638"/>
      <c r="N1047" s="1638"/>
      <c r="O1047" s="1638"/>
      <c r="P1047" s="1638"/>
      <c r="Q1047" s="1638"/>
      <c r="R1047" s="1638"/>
      <c r="S1047" s="1638"/>
      <c r="T1047" s="1638"/>
      <c r="U1047" s="1638"/>
      <c r="V1047" s="1638"/>
      <c r="W1047" s="1638"/>
      <c r="X1047" s="1638"/>
      <c r="Y1047" s="1638"/>
      <c r="Z1047" s="1638"/>
      <c r="AA1047" s="1638"/>
      <c r="AB1047" s="1638"/>
      <c r="AC1047" s="1638"/>
      <c r="AD1047" s="1638"/>
      <c r="AE1047" s="1639"/>
      <c r="AF1047" s="44"/>
      <c r="AG1047" s="1079"/>
      <c r="AH1047" s="1079"/>
      <c r="AI1047" s="48"/>
      <c r="AJ1047" s="1665"/>
      <c r="AK1047" s="1666"/>
      <c r="AL1047" s="1666"/>
      <c r="AM1047" s="1666"/>
      <c r="AN1047" s="1666"/>
      <c r="AO1047" s="1666"/>
      <c r="AP1047" s="1666"/>
      <c r="AQ1047" s="1667"/>
      <c r="AR1047" s="1062"/>
      <c r="AS1047" s="1062"/>
      <c r="AT1047" s="1062"/>
      <c r="AU1047" s="1178"/>
      <c r="AV1047" s="1062"/>
      <c r="AW1047" s="1062"/>
      <c r="AX1047" s="1062"/>
      <c r="AY1047" s="1062"/>
      <c r="AZ1047" s="763">
        <f>IF(M356="N/A",0,'Sources and Uses Budget'!T97*BA1047)</f>
        <v>0</v>
      </c>
      <c r="BA1047" s="962">
        <v>0.15</v>
      </c>
      <c r="BB1047" s="2" t="s">
        <v>1709</v>
      </c>
      <c r="BC1047" s="2" t="s">
        <v>1711</v>
      </c>
      <c r="BD1047" s="2"/>
    </row>
    <row r="1048" spans="1:56" ht="13.2" customHeight="1">
      <c r="A1048" s="11"/>
      <c r="B1048" s="45"/>
      <c r="C1048" s="46"/>
      <c r="D1048" s="76" t="s">
        <v>1712</v>
      </c>
      <c r="E1048" s="5"/>
      <c r="F1048" s="5"/>
      <c r="G1048" s="5"/>
      <c r="H1048" s="5"/>
      <c r="I1048" s="1723">
        <f>AY1003</f>
        <v>99</v>
      </c>
      <c r="J1048" s="1724"/>
      <c r="K1048" s="5"/>
      <c r="L1048" s="5"/>
      <c r="M1048" s="5"/>
      <c r="N1048" s="5"/>
      <c r="O1048" s="5"/>
      <c r="P1048" s="5"/>
      <c r="Q1048" s="5"/>
      <c r="R1048" s="5"/>
      <c r="S1048" s="5"/>
      <c r="T1048" s="5"/>
      <c r="U1048" s="5"/>
      <c r="V1048" s="77" t="s">
        <v>1713</v>
      </c>
      <c r="W1048" s="32"/>
      <c r="X1048" s="1686">
        <f>CI753</f>
        <v>11</v>
      </c>
      <c r="Y1048" s="1687"/>
      <c r="Z1048" s="32"/>
      <c r="AA1048" s="32"/>
      <c r="AB1048" s="32"/>
      <c r="AC1048" s="32"/>
      <c r="AD1048" s="32"/>
      <c r="AE1048" s="33"/>
      <c r="AF1048" s="730"/>
      <c r="AG1048" s="731"/>
      <c r="AH1048" s="731"/>
      <c r="AI1048" s="732"/>
      <c r="AJ1048" s="1668"/>
      <c r="AK1048" s="1669"/>
      <c r="AL1048" s="1669"/>
      <c r="AM1048" s="1669"/>
      <c r="AN1048" s="1669"/>
      <c r="AO1048" s="1669"/>
      <c r="AP1048" s="1669"/>
      <c r="AQ1048" s="1670"/>
      <c r="AR1048" s="1062"/>
      <c r="AS1048" s="1062"/>
      <c r="AT1048" s="1062"/>
      <c r="AU1048" s="11"/>
      <c r="AV1048" s="1062"/>
      <c r="AW1048" s="1062"/>
      <c r="AX1048" s="1062"/>
      <c r="AY1048" s="1062"/>
      <c r="AZ1048" s="763">
        <f>IF(M358="N/A",0,'Sources and Uses Budget'!T97*BA1048)</f>
        <v>0</v>
      </c>
      <c r="BA1048" s="962" cm="1">
        <f t="array" ref="BA1048">_xlfn.IFS(X180="Yes",5%,$BA$1038&gt;50000,15%,BA1039&gt;=30%,15%,TRUE,5%)</f>
        <v>0.05</v>
      </c>
      <c r="BB1048" s="2" t="s">
        <v>1709</v>
      </c>
      <c r="BC1048" s="2" t="s">
        <v>1714</v>
      </c>
      <c r="BD1048" s="2"/>
    </row>
    <row r="1049" spans="1:56" ht="13.2" customHeight="1">
      <c r="A1049" s="11"/>
      <c r="B1049" s="47"/>
      <c r="C1049" s="1176" t="s">
        <v>1715</v>
      </c>
      <c r="D1049" s="1702" t="s">
        <v>1716</v>
      </c>
      <c r="E1049" s="1703"/>
      <c r="F1049" s="1703"/>
      <c r="G1049" s="1703"/>
      <c r="H1049" s="1703"/>
      <c r="I1049" s="1703"/>
      <c r="J1049" s="1703"/>
      <c r="K1049" s="1703"/>
      <c r="L1049" s="1703"/>
      <c r="M1049" s="1703"/>
      <c r="N1049" s="1703"/>
      <c r="O1049" s="1703"/>
      <c r="P1049" s="1703"/>
      <c r="Q1049" s="1703"/>
      <c r="R1049" s="1703"/>
      <c r="S1049" s="1703"/>
      <c r="T1049" s="1703"/>
      <c r="U1049" s="1703"/>
      <c r="V1049" s="1703"/>
      <c r="W1049" s="1703"/>
      <c r="X1049" s="1703"/>
      <c r="Y1049" s="1703"/>
      <c r="Z1049" s="1703"/>
      <c r="AA1049" s="1703"/>
      <c r="AB1049" s="1703"/>
      <c r="AC1049" s="1703"/>
      <c r="AD1049" s="1703"/>
      <c r="AE1049" s="1704"/>
      <c r="AF1049" s="44"/>
      <c r="AG1049" s="1686" t="str">
        <f>IF(X1052&gt;0,"Yes","No")</f>
        <v>Yes</v>
      </c>
      <c r="AH1049" s="1687"/>
      <c r="AI1049" s="48"/>
      <c r="AJ1049" s="1662">
        <f>IF((X1052=0),0,(2*AY1006)*AJ992)</f>
        <v>16918827.199999999</v>
      </c>
      <c r="AK1049" s="1663"/>
      <c r="AL1049" s="1663"/>
      <c r="AM1049" s="1663"/>
      <c r="AN1049" s="1663"/>
      <c r="AO1049" s="1663"/>
      <c r="AP1049" s="1663"/>
      <c r="AQ1049" s="1664"/>
      <c r="AR1049" s="1062"/>
      <c r="AS1049" s="1062"/>
      <c r="AT1049" s="1062"/>
      <c r="AU1049" s="11"/>
      <c r="AV1049" s="1062"/>
      <c r="AW1049" s="1062"/>
      <c r="AX1049" s="1062"/>
      <c r="AY1049" s="1062"/>
      <c r="AZ1049" s="763">
        <f>AZ1045*BA1049</f>
        <v>0</v>
      </c>
      <c r="BA1049" s="962">
        <v>0.15</v>
      </c>
      <c r="BB1049" s="2" t="s">
        <v>1709</v>
      </c>
      <c r="BC1049" s="2" t="s">
        <v>1717</v>
      </c>
      <c r="BD1049" s="2"/>
    </row>
    <row r="1050" spans="1:56" ht="13.2" customHeight="1">
      <c r="A1050" s="11"/>
      <c r="B1050" s="44"/>
      <c r="C1050" s="308"/>
      <c r="D1050" s="1637" t="s">
        <v>1718</v>
      </c>
      <c r="E1050" s="1638"/>
      <c r="F1050" s="1638"/>
      <c r="G1050" s="1638"/>
      <c r="H1050" s="1638"/>
      <c r="I1050" s="1638"/>
      <c r="J1050" s="1638"/>
      <c r="K1050" s="1638"/>
      <c r="L1050" s="1638"/>
      <c r="M1050" s="1638"/>
      <c r="N1050" s="1638"/>
      <c r="O1050" s="1638"/>
      <c r="P1050" s="1638"/>
      <c r="Q1050" s="1638"/>
      <c r="R1050" s="1638"/>
      <c r="S1050" s="1638"/>
      <c r="T1050" s="1638"/>
      <c r="U1050" s="1638"/>
      <c r="V1050" s="1638"/>
      <c r="W1050" s="1638"/>
      <c r="X1050" s="1638"/>
      <c r="Y1050" s="1638"/>
      <c r="Z1050" s="1638"/>
      <c r="AA1050" s="1638"/>
      <c r="AB1050" s="1638"/>
      <c r="AC1050" s="1638"/>
      <c r="AD1050" s="1638"/>
      <c r="AE1050" s="1639"/>
      <c r="AF1050" s="44"/>
      <c r="AG1050" s="1079"/>
      <c r="AH1050" s="1079"/>
      <c r="AI1050" s="48"/>
      <c r="AJ1050" s="1665"/>
      <c r="AK1050" s="1666"/>
      <c r="AL1050" s="1666"/>
      <c r="AM1050" s="1666"/>
      <c r="AN1050" s="1666"/>
      <c r="AO1050" s="1666"/>
      <c r="AP1050" s="1666"/>
      <c r="AQ1050" s="1667"/>
      <c r="AR1050" s="1062"/>
      <c r="AS1050" s="1062"/>
      <c r="AT1050" s="1062"/>
      <c r="AU1050" s="1062"/>
      <c r="AV1050" s="1062"/>
      <c r="AW1050" s="1062"/>
      <c r="AX1050" s="1062"/>
      <c r="AY1050" s="1062"/>
      <c r="AZ1050" s="763"/>
      <c r="BA1050" s="2"/>
      <c r="BB1050" s="2"/>
      <c r="BC1050" s="2"/>
      <c r="BD1050" s="2"/>
    </row>
    <row r="1051" spans="1:56" ht="13.2" customHeight="1">
      <c r="A1051" s="11"/>
      <c r="B1051" s="44"/>
      <c r="C1051" s="48"/>
      <c r="D1051" s="1637"/>
      <c r="E1051" s="1638"/>
      <c r="F1051" s="1638"/>
      <c r="G1051" s="1638"/>
      <c r="H1051" s="1638"/>
      <c r="I1051" s="1638"/>
      <c r="J1051" s="1638"/>
      <c r="K1051" s="1638"/>
      <c r="L1051" s="1638"/>
      <c r="M1051" s="1638"/>
      <c r="N1051" s="1638"/>
      <c r="O1051" s="1638"/>
      <c r="P1051" s="1638"/>
      <c r="Q1051" s="1638"/>
      <c r="R1051" s="1638"/>
      <c r="S1051" s="1638"/>
      <c r="T1051" s="1638"/>
      <c r="U1051" s="1638"/>
      <c r="V1051" s="1638"/>
      <c r="W1051" s="1638"/>
      <c r="X1051" s="1638"/>
      <c r="Y1051" s="1638"/>
      <c r="Z1051" s="1638"/>
      <c r="AA1051" s="1638"/>
      <c r="AB1051" s="1638"/>
      <c r="AC1051" s="1638"/>
      <c r="AD1051" s="1638"/>
      <c r="AE1051" s="1639"/>
      <c r="AF1051" s="727"/>
      <c r="AG1051" s="728"/>
      <c r="AH1051" s="728"/>
      <c r="AI1051" s="729"/>
      <c r="AJ1051" s="1665"/>
      <c r="AK1051" s="1666"/>
      <c r="AL1051" s="1666"/>
      <c r="AM1051" s="1666"/>
      <c r="AN1051" s="1666"/>
      <c r="AO1051" s="1666"/>
      <c r="AP1051" s="1666"/>
      <c r="AQ1051" s="1667"/>
      <c r="AR1051" s="1062"/>
      <c r="AS1051" s="1062"/>
      <c r="AT1051" s="1062"/>
      <c r="AU1051" s="1062"/>
      <c r="AV1051" s="1062"/>
      <c r="AW1051" s="1062"/>
      <c r="AX1051" s="1062"/>
      <c r="AY1051" s="1062"/>
      <c r="AZ1051" s="763">
        <f>ROUNDDOWN(MIN(SUM(AZ1046,AZ1047,AZ1048,AZ1049),BD1051),0)</f>
        <v>2500000</v>
      </c>
      <c r="BA1051" s="2" t="s">
        <v>1719</v>
      </c>
      <c r="BB1051" s="2"/>
      <c r="BC1051" s="2"/>
      <c r="BD1051" s="2" cm="1">
        <f t="array" ref="BD1051">_xlfn.IFS(BA1040,3000000,AND(BA1041&gt;=25%,BA1042&gt;=15),2800000,TRUE,2500000)</f>
        <v>2500000</v>
      </c>
    </row>
    <row r="1052" spans="1:56" ht="13.2" customHeight="1">
      <c r="A1052" s="11"/>
      <c r="B1052" s="45"/>
      <c r="C1052" s="46"/>
      <c r="D1052" s="76" t="s">
        <v>1712</v>
      </c>
      <c r="E1052" s="5"/>
      <c r="F1052" s="5"/>
      <c r="G1052" s="5"/>
      <c r="H1052" s="5"/>
      <c r="I1052" s="1723">
        <f>AY1003</f>
        <v>99</v>
      </c>
      <c r="J1052" s="1724"/>
      <c r="K1052" s="11"/>
      <c r="L1052" s="5"/>
      <c r="M1052" s="5"/>
      <c r="N1052" s="5"/>
      <c r="O1052" s="5"/>
      <c r="P1052" s="5"/>
      <c r="Q1052" s="5"/>
      <c r="R1052" s="5"/>
      <c r="S1052" s="5"/>
      <c r="T1052" s="5"/>
      <c r="U1052" s="5"/>
      <c r="V1052" s="77" t="s">
        <v>1720</v>
      </c>
      <c r="X1052" s="1686">
        <f>CM753</f>
        <v>11</v>
      </c>
      <c r="Y1052" s="1687"/>
      <c r="AF1052" s="730"/>
      <c r="AG1052" s="731"/>
      <c r="AH1052" s="731"/>
      <c r="AI1052" s="732"/>
      <c r="AJ1052" s="1668"/>
      <c r="AK1052" s="1669"/>
      <c r="AL1052" s="1669"/>
      <c r="AM1052" s="1669"/>
      <c r="AN1052" s="1669"/>
      <c r="AO1052" s="1669"/>
      <c r="AP1052" s="1669"/>
      <c r="AQ1052" s="1670"/>
      <c r="AR1052" s="1062"/>
      <c r="AS1052" s="1062"/>
      <c r="AT1052" s="1062"/>
      <c r="AU1052" s="1062"/>
      <c r="AV1052" s="1062"/>
      <c r="AW1052" s="1062"/>
      <c r="AX1052" s="1062"/>
      <c r="AY1052" s="1062"/>
      <c r="AZ1052" s="763">
        <f>ROUNDDOWN(MAX(0,BA1052*(SUM(AG1093,AL1093,AZ1045)-BD1052))+BF1052,0)</f>
        <v>0</v>
      </c>
      <c r="BA1052" s="962">
        <f>IF(L1042,7%,5%)</f>
        <v>0.05</v>
      </c>
      <c r="BB1052" s="2" t="s">
        <v>1721</v>
      </c>
      <c r="BC1052" s="2"/>
      <c r="BD1052" s="2">
        <v>6666667</v>
      </c>
    </row>
    <row r="1053" spans="1:56" ht="13.2" customHeight="1">
      <c r="A1053" s="11"/>
      <c r="B1053" s="61"/>
      <c r="C1053" s="1080"/>
      <c r="D1053" s="1721" t="s">
        <v>1722</v>
      </c>
      <c r="E1053" s="1721"/>
      <c r="F1053" s="1721"/>
      <c r="G1053" s="1721"/>
      <c r="H1053" s="1721"/>
      <c r="I1053" s="1721"/>
      <c r="J1053" s="1721"/>
      <c r="K1053" s="1721"/>
      <c r="L1053" s="1721"/>
      <c r="M1053" s="1721"/>
      <c r="N1053" s="1721"/>
      <c r="O1053" s="1721"/>
      <c r="P1053" s="1721"/>
      <c r="Q1053" s="1721"/>
      <c r="R1053" s="1721"/>
      <c r="S1053" s="1721"/>
      <c r="T1053" s="1721"/>
      <c r="U1053" s="1721"/>
      <c r="V1053" s="1721"/>
      <c r="W1053" s="1721"/>
      <c r="X1053" s="1721"/>
      <c r="Y1053" s="1721"/>
      <c r="Z1053" s="1721"/>
      <c r="AA1053" s="1721"/>
      <c r="AB1053" s="1721"/>
      <c r="AC1053" s="1721"/>
      <c r="AD1053" s="1721"/>
      <c r="AE1053" s="1721"/>
      <c r="AF1053" s="1721"/>
      <c r="AG1053" s="1721"/>
      <c r="AH1053" s="1721"/>
      <c r="AI1053" s="1722"/>
      <c r="AJ1053" s="1734">
        <f>SUM(AJ992:AQ1052)</f>
        <v>110994189.8</v>
      </c>
      <c r="AK1053" s="1735"/>
      <c r="AL1053" s="1735"/>
      <c r="AM1053" s="1735"/>
      <c r="AN1053" s="1735"/>
      <c r="AO1053" s="1735"/>
      <c r="AP1053" s="1735"/>
      <c r="AQ1053" s="1736"/>
      <c r="AR1053" s="1062"/>
      <c r="AS1053" s="1062"/>
      <c r="AT1053" s="1062"/>
      <c r="AU1053" s="1062"/>
      <c r="AV1053" s="1062"/>
      <c r="AW1053" s="1062"/>
      <c r="AX1053" s="1062"/>
      <c r="AY1053" s="1062"/>
      <c r="AZ1053" s="961">
        <v>6000000</v>
      </c>
      <c r="BA1053" s="2" t="s">
        <v>1723</v>
      </c>
      <c r="BB1053" s="2"/>
      <c r="BC1053" s="2"/>
      <c r="BD1053" s="2"/>
    </row>
    <row r="1054" spans="1:56" ht="13.2" customHeight="1">
      <c r="A1054" s="11"/>
      <c r="B1054" s="11"/>
      <c r="C1054" s="1081"/>
      <c r="D1054" s="1082"/>
      <c r="E1054" s="1082"/>
      <c r="F1054" s="1082"/>
      <c r="G1054" s="1082"/>
      <c r="H1054" s="1082"/>
      <c r="I1054" s="1082"/>
      <c r="J1054" s="1082"/>
      <c r="K1054" s="1082"/>
      <c r="L1054" s="1082"/>
      <c r="M1054" s="1082"/>
      <c r="N1054" s="1082"/>
      <c r="O1054" s="1082"/>
      <c r="P1054" s="1082"/>
      <c r="Q1054" s="1082"/>
      <c r="R1054" s="1082"/>
      <c r="S1054" s="1082"/>
      <c r="T1054" s="1083"/>
      <c r="U1054" s="1083"/>
      <c r="V1054" s="1083"/>
      <c r="W1054" s="1083"/>
      <c r="X1054" s="1083"/>
      <c r="Y1054" s="1083"/>
      <c r="Z1054" s="1083"/>
      <c r="AA1054" s="1083"/>
      <c r="AB1054" s="1083"/>
      <c r="AC1054" s="1083"/>
      <c r="AD1054" s="116"/>
      <c r="AE1054" s="116"/>
      <c r="AF1054" s="116"/>
      <c r="AG1054" s="116"/>
      <c r="AH1054" s="116"/>
      <c r="AI1054" s="116"/>
      <c r="AJ1054" s="116"/>
      <c r="AK1054" s="116"/>
      <c r="AL1054" s="1062"/>
      <c r="AM1054" s="1062"/>
      <c r="AN1054" s="1062"/>
      <c r="AO1054" s="1062"/>
      <c r="AP1054" s="1062"/>
      <c r="AQ1054" s="1062"/>
      <c r="AR1054" s="1062"/>
      <c r="AS1054" s="1062"/>
      <c r="AT1054" s="1062"/>
      <c r="AU1054" s="1062"/>
      <c r="AV1054" s="1062"/>
      <c r="AW1054" s="1062"/>
      <c r="AX1054" s="1062"/>
      <c r="AY1054" s="1062"/>
      <c r="AZ1054" s="2"/>
      <c r="BA1054" s="2"/>
      <c r="BB1054" s="2"/>
      <c r="BC1054" s="2"/>
      <c r="BD1054" s="2"/>
    </row>
    <row r="1055" spans="1:56" ht="13.2" customHeight="1">
      <c r="A1055" s="11"/>
      <c r="B1055" s="1062"/>
      <c r="C1055" s="1062"/>
      <c r="D1055" s="1062"/>
      <c r="E1055" s="1062"/>
      <c r="F1055" s="1062"/>
      <c r="G1055" s="953" t="s">
        <v>1724</v>
      </c>
      <c r="H1055" s="954"/>
      <c r="I1055" s="954"/>
      <c r="J1055" s="954"/>
      <c r="K1055" s="954"/>
      <c r="L1055" s="954"/>
      <c r="M1055" s="954"/>
      <c r="N1055" s="954"/>
      <c r="O1055" s="954"/>
      <c r="P1055" s="954"/>
      <c r="Q1055" s="954"/>
      <c r="R1055" s="954"/>
      <c r="S1055" s="954"/>
      <c r="T1055" s="954"/>
      <c r="U1055" s="954"/>
      <c r="V1055" s="954"/>
      <c r="W1055" s="954"/>
      <c r="X1055" s="954"/>
      <c r="Y1055" s="954"/>
      <c r="Z1055" s="954"/>
      <c r="AA1055" s="954"/>
      <c r="AB1055" s="954"/>
      <c r="AC1055" s="954"/>
      <c r="AD1055" s="954"/>
      <c r="AE1055" s="954"/>
      <c r="AF1055" s="954"/>
      <c r="AG1055" s="955"/>
      <c r="AH1055" s="955"/>
      <c r="AI1055" s="955"/>
      <c r="AJ1055" s="955"/>
      <c r="AK1055" s="955"/>
      <c r="AL1055" s="955"/>
      <c r="AM1055" s="955"/>
      <c r="AN1055" s="955"/>
      <c r="AO1055" s="1062"/>
      <c r="AP1055" s="1062"/>
      <c r="AQ1055" s="1062"/>
      <c r="AR1055" s="1062"/>
      <c r="AS1055" s="1062"/>
      <c r="AT1055" s="1062"/>
      <c r="AU1055" s="1062"/>
      <c r="AV1055" s="1062"/>
      <c r="AW1055" s="1062"/>
      <c r="AX1055" s="1062"/>
      <c r="AY1055" s="1062"/>
      <c r="AZ1055" s="2"/>
      <c r="BA1055" s="763">
        <f>MIN(MIN(MAX(AZ1051,AZ1052),AZ1053),BA1056)</f>
        <v>2500000</v>
      </c>
      <c r="BB1055" s="2" t="s">
        <v>1725</v>
      </c>
      <c r="BC1055" s="2"/>
      <c r="BD1055" s="2"/>
    </row>
    <row r="1056" spans="1:56" ht="13.2" customHeight="1">
      <c r="A1056" s="11"/>
      <c r="B1056" s="1062"/>
      <c r="C1056" s="1062"/>
      <c r="D1056" s="1062"/>
      <c r="E1056" s="1062"/>
      <c r="F1056" s="1062"/>
      <c r="G1056" s="956" t="s">
        <v>1726</v>
      </c>
      <c r="H1056" s="957"/>
      <c r="I1056" s="957"/>
      <c r="J1056" s="957"/>
      <c r="K1056" s="957"/>
      <c r="L1056" s="957"/>
      <c r="M1056" s="957"/>
      <c r="N1056" s="957"/>
      <c r="O1056" s="957"/>
      <c r="P1056" s="957"/>
      <c r="Q1056" s="957"/>
      <c r="R1056" s="957"/>
      <c r="S1056" s="957"/>
      <c r="T1056" s="957"/>
      <c r="U1056" s="957"/>
      <c r="V1056" s="957"/>
      <c r="W1056" s="957"/>
      <c r="X1056" s="957"/>
      <c r="Y1056" s="957"/>
      <c r="Z1056" s="957"/>
      <c r="AA1056" s="1304">
        <f>'Sources and Uses Budget'!S107+'Sources and Uses Budget'!T107</f>
        <v>73990303</v>
      </c>
      <c r="AB1056" s="1304"/>
      <c r="AC1056" s="1304"/>
      <c r="AD1056" s="1304"/>
      <c r="AE1056" s="1304"/>
      <c r="AF1056" s="1304"/>
      <c r="AG1056" s="955"/>
      <c r="AH1056" s="955"/>
      <c r="AI1056" s="955"/>
      <c r="AJ1056" s="955"/>
      <c r="AK1056" s="955"/>
      <c r="AL1056" s="955"/>
      <c r="AM1056" s="955"/>
      <c r="AN1056" s="955"/>
      <c r="AO1056" s="1062"/>
      <c r="AP1056" s="1062"/>
      <c r="AQ1056" s="1062"/>
      <c r="AR1056" s="1062"/>
      <c r="AS1056" s="1062"/>
      <c r="AT1056" s="1062"/>
      <c r="AU1056" s="1062"/>
      <c r="AV1056" s="1178"/>
      <c r="AW1056" s="1178"/>
      <c r="AX1056" s="1178"/>
      <c r="AY1056" s="1178"/>
      <c r="AZ1056" s="2"/>
      <c r="BA1056" s="763">
        <f>SUM(AZ1046:AZ1049)</f>
        <v>9650909.0999999996</v>
      </c>
      <c r="BB1056" s="2" t="s">
        <v>1727</v>
      </c>
      <c r="BC1056" s="2"/>
      <c r="BD1056" s="2"/>
    </row>
    <row r="1057" spans="1:54" ht="13.2" customHeight="1">
      <c r="A1057" s="11"/>
      <c r="B1057" s="1062"/>
      <c r="C1057" s="1062"/>
      <c r="D1057" s="1062"/>
      <c r="E1057" s="1062"/>
      <c r="F1057" s="1062"/>
      <c r="G1057" s="956"/>
      <c r="H1057" s="956" t="s">
        <v>1728</v>
      </c>
      <c r="I1057" s="957"/>
      <c r="J1057" s="957"/>
      <c r="K1057" s="957"/>
      <c r="L1057" s="957"/>
      <c r="M1057" s="957"/>
      <c r="N1057" s="957"/>
      <c r="O1057" s="957"/>
      <c r="P1057" s="957"/>
      <c r="Q1057" s="957"/>
      <c r="R1057" s="957"/>
      <c r="S1057" s="957"/>
      <c r="T1057" s="957"/>
      <c r="U1057" s="957"/>
      <c r="V1057" s="957"/>
      <c r="W1057" s="957"/>
      <c r="X1057" s="957"/>
      <c r="Y1057" s="957"/>
      <c r="Z1057" s="959"/>
      <c r="AA1057" s="1305">
        <f>IFERROR((AA1056-BA1059)/(AJ1053-AJ1045-AJ1049),"")</f>
        <v>0.78068858408612629</v>
      </c>
      <c r="AB1057" s="1306"/>
      <c r="AC1057" s="1306"/>
      <c r="AD1057" s="1306"/>
      <c r="AE1057" s="1306"/>
      <c r="AF1057" s="1307"/>
      <c r="AG1057" s="958"/>
      <c r="AH1057" s="955"/>
      <c r="AI1057" s="955"/>
      <c r="AJ1057" s="955"/>
      <c r="AK1057" s="955"/>
      <c r="AL1057" s="955"/>
      <c r="AM1057" s="955"/>
      <c r="AN1057" s="955"/>
      <c r="AO1057" s="1062"/>
      <c r="AP1057" s="1062"/>
      <c r="AQ1057" s="1062"/>
      <c r="AR1057" s="1062"/>
      <c r="AS1057" s="1062"/>
      <c r="AT1057" s="1062"/>
      <c r="AU1057" s="1062"/>
      <c r="AV1057" s="1178"/>
      <c r="AW1057" s="1178"/>
      <c r="AX1057" s="1178"/>
      <c r="AY1057" s="1178"/>
    </row>
    <row r="1058" spans="1:54" ht="13.2" customHeight="1">
      <c r="A1058" s="11"/>
      <c r="B1058" s="1062"/>
      <c r="C1058" s="1062"/>
      <c r="D1058" s="1062"/>
      <c r="E1058" s="1062"/>
      <c r="F1058" s="1062"/>
      <c r="G1058" s="130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8"/>
      <c r="I1058" s="1308"/>
      <c r="J1058" s="1308"/>
      <c r="K1058" s="1308"/>
      <c r="L1058" s="1308"/>
      <c r="M1058" s="1308"/>
      <c r="N1058" s="1308"/>
      <c r="O1058" s="1308"/>
      <c r="P1058" s="1308"/>
      <c r="Q1058" s="1308"/>
      <c r="R1058" s="1308"/>
      <c r="S1058" s="1308"/>
      <c r="T1058" s="1308"/>
      <c r="U1058" s="1308"/>
      <c r="V1058" s="1308"/>
      <c r="W1058" s="1308"/>
      <c r="X1058" s="1308"/>
      <c r="Y1058" s="1308"/>
      <c r="Z1058" s="1308"/>
      <c r="AA1058" s="1308"/>
      <c r="AB1058" s="1308"/>
      <c r="AC1058" s="1308"/>
      <c r="AD1058" s="1308"/>
      <c r="AE1058" s="1308"/>
      <c r="AF1058" s="1308"/>
      <c r="AG1058" s="1308"/>
      <c r="AH1058" s="1308"/>
      <c r="AI1058" s="1308"/>
      <c r="AJ1058" s="1308"/>
      <c r="AK1058" s="1308"/>
      <c r="AL1058" s="1308"/>
      <c r="AM1058" s="1308"/>
      <c r="AN1058" s="1308"/>
      <c r="AO1058" s="1062"/>
      <c r="AP1058" s="1062"/>
      <c r="AQ1058" s="1062"/>
      <c r="AR1058" s="1062"/>
      <c r="AS1058" s="1062"/>
      <c r="AT1058" s="1062"/>
      <c r="AU1058" s="1062"/>
      <c r="AV1058" s="11"/>
      <c r="AW1058" s="11"/>
      <c r="AX1058" s="11"/>
      <c r="AY1058" s="11"/>
      <c r="BA1058" s="965">
        <f>'Sources and Uses Budget'!$S$104+'Sources and Uses Budget'!$T$104</f>
        <v>9650909</v>
      </c>
      <c r="BB1058" s="2" t="s">
        <v>1729</v>
      </c>
    </row>
    <row r="1059" spans="1:54" ht="13.2" customHeight="1">
      <c r="A1059" s="11"/>
      <c r="B1059" s="11"/>
      <c r="C1059" s="1081"/>
      <c r="D1059" s="1084"/>
      <c r="E1059" s="1084"/>
      <c r="F1059" s="1084"/>
      <c r="G1059" s="1308"/>
      <c r="H1059" s="1308"/>
      <c r="I1059" s="1308"/>
      <c r="J1059" s="1308"/>
      <c r="K1059" s="1308"/>
      <c r="L1059" s="1308"/>
      <c r="M1059" s="1308"/>
      <c r="N1059" s="1308"/>
      <c r="O1059" s="1308"/>
      <c r="P1059" s="1308"/>
      <c r="Q1059" s="1308"/>
      <c r="R1059" s="1308"/>
      <c r="S1059" s="1308"/>
      <c r="T1059" s="1308"/>
      <c r="U1059" s="1308"/>
      <c r="V1059" s="1308"/>
      <c r="W1059" s="1308"/>
      <c r="X1059" s="1308"/>
      <c r="Y1059" s="1308"/>
      <c r="Z1059" s="1308"/>
      <c r="AA1059" s="1308"/>
      <c r="AB1059" s="1308"/>
      <c r="AC1059" s="1308"/>
      <c r="AD1059" s="1308"/>
      <c r="AE1059" s="1308"/>
      <c r="AF1059" s="1308"/>
      <c r="AG1059" s="1308"/>
      <c r="AH1059" s="1308"/>
      <c r="AI1059" s="1308"/>
      <c r="AJ1059" s="1308"/>
      <c r="AK1059" s="1308"/>
      <c r="AL1059" s="1308"/>
      <c r="AM1059" s="1308"/>
      <c r="AN1059" s="1308"/>
      <c r="AO1059" s="1062"/>
      <c r="AP1059" s="1062"/>
      <c r="AQ1059" s="1062"/>
      <c r="AR1059" s="1062"/>
      <c r="AS1059" s="1062"/>
      <c r="AT1059" s="1062"/>
      <c r="AU1059" s="1062"/>
      <c r="AV1059" s="11"/>
      <c r="AW1059" s="11"/>
      <c r="AX1059" s="11"/>
      <c r="AY1059" s="11"/>
      <c r="BA1059" s="966">
        <f>MAX($BA$1058-$BA$1055,0)</f>
        <v>7150909</v>
      </c>
      <c r="BB1059" s="2" t="s">
        <v>1730</v>
      </c>
    </row>
    <row r="1060" spans="1:54" ht="13.2" customHeight="1">
      <c r="A1060" s="1085"/>
      <c r="B1060" s="952"/>
      <c r="C1060" s="952"/>
      <c r="D1060" s="952"/>
      <c r="E1060" s="952"/>
      <c r="F1060" s="952"/>
      <c r="G1060" s="1308"/>
      <c r="H1060" s="1308"/>
      <c r="I1060" s="1308"/>
      <c r="J1060" s="1308"/>
      <c r="K1060" s="1308"/>
      <c r="L1060" s="1308"/>
      <c r="M1060" s="1308"/>
      <c r="N1060" s="1308"/>
      <c r="O1060" s="1308"/>
      <c r="P1060" s="1308"/>
      <c r="Q1060" s="1308"/>
      <c r="R1060" s="1308"/>
      <c r="S1060" s="1308"/>
      <c r="T1060" s="1308"/>
      <c r="U1060" s="1308"/>
      <c r="V1060" s="1308"/>
      <c r="W1060" s="1308"/>
      <c r="X1060" s="1308"/>
      <c r="Y1060" s="1308"/>
      <c r="Z1060" s="1308"/>
      <c r="AA1060" s="1308"/>
      <c r="AB1060" s="1308"/>
      <c r="AC1060" s="1308"/>
      <c r="AD1060" s="1308"/>
      <c r="AE1060" s="1308"/>
      <c r="AF1060" s="1308"/>
      <c r="AG1060" s="1308"/>
      <c r="AH1060" s="1308"/>
      <c r="AI1060" s="1308"/>
      <c r="AJ1060" s="1308"/>
      <c r="AK1060" s="1308"/>
      <c r="AL1060" s="1308"/>
      <c r="AM1060" s="1308"/>
      <c r="AN1060" s="1308"/>
      <c r="AO1060" s="952"/>
      <c r="AP1060" s="952"/>
      <c r="AQ1060" s="1062"/>
      <c r="AR1060" s="1062"/>
      <c r="AS1060" s="1062"/>
      <c r="AT1060" s="1062"/>
      <c r="AU1060" s="1062"/>
      <c r="AV1060" s="1062"/>
      <c r="AW1060" s="1062"/>
      <c r="AX1060" s="1062"/>
      <c r="AY1060" s="1062"/>
    </row>
    <row r="1061" spans="1:54" ht="13.2" customHeight="1">
      <c r="A1061" s="1771" t="s">
        <v>1731</v>
      </c>
      <c r="B1061" s="1771"/>
      <c r="C1061" s="1771"/>
      <c r="D1061" s="1771"/>
      <c r="E1061" s="1771"/>
      <c r="F1061" s="1771"/>
      <c r="G1061" s="1771"/>
      <c r="H1061" s="1771"/>
      <c r="I1061" s="1771"/>
      <c r="J1061" s="1771"/>
      <c r="K1061" s="1771"/>
      <c r="L1061" s="1771"/>
      <c r="M1061" s="1771"/>
      <c r="N1061" s="1771"/>
      <c r="O1061" s="1771"/>
      <c r="P1061" s="1771"/>
      <c r="Q1061" s="1771"/>
      <c r="R1061" s="1771"/>
      <c r="S1061" s="1771"/>
      <c r="T1061" s="1771"/>
      <c r="U1061" s="1771"/>
      <c r="V1061" s="1771"/>
      <c r="W1061" s="1771"/>
      <c r="X1061" s="1771"/>
      <c r="Y1061" s="1771"/>
      <c r="Z1061" s="1771"/>
      <c r="AA1061" s="1771"/>
      <c r="AB1061" s="1771"/>
      <c r="AC1061" s="1771"/>
      <c r="AD1061" s="1771"/>
      <c r="AE1061" s="1771"/>
      <c r="AF1061" s="1771"/>
      <c r="AG1061" s="1771"/>
      <c r="AH1061" s="1771"/>
      <c r="AI1061" s="1771"/>
      <c r="AJ1061" s="1771"/>
      <c r="AK1061" s="1771"/>
      <c r="AL1061" s="1771"/>
      <c r="AM1061" s="1771"/>
      <c r="AN1061" s="1771"/>
      <c r="AO1061" s="1771"/>
      <c r="AP1061" s="1771"/>
      <c r="AQ1061" s="1771"/>
      <c r="AR1061" s="1178"/>
      <c r="AS1061" s="1178"/>
      <c r="AT1061" s="1178"/>
      <c r="AV1061" s="1062"/>
      <c r="AW1061" s="1062"/>
      <c r="AX1061" s="1062"/>
      <c r="AY1061" s="1062"/>
    </row>
    <row r="1062" spans="1:54" ht="13.2" customHeight="1">
      <c r="A1062" s="11"/>
      <c r="B1062" s="11"/>
      <c r="C1062" s="11"/>
      <c r="D1062" s="11"/>
      <c r="E1062" s="11"/>
      <c r="F1062" s="11"/>
      <c r="G1062" s="11"/>
      <c r="H1062" s="11"/>
      <c r="I1062" s="11"/>
      <c r="J1062" s="11"/>
      <c r="K1062" s="11"/>
      <c r="L1062" s="11"/>
      <c r="M1062" s="11"/>
      <c r="N1062" s="11"/>
      <c r="O1062" s="11"/>
      <c r="P1062" s="11"/>
      <c r="Q1062" s="1178"/>
      <c r="R1062" s="1178"/>
      <c r="S1062" s="1178"/>
      <c r="T1062" s="1178"/>
      <c r="U1062" s="1178"/>
      <c r="V1062" s="1178"/>
      <c r="W1062" s="1178"/>
      <c r="X1062" s="1178"/>
      <c r="Y1062" s="1178"/>
      <c r="Z1062" s="1178"/>
      <c r="AA1062" s="1178"/>
      <c r="AB1062" s="1178"/>
      <c r="AC1062" s="1178"/>
      <c r="AD1062" s="1178"/>
      <c r="AE1062" s="1178"/>
      <c r="AF1062" s="1178"/>
      <c r="AG1062" s="1178"/>
      <c r="AH1062" s="1178"/>
      <c r="AI1062" s="1178"/>
      <c r="AJ1062" s="1178"/>
      <c r="AK1062" s="1178"/>
      <c r="AL1062" s="1178"/>
      <c r="AM1062" s="1178"/>
      <c r="AN1062" s="1178"/>
      <c r="AO1062" s="1178"/>
      <c r="AP1062" s="1178"/>
      <c r="AQ1062" s="1178"/>
      <c r="AR1062" s="1178"/>
      <c r="AS1062" s="1178"/>
      <c r="AT1062" s="1178"/>
      <c r="AV1062" s="1062"/>
      <c r="AW1062" s="1062"/>
      <c r="AX1062" s="1062"/>
      <c r="AY1062" s="1062"/>
    </row>
    <row r="1063" spans="1:54" ht="13.2" customHeight="1">
      <c r="A1063" s="38" t="s">
        <v>1732</v>
      </c>
      <c r="B1063" s="1178"/>
      <c r="C1063" s="1178"/>
      <c r="D1063" s="1178"/>
      <c r="E1063" s="1178"/>
      <c r="F1063" s="1178"/>
      <c r="G1063" s="1178"/>
      <c r="H1063" s="1178"/>
      <c r="I1063" s="1178"/>
      <c r="J1063" s="1178"/>
      <c r="K1063" s="1178"/>
      <c r="L1063" s="1178"/>
      <c r="M1063" s="1178"/>
      <c r="N1063" s="1178"/>
      <c r="O1063" s="1178"/>
      <c r="P1063" s="1178"/>
      <c r="Q1063" s="1178"/>
      <c r="R1063" s="1178"/>
      <c r="S1063" s="1178"/>
      <c r="T1063" s="1178"/>
      <c r="U1063" s="1178"/>
      <c r="V1063" s="1178"/>
      <c r="W1063" s="1178"/>
      <c r="X1063" s="1178"/>
      <c r="AJ1063" s="11"/>
      <c r="AK1063" s="11"/>
      <c r="AL1063" s="11"/>
      <c r="AM1063" s="11"/>
      <c r="AN1063" s="11"/>
      <c r="AO1063" s="11"/>
      <c r="AP1063" s="11"/>
      <c r="AQ1063" s="11"/>
      <c r="AR1063" s="11"/>
      <c r="AS1063" s="11"/>
      <c r="AT1063" s="11"/>
      <c r="AV1063" s="1062"/>
      <c r="AW1063" s="1062"/>
      <c r="AX1063" s="1062"/>
      <c r="AY1063" s="1062"/>
    </row>
    <row r="1064" spans="1:54" ht="13.2" customHeight="1">
      <c r="A1064" s="110" t="s">
        <v>1733</v>
      </c>
      <c r="B1064" s="11"/>
      <c r="C1064" s="11"/>
      <c r="D1064" s="11"/>
      <c r="E1064" s="11"/>
      <c r="F1064" s="11"/>
      <c r="G1064" s="11"/>
      <c r="H1064" s="11"/>
      <c r="I1064" s="11"/>
      <c r="J1064" s="11"/>
      <c r="K1064" s="11"/>
      <c r="L1064" s="11"/>
      <c r="M1064" s="11"/>
      <c r="N1064" s="11"/>
      <c r="O1064" s="11"/>
      <c r="P1064" s="11"/>
      <c r="Q1064" s="1178"/>
      <c r="R1064" s="1178"/>
      <c r="S1064" s="1178"/>
      <c r="T1064" s="1178"/>
      <c r="U1064" s="1178"/>
      <c r="V1064" s="1178"/>
      <c r="W1064" s="1178"/>
      <c r="X1064" s="1178"/>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062"/>
      <c r="AW1064" s="1062"/>
      <c r="AX1064" s="1062"/>
      <c r="AY1064" s="1062"/>
    </row>
    <row r="1065" spans="1:54" ht="13.2" customHeight="1">
      <c r="A1065" s="1370" t="s">
        <v>810</v>
      </c>
      <c r="B1065" s="1370"/>
      <c r="C1065" s="1569">
        <v>1</v>
      </c>
      <c r="D1065" s="1569"/>
      <c r="E1065" s="11" t="s">
        <v>1734</v>
      </c>
      <c r="F1065" s="11"/>
      <c r="G1065" s="11"/>
      <c r="H1065" s="11"/>
      <c r="I1065" s="11"/>
      <c r="J1065" s="11"/>
      <c r="K1065" s="11"/>
      <c r="L1065" s="11"/>
      <c r="M1065" s="11"/>
      <c r="N1065" s="11"/>
      <c r="O1065" s="11"/>
      <c r="P1065" s="11"/>
      <c r="Q1065" s="1178"/>
      <c r="R1065" s="1178"/>
      <c r="S1065" s="1178"/>
      <c r="T1065" s="1178"/>
      <c r="U1065" s="1178"/>
      <c r="V1065" s="1178"/>
      <c r="W1065" s="1178"/>
      <c r="X1065" s="1178"/>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062"/>
      <c r="AW1065" s="1062"/>
      <c r="AX1065" s="1062"/>
      <c r="AY1065" s="1062"/>
    </row>
    <row r="1066" spans="1:54" ht="13.2" customHeight="1">
      <c r="A1066" s="110"/>
      <c r="B1066" s="11"/>
      <c r="C1066" s="1569"/>
      <c r="D1066" s="1569"/>
      <c r="E1066" s="11"/>
      <c r="F1066" s="11"/>
      <c r="G1066" s="11"/>
      <c r="H1066" s="11"/>
      <c r="I1066" s="11"/>
      <c r="J1066" s="11"/>
      <c r="K1066" s="11"/>
      <c r="L1066" s="11"/>
      <c r="M1066" s="11"/>
      <c r="N1066" s="11"/>
      <c r="O1066" s="11"/>
      <c r="P1066" s="11"/>
      <c r="Q1066" s="1178"/>
      <c r="R1066" s="1178"/>
      <c r="S1066" s="1178"/>
      <c r="T1066" s="1178"/>
      <c r="U1066" s="1178"/>
      <c r="V1066" s="1178"/>
      <c r="W1066" s="1178"/>
      <c r="X1066" s="1178"/>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062"/>
      <c r="AW1066" s="1062"/>
      <c r="AX1066" s="1062"/>
      <c r="AY1066" s="1062"/>
    </row>
    <row r="1067" spans="1:54" ht="13.2" customHeight="1">
      <c r="A1067" s="1370" t="s">
        <v>810</v>
      </c>
      <c r="B1067" s="1370"/>
      <c r="C1067" s="1569">
        <v>2</v>
      </c>
      <c r="D1067" s="1569"/>
      <c r="E1067" s="1790" t="s">
        <v>1735</v>
      </c>
      <c r="F1067" s="1790"/>
      <c r="G1067" s="1790"/>
      <c r="H1067" s="1790"/>
      <c r="I1067" s="1790"/>
      <c r="J1067" s="1790"/>
      <c r="K1067" s="1790"/>
      <c r="L1067" s="1790"/>
      <c r="M1067" s="1790"/>
      <c r="N1067" s="1790"/>
      <c r="O1067" s="1790"/>
      <c r="P1067" s="1790"/>
      <c r="Q1067" s="1790"/>
      <c r="R1067" s="1790"/>
      <c r="S1067" s="1790"/>
      <c r="T1067" s="1790"/>
      <c r="U1067" s="1790"/>
      <c r="V1067" s="1790"/>
      <c r="W1067" s="1790"/>
      <c r="X1067" s="1790"/>
      <c r="Y1067" s="1790"/>
      <c r="Z1067" s="1790"/>
      <c r="AA1067" s="1790"/>
      <c r="AB1067" s="1790"/>
      <c r="AC1067" s="1790"/>
      <c r="AD1067" s="1790"/>
      <c r="AE1067" s="1790"/>
      <c r="AF1067" s="1790"/>
      <c r="AG1067" s="1790"/>
      <c r="AH1067" s="1790"/>
      <c r="AI1067" s="1790"/>
      <c r="AJ1067" s="1790"/>
      <c r="AK1067" s="1790"/>
      <c r="AL1067" s="1790"/>
      <c r="AM1067" s="1790"/>
      <c r="AN1067" s="1790"/>
      <c r="AO1067" s="1790"/>
      <c r="AP1067" s="1790"/>
      <c r="AQ1067" s="1790"/>
      <c r="AR1067" s="1790"/>
      <c r="AS1067" s="11"/>
      <c r="AT1067" s="11"/>
      <c r="AV1067" s="1062"/>
      <c r="AW1067" s="1062"/>
      <c r="AX1067" s="1062"/>
      <c r="AY1067" s="1062"/>
    </row>
    <row r="1068" spans="1:54" ht="13.2" customHeight="1">
      <c r="A1068" s="110"/>
      <c r="B1068" s="11"/>
      <c r="C1068" s="1569"/>
      <c r="D1068" s="1569"/>
      <c r="E1068" s="1790"/>
      <c r="F1068" s="1790"/>
      <c r="G1068" s="1790"/>
      <c r="H1068" s="1790"/>
      <c r="I1068" s="1790"/>
      <c r="J1068" s="1790"/>
      <c r="K1068" s="1790"/>
      <c r="L1068" s="1790"/>
      <c r="M1068" s="1790"/>
      <c r="N1068" s="1790"/>
      <c r="O1068" s="1790"/>
      <c r="P1068" s="1790"/>
      <c r="Q1068" s="1790"/>
      <c r="R1068" s="1790"/>
      <c r="S1068" s="1790"/>
      <c r="T1068" s="1790"/>
      <c r="U1068" s="1790"/>
      <c r="V1068" s="1790"/>
      <c r="W1068" s="1790"/>
      <c r="X1068" s="1790"/>
      <c r="Y1068" s="1790"/>
      <c r="Z1068" s="1790"/>
      <c r="AA1068" s="1790"/>
      <c r="AB1068" s="1790"/>
      <c r="AC1068" s="1790"/>
      <c r="AD1068" s="1790"/>
      <c r="AE1068" s="1790"/>
      <c r="AF1068" s="1790"/>
      <c r="AG1068" s="1790"/>
      <c r="AH1068" s="1790"/>
      <c r="AI1068" s="1790"/>
      <c r="AJ1068" s="1790"/>
      <c r="AK1068" s="1790"/>
      <c r="AL1068" s="1790"/>
      <c r="AM1068" s="1790"/>
      <c r="AN1068" s="1790"/>
      <c r="AO1068" s="1790"/>
      <c r="AP1068" s="1790"/>
      <c r="AQ1068" s="1790"/>
      <c r="AR1068" s="1790"/>
      <c r="AS1068" s="11"/>
      <c r="AT1068" s="11"/>
      <c r="AV1068" s="1062"/>
      <c r="AW1068" s="1062"/>
      <c r="AX1068" s="1062"/>
      <c r="AY1068" s="1062"/>
    </row>
    <row r="1069" spans="1:54" ht="13.2" customHeight="1">
      <c r="A1069" s="110"/>
      <c r="B1069" s="11"/>
      <c r="C1069" s="1569"/>
      <c r="D1069" s="1569"/>
      <c r="E1069" s="11"/>
      <c r="F1069" s="11"/>
      <c r="G1069" s="11"/>
      <c r="H1069" s="11"/>
      <c r="I1069" s="11"/>
      <c r="J1069" s="11"/>
      <c r="K1069" s="11"/>
      <c r="L1069" s="11"/>
      <c r="M1069" s="11"/>
      <c r="N1069" s="11"/>
      <c r="O1069" s="11"/>
      <c r="P1069" s="11"/>
      <c r="Q1069" s="1178"/>
      <c r="R1069" s="1178"/>
      <c r="S1069" s="1178"/>
      <c r="T1069" s="1178"/>
      <c r="U1069" s="1178"/>
      <c r="V1069" s="1178"/>
      <c r="W1069" s="1178"/>
      <c r="X1069" s="1178"/>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062"/>
      <c r="AW1069" s="1062"/>
      <c r="AX1069" s="1062"/>
      <c r="AY1069" s="1062"/>
    </row>
    <row r="1070" spans="1:54" ht="13.2" customHeight="1">
      <c r="A1070" s="1370" t="s">
        <v>810</v>
      </c>
      <c r="B1070" s="1370"/>
      <c r="C1070" s="1360">
        <v>3</v>
      </c>
      <c r="D1070" s="1360"/>
      <c r="E1070" s="1292" t="s">
        <v>1736</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1"/>
      <c r="AT1070" s="1062"/>
      <c r="AV1070" s="1062"/>
      <c r="AW1070" s="1062"/>
      <c r="AX1070" s="1062"/>
      <c r="AY1070" s="1062"/>
    </row>
    <row r="1071" spans="1:54" ht="13.2" customHeight="1">
      <c r="A1071" s="1154"/>
      <c r="B1071" s="1154"/>
      <c r="C1071" s="1360"/>
      <c r="D1071" s="1360"/>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1"/>
      <c r="AT1071" s="1062"/>
      <c r="AV1071" s="1062"/>
      <c r="AW1071" s="1062"/>
      <c r="AX1071" s="1062"/>
      <c r="AY1071" s="1062"/>
    </row>
    <row r="1072" spans="1:54" ht="13.2" customHeight="1">
      <c r="A1072" s="1154"/>
      <c r="B1072" s="1154"/>
      <c r="C1072" s="1360"/>
      <c r="D1072" s="1360"/>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1"/>
      <c r="AT1072" s="1062"/>
      <c r="AV1072" s="1062"/>
      <c r="AW1072" s="1062"/>
      <c r="AX1072" s="1062"/>
      <c r="AY1072" s="1062"/>
    </row>
    <row r="1073" spans="1:51" ht="13.2" customHeight="1">
      <c r="A1073" s="1154"/>
      <c r="B1073" s="1154"/>
      <c r="C1073" s="1360"/>
      <c r="D1073" s="1360"/>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1"/>
      <c r="AT1073" s="1062"/>
      <c r="AV1073" s="1062"/>
      <c r="AW1073" s="1062"/>
      <c r="AX1073" s="1062"/>
      <c r="AY1073" s="1062"/>
    </row>
    <row r="1074" spans="1:51" ht="13.2" customHeight="1">
      <c r="A1074" s="1"/>
      <c r="B1074" s="19"/>
      <c r="C1074" s="1360"/>
      <c r="D1074" s="1360"/>
      <c r="E1074" s="1144"/>
      <c r="F1074" s="1144"/>
      <c r="G1074" s="1144"/>
      <c r="H1074" s="1144"/>
      <c r="I1074" s="1144"/>
      <c r="J1074" s="1144"/>
      <c r="K1074" s="1144"/>
      <c r="L1074" s="1144"/>
      <c r="M1074" s="1144"/>
      <c r="N1074" s="1144"/>
      <c r="O1074" s="1144"/>
      <c r="P1074" s="1144"/>
      <c r="Q1074" s="1144"/>
      <c r="R1074" s="1144"/>
      <c r="S1074" s="1144"/>
      <c r="T1074" s="1144"/>
      <c r="U1074" s="1144"/>
      <c r="V1074" s="1144"/>
      <c r="W1074" s="1144"/>
      <c r="X1074" s="1144"/>
      <c r="Y1074" s="1144"/>
      <c r="Z1074" s="1144"/>
      <c r="AA1074" s="1144"/>
      <c r="AB1074" s="1144"/>
      <c r="AC1074" s="1144"/>
      <c r="AD1074" s="1144"/>
      <c r="AE1074" s="1144"/>
      <c r="AF1074" s="1144"/>
      <c r="AG1074" s="1144"/>
      <c r="AH1074" s="1144"/>
      <c r="AI1074" s="1144"/>
      <c r="AJ1074" s="1144"/>
      <c r="AK1074" s="1144"/>
      <c r="AL1074" s="1062"/>
      <c r="AM1074" s="1062"/>
      <c r="AN1074" s="1062"/>
      <c r="AO1074" s="1062"/>
      <c r="AP1074" s="1062"/>
      <c r="AQ1074" s="1062"/>
      <c r="AR1074" s="1062"/>
      <c r="AS1074" s="11"/>
      <c r="AT1074" s="1062"/>
      <c r="AV1074" s="1062"/>
      <c r="AW1074" s="1062"/>
      <c r="AX1074" s="1062"/>
      <c r="AY1074" s="1062"/>
    </row>
    <row r="1075" spans="1:51" ht="13.2" customHeight="1">
      <c r="A1075" s="1370" t="s">
        <v>810</v>
      </c>
      <c r="B1075" s="1370"/>
      <c r="C1075" s="1360">
        <v>4</v>
      </c>
      <c r="D1075" s="1360"/>
      <c r="E1075" s="1292" t="s">
        <v>1737</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1"/>
      <c r="AT1075" s="1062"/>
    </row>
    <row r="1076" spans="1:51" ht="13.2" customHeight="1">
      <c r="A1076" s="1154"/>
      <c r="B1076" s="1154"/>
      <c r="C1076" s="1360"/>
      <c r="D1076" s="1360"/>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1"/>
      <c r="AT1076" s="1062"/>
    </row>
    <row r="1077" spans="1:51" ht="13.2" customHeight="1">
      <c r="A1077" s="1154"/>
      <c r="B1077" s="1154"/>
      <c r="C1077" s="1360"/>
      <c r="D1077" s="1360"/>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1"/>
      <c r="AT1077" s="1062"/>
    </row>
    <row r="1078" spans="1:51" ht="13.2" customHeight="1">
      <c r="A1078" s="1154"/>
      <c r="B1078" s="1154"/>
      <c r="C1078" s="1360"/>
      <c r="D1078" s="1360"/>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1"/>
      <c r="AT1078" s="1062"/>
    </row>
    <row r="1079" spans="1:51" ht="13.2" customHeight="1">
      <c r="A1079" s="1154"/>
      <c r="B1079" s="1154"/>
      <c r="C1079" s="1360"/>
      <c r="D1079" s="1360"/>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1"/>
      <c r="AT1079" s="1062"/>
    </row>
    <row r="1080" spans="1:51" ht="13.2" customHeight="1">
      <c r="A1080" s="1154"/>
      <c r="B1080" s="1154"/>
      <c r="C1080" s="1360"/>
      <c r="D1080" s="1360"/>
      <c r="E1080" s="1144"/>
      <c r="F1080" s="1144"/>
      <c r="G1080" s="1144"/>
      <c r="H1080" s="1144"/>
      <c r="I1080" s="1144"/>
      <c r="J1080" s="1144"/>
      <c r="K1080" s="1144"/>
      <c r="L1080" s="1144"/>
      <c r="M1080" s="1144"/>
      <c r="N1080" s="1144"/>
      <c r="O1080" s="1144"/>
      <c r="P1080" s="1144"/>
      <c r="Q1080" s="1144"/>
      <c r="R1080" s="1144"/>
      <c r="S1080" s="1144"/>
      <c r="T1080" s="1144"/>
      <c r="U1080" s="1144"/>
      <c r="V1080" s="1144"/>
      <c r="W1080" s="1144"/>
      <c r="X1080" s="1144"/>
      <c r="Y1080" s="1144"/>
      <c r="Z1080" s="1144"/>
      <c r="AA1080" s="1144"/>
      <c r="AB1080" s="1144"/>
      <c r="AC1080" s="1144"/>
      <c r="AD1080" s="1144"/>
      <c r="AE1080" s="1144"/>
      <c r="AF1080" s="1144"/>
      <c r="AG1080" s="1144"/>
      <c r="AH1080" s="1144"/>
      <c r="AI1080" s="1144"/>
      <c r="AJ1080" s="1144"/>
      <c r="AK1080" s="1144"/>
      <c r="AS1080" s="11"/>
    </row>
    <row r="1081" spans="1:51" ht="13.2" customHeight="1">
      <c r="A1081" s="1370" t="s">
        <v>810</v>
      </c>
      <c r="B1081" s="1370"/>
      <c r="C1081" s="1360">
        <v>5</v>
      </c>
      <c r="D1081" s="1360"/>
      <c r="E1081" s="1292" t="s">
        <v>1738</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1"/>
    </row>
    <row r="1082" spans="1:51" ht="13.2" customHeight="1">
      <c r="A1082" s="2"/>
      <c r="B1082" s="2"/>
      <c r="C1082" s="1360"/>
      <c r="D1082" s="1360"/>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1"/>
    </row>
    <row r="1083" spans="1:51" ht="13.2" customHeight="1">
      <c r="A1083" s="2"/>
      <c r="B1083" s="2"/>
      <c r="C1083" s="1360"/>
      <c r="D1083" s="1360"/>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1"/>
    </row>
    <row r="1084" spans="1:51" ht="13.2" customHeight="1">
      <c r="A1084" s="68"/>
      <c r="B1084" s="19"/>
      <c r="C1084" s="1360"/>
      <c r="D1084" s="1360"/>
      <c r="E1084" s="1144"/>
      <c r="F1084" s="1144"/>
      <c r="G1084" s="1144"/>
      <c r="H1084" s="1144"/>
      <c r="I1084" s="1144"/>
      <c r="J1084" s="1144"/>
      <c r="K1084" s="1144"/>
      <c r="L1084" s="1144"/>
      <c r="M1084" s="1144"/>
      <c r="N1084" s="1144"/>
      <c r="O1084" s="1144"/>
      <c r="P1084" s="1144"/>
      <c r="Q1084" s="1144"/>
      <c r="R1084" s="1144"/>
      <c r="S1084" s="1144"/>
      <c r="T1084" s="1144"/>
      <c r="U1084" s="1144"/>
      <c r="V1084" s="1144"/>
      <c r="W1084" s="1144"/>
      <c r="X1084" s="1144"/>
      <c r="Y1084" s="1144"/>
      <c r="Z1084" s="1144"/>
      <c r="AA1084" s="1144"/>
      <c r="AB1084" s="1144"/>
      <c r="AC1084" s="1144"/>
      <c r="AD1084" s="1144"/>
      <c r="AE1084" s="1144"/>
      <c r="AF1084" s="1144"/>
      <c r="AG1084" s="1144"/>
      <c r="AH1084" s="1144"/>
      <c r="AI1084" s="1144"/>
      <c r="AJ1084" s="1144"/>
      <c r="AK1084" s="1144"/>
      <c r="AS1084" s="11"/>
    </row>
    <row r="1085" spans="1:51" ht="13.2" customHeight="1">
      <c r="A1085" s="1370" t="s">
        <v>810</v>
      </c>
      <c r="B1085" s="1370"/>
      <c r="C1085" s="1360">
        <v>6</v>
      </c>
      <c r="D1085" s="1360"/>
      <c r="E1085" s="1292" t="s">
        <v>1739</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1"/>
    </row>
    <row r="1086" spans="1:51" ht="13.2" customHeight="1">
      <c r="A1086" s="1154"/>
      <c r="B1086" s="1154"/>
      <c r="C1086" s="1154"/>
      <c r="D1086" s="1154"/>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1"/>
    </row>
    <row r="1087" spans="1:51" ht="13.2" customHeight="1">
      <c r="A1087" s="1154"/>
      <c r="B1087" s="1154"/>
      <c r="C1087" s="1360"/>
      <c r="D1087" s="1360"/>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1"/>
    </row>
    <row r="1088" spans="1:51" ht="13.2" customHeight="1">
      <c r="A1088" s="68"/>
      <c r="B1088" s="19"/>
      <c r="C1088" s="1360"/>
      <c r="D1088" s="1360"/>
      <c r="E1088" s="1144"/>
      <c r="F1088" s="1144"/>
      <c r="G1088" s="1144"/>
      <c r="H1088" s="1144"/>
      <c r="I1088" s="1144"/>
      <c r="J1088" s="1144"/>
      <c r="K1088" s="1144"/>
      <c r="L1088" s="1144"/>
      <c r="M1088" s="1144"/>
      <c r="N1088" s="1144"/>
      <c r="O1088" s="1144"/>
      <c r="P1088" s="1144"/>
      <c r="Q1088" s="1144"/>
      <c r="R1088" s="1144"/>
      <c r="S1088" s="1144"/>
      <c r="T1088" s="1144"/>
      <c r="U1088" s="1144"/>
      <c r="V1088" s="1144"/>
      <c r="W1088" s="1144"/>
      <c r="X1088" s="1144"/>
      <c r="Y1088" s="1144"/>
      <c r="Z1088" s="1144"/>
      <c r="AA1088" s="1144"/>
      <c r="AB1088" s="1144"/>
      <c r="AC1088" s="1144"/>
      <c r="AD1088" s="1144"/>
      <c r="AE1088" s="1144"/>
      <c r="AF1088" s="1144"/>
      <c r="AG1088" s="1144"/>
      <c r="AH1088" s="1144"/>
      <c r="AI1088" s="1144"/>
      <c r="AJ1088" s="1144"/>
      <c r="AK1088" s="1144"/>
      <c r="AS1088" s="11"/>
    </row>
    <row r="1089" spans="1:45" ht="13.2" customHeight="1">
      <c r="A1089" s="1370" t="s">
        <v>810</v>
      </c>
      <c r="B1089" s="1370"/>
      <c r="C1089" s="1360">
        <v>7</v>
      </c>
      <c r="D1089" s="1360"/>
      <c r="E1089" s="1292" t="s">
        <v>1740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1"/>
    </row>
    <row r="1090" spans="1:45" ht="13.2" customHeight="1">
      <c r="A1090" s="1154"/>
      <c r="B1090" s="1154"/>
      <c r="C1090" s="1360"/>
      <c r="D1090" s="1360"/>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1"/>
    </row>
    <row r="1091" spans="1:45" ht="13.2" customHeight="1">
      <c r="A1091" s="1154"/>
      <c r="B1091" s="1154"/>
      <c r="C1091" s="1360"/>
      <c r="D1091" s="1360"/>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1"/>
    </row>
    <row r="1092" spans="1:45" ht="13.2" customHeight="1">
      <c r="A1092" s="1154"/>
      <c r="B1092" s="1154"/>
      <c r="C1092" s="1360"/>
      <c r="D1092" s="1360"/>
      <c r="E1092" s="1144"/>
      <c r="F1092" s="1144"/>
      <c r="G1092" s="1144"/>
      <c r="H1092" s="1144"/>
      <c r="I1092" s="1144"/>
      <c r="J1092" s="1144"/>
      <c r="K1092" s="1144"/>
      <c r="L1092" s="1144"/>
      <c r="M1092" s="1144"/>
      <c r="N1092" s="1144"/>
      <c r="O1092" s="1144"/>
      <c r="P1092" s="1144"/>
      <c r="Q1092" s="1144"/>
      <c r="R1092" s="1144"/>
      <c r="S1092" s="1144"/>
      <c r="T1092" s="1144"/>
      <c r="U1092" s="1144"/>
      <c r="V1092" s="1144"/>
      <c r="W1092" s="1144"/>
      <c r="X1092" s="1144"/>
      <c r="Y1092" s="1144"/>
      <c r="Z1092" s="1144"/>
      <c r="AA1092" s="1144"/>
      <c r="AB1092" s="1144"/>
      <c r="AC1092" s="1144"/>
      <c r="AD1092" s="1144"/>
      <c r="AE1092" s="1144"/>
      <c r="AF1092" s="1144"/>
      <c r="AG1092" s="1144"/>
      <c r="AH1092" s="1144"/>
      <c r="AI1092" s="1144"/>
      <c r="AJ1092" s="1144"/>
      <c r="AK1092" s="1144"/>
    </row>
    <row r="1093" spans="1:45" ht="13.2" customHeight="1">
      <c r="A1093" s="68"/>
      <c r="B1093" s="19"/>
      <c r="C1093" s="1360"/>
      <c r="D1093" s="1360"/>
      <c r="E1093" s="1144"/>
      <c r="F1093" s="1144"/>
      <c r="G1093" s="1144"/>
      <c r="H1093" s="1144"/>
      <c r="I1093" s="1144"/>
      <c r="J1093" s="1144"/>
      <c r="K1093" s="1144"/>
      <c r="L1093" s="1144"/>
      <c r="M1093" s="1144"/>
      <c r="N1093" s="1144"/>
      <c r="O1093" s="1144"/>
      <c r="P1093" s="1144"/>
      <c r="Q1093" s="1144"/>
      <c r="R1093" s="1144"/>
      <c r="S1093" s="1144"/>
      <c r="T1093" s="1144"/>
      <c r="U1093" s="1144"/>
      <c r="V1093" s="1144"/>
      <c r="W1093" s="1144"/>
      <c r="X1093" s="1144"/>
      <c r="Y1093" s="1144"/>
      <c r="Z1093" s="1144"/>
      <c r="AA1093" s="1144"/>
      <c r="AB1093" s="1144"/>
      <c r="AC1093" s="1144"/>
      <c r="AD1093" s="1144"/>
      <c r="AE1093" s="1144"/>
      <c r="AF1093" s="1144"/>
      <c r="AG1093" s="1144"/>
      <c r="AH1093" s="1144"/>
      <c r="AI1093" s="1144"/>
      <c r="AJ1093" s="1144"/>
      <c r="AK1093" s="1144"/>
    </row>
    <row r="1094" spans="1:45" ht="13.2" customHeight="1">
      <c r="A1094" s="1370" t="s">
        <v>810</v>
      </c>
      <c r="B1094" s="1370"/>
      <c r="C1094" s="1360">
        <v>8</v>
      </c>
      <c r="D1094" s="1360"/>
      <c r="E1094" s="1292" t="s">
        <v>1741</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2" customHeight="1">
      <c r="A1095" s="68"/>
      <c r="B1095" s="19"/>
      <c r="C1095" s="1360"/>
      <c r="D1095" s="1360"/>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2" customHeight="1">
      <c r="A1096" s="68"/>
      <c r="B1096" s="19"/>
      <c r="C1096" s="1360"/>
      <c r="D1096" s="1360"/>
      <c r="E1096" s="1144"/>
      <c r="F1096" s="1144"/>
      <c r="G1096" s="1144"/>
      <c r="H1096" s="1144"/>
      <c r="I1096" s="1144"/>
      <c r="J1096" s="1144"/>
      <c r="K1096" s="1144"/>
      <c r="L1096" s="1144"/>
      <c r="M1096" s="1144"/>
      <c r="N1096" s="1144"/>
      <c r="O1096" s="1144"/>
      <c r="P1096" s="1144"/>
      <c r="Q1096" s="1144"/>
      <c r="R1096" s="1144"/>
      <c r="S1096" s="1144"/>
      <c r="T1096" s="1144"/>
      <c r="U1096" s="1144"/>
      <c r="V1096" s="1144"/>
      <c r="W1096" s="1144"/>
      <c r="X1096" s="1144"/>
      <c r="Y1096" s="1144"/>
      <c r="Z1096" s="1144"/>
      <c r="AA1096" s="1144"/>
      <c r="AB1096" s="1144"/>
      <c r="AC1096" s="1144"/>
      <c r="AD1096" s="1144"/>
      <c r="AE1096" s="1144"/>
      <c r="AF1096" s="1144"/>
      <c r="AG1096" s="1144"/>
      <c r="AH1096" s="1144"/>
      <c r="AI1096" s="1144"/>
      <c r="AJ1096" s="1144"/>
      <c r="AK1096" s="1144"/>
    </row>
    <row r="1097" spans="1:45" ht="13.2" customHeight="1">
      <c r="A1097" s="1370" t="s">
        <v>810</v>
      </c>
      <c r="B1097" s="1370"/>
      <c r="C1097" s="1569">
        <v>9</v>
      </c>
      <c r="D1097" s="1569"/>
      <c r="E1097" s="1292" t="s">
        <v>1742</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2" customHeight="1">
      <c r="A1098" s="1154"/>
      <c r="B1098" s="1154"/>
      <c r="C1098" s="1569"/>
      <c r="D1098" s="1569"/>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2" customHeight="1">
      <c r="A1099" s="68"/>
      <c r="B1099" s="19"/>
      <c r="C1099" s="1569"/>
      <c r="D1099" s="1569"/>
      <c r="E1099" s="1144"/>
      <c r="F1099" s="1144"/>
      <c r="G1099" s="1144"/>
      <c r="H1099" s="1144"/>
      <c r="I1099" s="1144"/>
      <c r="J1099" s="1144"/>
      <c r="K1099" s="1144"/>
      <c r="L1099" s="1144"/>
      <c r="M1099" s="1144"/>
      <c r="N1099" s="1144"/>
      <c r="O1099" s="1144"/>
      <c r="P1099" s="1144"/>
      <c r="Q1099" s="1144"/>
      <c r="R1099" s="1144"/>
      <c r="S1099" s="1144"/>
      <c r="T1099" s="1144"/>
      <c r="U1099" s="1144"/>
      <c r="V1099" s="1144"/>
      <c r="W1099" s="1144"/>
      <c r="X1099" s="1144"/>
      <c r="Y1099" s="1144"/>
      <c r="Z1099" s="1144"/>
      <c r="AA1099" s="1144"/>
      <c r="AB1099" s="1144"/>
      <c r="AC1099" s="1144"/>
      <c r="AD1099" s="1144"/>
      <c r="AE1099" s="1144"/>
      <c r="AF1099" s="1144"/>
      <c r="AG1099" s="1144"/>
      <c r="AH1099" s="1144"/>
      <c r="AI1099" s="1144"/>
      <c r="AJ1099" s="1144"/>
      <c r="AK1099" s="1144"/>
    </row>
    <row r="1100" spans="1:45" ht="13.2" customHeight="1">
      <c r="A1100" s="1370" t="s">
        <v>810</v>
      </c>
      <c r="B1100" s="1370"/>
      <c r="C1100" s="1569">
        <v>10</v>
      </c>
      <c r="D1100" s="1569"/>
      <c r="E1100" s="1789" t="s">
        <v>1743</v>
      </c>
      <c r="F1100" s="1789"/>
      <c r="G1100" s="1789"/>
      <c r="H1100" s="1789"/>
      <c r="I1100" s="1789"/>
      <c r="J1100" s="1789"/>
      <c r="K1100" s="1789"/>
      <c r="L1100" s="1789"/>
      <c r="M1100" s="1789"/>
      <c r="N1100" s="1789"/>
      <c r="O1100" s="1789"/>
      <c r="P1100" s="1789"/>
      <c r="Q1100" s="1789"/>
      <c r="R1100" s="1789"/>
      <c r="S1100" s="1789"/>
      <c r="T1100" s="1789"/>
      <c r="U1100" s="1789"/>
      <c r="V1100" s="1789"/>
      <c r="W1100" s="1789"/>
      <c r="X1100" s="1789"/>
      <c r="Y1100" s="1789"/>
      <c r="Z1100" s="1789"/>
      <c r="AA1100" s="1789"/>
      <c r="AB1100" s="1789"/>
      <c r="AC1100" s="1789"/>
      <c r="AD1100" s="1789"/>
      <c r="AE1100" s="1789"/>
      <c r="AF1100" s="1789"/>
      <c r="AG1100" s="1789"/>
      <c r="AH1100" s="1789"/>
      <c r="AI1100" s="1789"/>
      <c r="AJ1100" s="1789"/>
      <c r="AK1100" s="1789"/>
      <c r="AL1100" s="1789"/>
      <c r="AM1100" s="1789"/>
      <c r="AN1100" s="1789"/>
      <c r="AO1100" s="1789"/>
      <c r="AP1100" s="1789"/>
      <c r="AQ1100" s="1789"/>
      <c r="AR1100" s="1789"/>
    </row>
    <row r="1101" spans="1:45" ht="13.2" customHeight="1">
      <c r="A1101" s="1154"/>
      <c r="B1101" s="1154"/>
      <c r="C1101" s="1086"/>
      <c r="D1101" s="1182"/>
      <c r="E1101" s="1789"/>
      <c r="F1101" s="1789"/>
      <c r="G1101" s="1789"/>
      <c r="H1101" s="1789"/>
      <c r="I1101" s="1789"/>
      <c r="J1101" s="1789"/>
      <c r="K1101" s="1789"/>
      <c r="L1101" s="1789"/>
      <c r="M1101" s="1789"/>
      <c r="N1101" s="1789"/>
      <c r="O1101" s="1789"/>
      <c r="P1101" s="1789"/>
      <c r="Q1101" s="1789"/>
      <c r="R1101" s="1789"/>
      <c r="S1101" s="1789"/>
      <c r="T1101" s="1789"/>
      <c r="U1101" s="1789"/>
      <c r="V1101" s="1789"/>
      <c r="W1101" s="1789"/>
      <c r="X1101" s="1789"/>
      <c r="Y1101" s="1789"/>
      <c r="Z1101" s="1789"/>
      <c r="AA1101" s="1789"/>
      <c r="AB1101" s="1789"/>
      <c r="AC1101" s="1789"/>
      <c r="AD1101" s="1789"/>
      <c r="AE1101" s="1789"/>
      <c r="AF1101" s="1789"/>
      <c r="AG1101" s="1789"/>
      <c r="AH1101" s="1789"/>
      <c r="AI1101" s="1789"/>
      <c r="AJ1101" s="1789"/>
      <c r="AK1101" s="1789"/>
      <c r="AL1101" s="1789"/>
      <c r="AM1101" s="1789"/>
      <c r="AN1101" s="1789"/>
      <c r="AO1101" s="1789"/>
      <c r="AP1101" s="1789"/>
      <c r="AQ1101" s="1789"/>
      <c r="AR1101" s="1789"/>
    </row>
    <row r="1102" spans="1:45" ht="13.2" customHeight="1">
      <c r="A1102" s="1154"/>
      <c r="B1102" s="1154"/>
      <c r="C1102" s="1086"/>
      <c r="D1102" s="1182"/>
      <c r="E1102" s="1182"/>
      <c r="F1102" s="1182"/>
      <c r="G1102" s="1182"/>
      <c r="H1102" s="1182"/>
      <c r="I1102" s="1182"/>
      <c r="J1102" s="1182"/>
      <c r="K1102" s="1182"/>
      <c r="L1102" s="1182"/>
      <c r="M1102" s="1182"/>
      <c r="N1102" s="1182"/>
      <c r="O1102" s="1182"/>
      <c r="P1102" s="1182"/>
      <c r="Q1102" s="1182"/>
      <c r="R1102" s="1182"/>
      <c r="S1102" s="1182"/>
      <c r="T1102" s="1182"/>
      <c r="U1102" s="1182"/>
      <c r="V1102" s="1182"/>
      <c r="W1102" s="1182"/>
      <c r="X1102" s="1182"/>
      <c r="Y1102" s="1182"/>
      <c r="Z1102" s="1182"/>
      <c r="AA1102" s="1182"/>
      <c r="AB1102" s="1182"/>
      <c r="AC1102" s="1182"/>
      <c r="AD1102" s="1182"/>
      <c r="AE1102" s="1182"/>
      <c r="AF1102" s="1182"/>
      <c r="AG1102" s="1182"/>
      <c r="AH1102" s="1182"/>
      <c r="AI1102" s="1182"/>
      <c r="AJ1102" s="1182"/>
      <c r="AK1102" s="1182"/>
    </row>
    <row r="1103" spans="1:45" ht="13.2" customHeight="1">
      <c r="A1103" s="1370" t="s">
        <v>810</v>
      </c>
      <c r="B1103" s="1370"/>
      <c r="C1103" s="1569">
        <v>11</v>
      </c>
      <c r="D1103" s="1569"/>
      <c r="E1103" s="1789" t="s">
        <v>1744</v>
      </c>
      <c r="F1103" s="1789"/>
      <c r="G1103" s="1789"/>
      <c r="H1103" s="1789"/>
      <c r="I1103" s="1789"/>
      <c r="J1103" s="1789"/>
      <c r="K1103" s="1789"/>
      <c r="L1103" s="1789"/>
      <c r="M1103" s="1789"/>
      <c r="N1103" s="1789"/>
      <c r="O1103" s="1789"/>
      <c r="P1103" s="1789"/>
      <c r="Q1103" s="1789"/>
      <c r="R1103" s="1789"/>
      <c r="S1103" s="1789"/>
      <c r="T1103" s="1789"/>
      <c r="U1103" s="1789"/>
      <c r="V1103" s="1789"/>
      <c r="W1103" s="1789"/>
      <c r="X1103" s="1789"/>
      <c r="Y1103" s="1789"/>
      <c r="Z1103" s="1789"/>
      <c r="AA1103" s="1789"/>
      <c r="AB1103" s="1789"/>
      <c r="AC1103" s="1789"/>
      <c r="AD1103" s="1789"/>
      <c r="AE1103" s="1789"/>
      <c r="AF1103" s="1789"/>
      <c r="AG1103" s="1789"/>
      <c r="AH1103" s="1789"/>
      <c r="AI1103" s="1789"/>
      <c r="AJ1103" s="1789"/>
      <c r="AK1103" s="1789"/>
      <c r="AL1103" s="1789"/>
      <c r="AM1103" s="1789"/>
      <c r="AN1103" s="1789"/>
      <c r="AO1103" s="1789"/>
      <c r="AP1103" s="1789"/>
      <c r="AQ1103" s="1789"/>
      <c r="AR1103" s="1789"/>
    </row>
    <row r="1104" spans="1:45" ht="13.2" customHeight="1">
      <c r="A1104" s="1154"/>
      <c r="B1104" s="1154"/>
      <c r="C1104" s="1086"/>
      <c r="D1104" s="1182"/>
      <c r="E1104" s="1789"/>
      <c r="F1104" s="1789"/>
      <c r="G1104" s="1789"/>
      <c r="H1104" s="1789"/>
      <c r="I1104" s="1789"/>
      <c r="J1104" s="1789"/>
      <c r="K1104" s="1789"/>
      <c r="L1104" s="1789"/>
      <c r="M1104" s="1789"/>
      <c r="N1104" s="1789"/>
      <c r="O1104" s="1789"/>
      <c r="P1104" s="1789"/>
      <c r="Q1104" s="1789"/>
      <c r="R1104" s="1789"/>
      <c r="S1104" s="1789"/>
      <c r="T1104" s="1789"/>
      <c r="U1104" s="1789"/>
      <c r="V1104" s="1789"/>
      <c r="W1104" s="1789"/>
      <c r="X1104" s="1789"/>
      <c r="Y1104" s="1789"/>
      <c r="Z1104" s="1789"/>
      <c r="AA1104" s="1789"/>
      <c r="AB1104" s="1789"/>
      <c r="AC1104" s="1789"/>
      <c r="AD1104" s="1789"/>
      <c r="AE1104" s="1789"/>
      <c r="AF1104" s="1789"/>
      <c r="AG1104" s="1789"/>
      <c r="AH1104" s="1789"/>
      <c r="AI1104" s="1789"/>
      <c r="AJ1104" s="1789"/>
      <c r="AK1104" s="1789"/>
      <c r="AL1104" s="1789"/>
      <c r="AM1104" s="1789"/>
      <c r="AN1104" s="1789"/>
      <c r="AO1104" s="1789"/>
      <c r="AP1104" s="1789"/>
      <c r="AQ1104" s="1789"/>
      <c r="AR1104" s="1789"/>
    </row>
    <row r="1105" spans="1:37" ht="13.2" customHeight="1">
      <c r="A1105" s="1154"/>
      <c r="B1105" s="1154"/>
      <c r="C1105" s="1086"/>
      <c r="D1105" s="1182"/>
      <c r="E1105" s="1182"/>
      <c r="F1105" s="1182"/>
      <c r="G1105" s="1182"/>
      <c r="H1105" s="1182"/>
      <c r="I1105" s="1182"/>
      <c r="J1105" s="1182"/>
      <c r="K1105" s="1182"/>
      <c r="L1105" s="1182"/>
      <c r="M1105" s="1182"/>
      <c r="N1105" s="1182"/>
      <c r="O1105" s="1182"/>
      <c r="P1105" s="1182"/>
      <c r="Q1105" s="1182"/>
      <c r="R1105" s="1182"/>
      <c r="S1105" s="1182"/>
      <c r="T1105" s="1182"/>
      <c r="U1105" s="1182"/>
      <c r="V1105" s="1182"/>
      <c r="W1105" s="1182"/>
      <c r="X1105" s="1182"/>
      <c r="Y1105" s="1182"/>
      <c r="Z1105" s="1182"/>
      <c r="AA1105" s="1182"/>
      <c r="AB1105" s="1182"/>
      <c r="AC1105" s="1182"/>
      <c r="AD1105" s="1182"/>
      <c r="AE1105" s="1182"/>
      <c r="AF1105" s="1182"/>
      <c r="AG1105" s="1182"/>
      <c r="AH1105" s="1182"/>
      <c r="AI1105" s="1182"/>
      <c r="AJ1105" s="1182"/>
      <c r="AK1105" s="1182"/>
    </row>
    <row r="1106" spans="1:37" ht="13.2" hidden="1" customHeight="1">
      <c r="A1106" s="1154"/>
      <c r="B1106" s="1154"/>
      <c r="C1106" s="1086"/>
      <c r="D1106" s="1182"/>
      <c r="E1106" s="1182"/>
      <c r="F1106" s="1182"/>
      <c r="G1106" s="1182"/>
      <c r="H1106" s="1182"/>
      <c r="I1106" s="1182"/>
      <c r="J1106" s="1182"/>
      <c r="K1106" s="1182"/>
      <c r="L1106" s="1182"/>
      <c r="M1106" s="1182"/>
      <c r="N1106" s="1182"/>
      <c r="O1106" s="1182"/>
      <c r="P1106" s="1182"/>
      <c r="Q1106" s="1182"/>
      <c r="R1106" s="1182"/>
      <c r="S1106" s="1182"/>
      <c r="T1106" s="1182"/>
      <c r="U1106" s="1182"/>
      <c r="V1106" s="1182"/>
      <c r="W1106" s="1182"/>
      <c r="X1106" s="1182"/>
      <c r="Y1106" s="1182"/>
      <c r="Z1106" s="1182"/>
      <c r="AA1106" s="1182"/>
      <c r="AB1106" s="1182"/>
      <c r="AC1106" s="1182"/>
      <c r="AD1106" s="1182"/>
      <c r="AE1106" s="1182"/>
      <c r="AF1106" s="1182"/>
      <c r="AG1106" s="1182"/>
      <c r="AH1106" s="1182"/>
      <c r="AI1106" s="1182"/>
      <c r="AJ1106" s="1182"/>
      <c r="AK1106" s="1182"/>
    </row>
    <row r="1107" spans="1:37" ht="13.2" hidden="1" customHeight="1">
      <c r="A1107" s="1154"/>
      <c r="B1107" s="1154"/>
      <c r="C1107" s="1086"/>
      <c r="D1107" s="1182"/>
      <c r="E1107" s="1182"/>
      <c r="F1107" s="1182"/>
      <c r="G1107" s="1182"/>
      <c r="H1107" s="1182"/>
      <c r="I1107" s="1182"/>
      <c r="J1107" s="1182"/>
      <c r="K1107" s="1182"/>
      <c r="L1107" s="1182"/>
      <c r="M1107" s="1182"/>
      <c r="N1107" s="1182"/>
      <c r="O1107" s="1182"/>
      <c r="P1107" s="1182"/>
      <c r="Q1107" s="1182"/>
      <c r="R1107" s="1182"/>
      <c r="S1107" s="1182"/>
      <c r="T1107" s="1182"/>
      <c r="U1107" s="1182"/>
      <c r="V1107" s="1182"/>
      <c r="W1107" s="1182"/>
      <c r="X1107" s="1182"/>
      <c r="Y1107" s="1182"/>
      <c r="Z1107" s="1182"/>
      <c r="AA1107" s="1182"/>
      <c r="AB1107" s="1182"/>
      <c r="AC1107" s="1182"/>
      <c r="AD1107" s="1182"/>
      <c r="AE1107" s="1182"/>
      <c r="AF1107" s="1182"/>
      <c r="AG1107" s="1182"/>
      <c r="AH1107" s="1182"/>
      <c r="AI1107" s="1182"/>
      <c r="AJ1107" s="1182"/>
      <c r="AK1107" s="1182"/>
    </row>
    <row r="1108" spans="1:37" ht="13.2" hidden="1" customHeight="1">
      <c r="A1108" s="1154"/>
      <c r="B1108" s="1154"/>
      <c r="C1108" s="1086"/>
      <c r="D1108" s="1182"/>
      <c r="E1108" s="1182"/>
      <c r="F1108" s="1182"/>
      <c r="G1108" s="1182"/>
      <c r="H1108" s="1182"/>
      <c r="I1108" s="1182"/>
      <c r="J1108" s="1182"/>
      <c r="K1108" s="1182"/>
      <c r="L1108" s="1182"/>
      <c r="M1108" s="1182"/>
      <c r="N1108" s="1182"/>
      <c r="O1108" s="1182"/>
      <c r="P1108" s="1182"/>
      <c r="Q1108" s="1182"/>
      <c r="R1108" s="1182"/>
      <c r="S1108" s="1182"/>
      <c r="T1108" s="1182"/>
      <c r="U1108" s="1182"/>
      <c r="V1108" s="1182"/>
      <c r="W1108" s="1182"/>
      <c r="X1108" s="1182"/>
      <c r="Y1108" s="1182"/>
      <c r="Z1108" s="1182"/>
      <c r="AA1108" s="1182"/>
      <c r="AB1108" s="1182"/>
      <c r="AC1108" s="1182"/>
      <c r="AD1108" s="1182"/>
      <c r="AE1108" s="1182"/>
      <c r="AF1108" s="1182"/>
      <c r="AG1108" s="1182"/>
      <c r="AH1108" s="1182"/>
      <c r="AI1108" s="1182"/>
      <c r="AJ1108" s="1182"/>
      <c r="AK1108" s="1182"/>
    </row>
    <row r="1109" spans="1:37" ht="13.2" hidden="1" customHeight="1">
      <c r="A1109" s="1154"/>
      <c r="B1109" s="1154"/>
      <c r="C1109" s="1086"/>
      <c r="D1109" s="1182"/>
      <c r="E1109" s="1182"/>
      <c r="F1109" s="1182"/>
      <c r="G1109" s="1182"/>
      <c r="H1109" s="1182"/>
      <c r="I1109" s="1182"/>
      <c r="J1109" s="1182"/>
      <c r="K1109" s="1182"/>
      <c r="L1109" s="1182"/>
      <c r="M1109" s="1182"/>
      <c r="N1109" s="1182"/>
      <c r="O1109" s="1182"/>
      <c r="P1109" s="1182"/>
      <c r="Q1109" s="1182"/>
      <c r="R1109" s="1182"/>
      <c r="S1109" s="1182"/>
      <c r="T1109" s="1182"/>
      <c r="U1109" s="1182"/>
      <c r="V1109" s="1182"/>
      <c r="W1109" s="1182"/>
      <c r="X1109" s="1182"/>
      <c r="Y1109" s="1182"/>
      <c r="Z1109" s="1182"/>
      <c r="AA1109" s="1182"/>
      <c r="AB1109" s="1182"/>
      <c r="AC1109" s="1182"/>
      <c r="AD1109" s="1182"/>
      <c r="AE1109" s="1182"/>
      <c r="AF1109" s="1182"/>
      <c r="AG1109" s="1182"/>
      <c r="AH1109" s="1182"/>
      <c r="AI1109" s="1182"/>
      <c r="AJ1109" s="1182"/>
      <c r="AK1109" s="1182"/>
    </row>
    <row r="1110" spans="1:37" ht="13.2" hidden="1" customHeight="1">
      <c r="A1110" s="1154"/>
      <c r="B1110" s="1154"/>
      <c r="C1110" s="1086"/>
      <c r="D1110" s="1182"/>
      <c r="E1110" s="1182"/>
      <c r="F1110" s="1182"/>
      <c r="G1110" s="1182"/>
      <c r="H1110" s="1182"/>
      <c r="I1110" s="1182"/>
      <c r="J1110" s="1182"/>
      <c r="K1110" s="1182"/>
      <c r="L1110" s="1182"/>
      <c r="M1110" s="1182"/>
      <c r="N1110" s="1182"/>
      <c r="O1110" s="1182"/>
      <c r="P1110" s="1182"/>
      <c r="Q1110" s="1182"/>
      <c r="R1110" s="1182"/>
      <c r="S1110" s="1182"/>
      <c r="T1110" s="1182"/>
      <c r="U1110" s="1182"/>
      <c r="V1110" s="1182"/>
      <c r="W1110" s="1182"/>
      <c r="X1110" s="1182"/>
      <c r="Y1110" s="1182"/>
      <c r="Z1110" s="1182"/>
      <c r="AA1110" s="1182"/>
      <c r="AB1110" s="1182"/>
      <c r="AC1110" s="1182"/>
      <c r="AD1110" s="1182"/>
      <c r="AE1110" s="1182"/>
      <c r="AF1110" s="1182"/>
      <c r="AG1110" s="1182"/>
      <c r="AH1110" s="1182"/>
      <c r="AI1110" s="1182"/>
      <c r="AJ1110" s="1182"/>
      <c r="AK1110" s="1182"/>
    </row>
    <row r="1111" spans="1:37" ht="13.2" hidden="1" customHeight="1">
      <c r="A1111" s="1154"/>
      <c r="B1111" s="1154"/>
      <c r="C1111" s="1086"/>
      <c r="D1111" s="1182"/>
      <c r="E1111" s="1182"/>
      <c r="F1111" s="1182"/>
      <c r="G1111" s="1182"/>
      <c r="H1111" s="1182"/>
      <c r="I1111" s="1182"/>
      <c r="J1111" s="1182"/>
      <c r="K1111" s="1182"/>
      <c r="L1111" s="1182"/>
      <c r="M1111" s="1182"/>
      <c r="N1111" s="1182"/>
      <c r="O1111" s="1182"/>
      <c r="P1111" s="1182"/>
      <c r="Q1111" s="1182"/>
      <c r="R1111" s="1182"/>
      <c r="S1111" s="1182"/>
      <c r="T1111" s="1182"/>
      <c r="U1111" s="1182"/>
      <c r="V1111" s="1182"/>
      <c r="W1111" s="1182"/>
      <c r="X1111" s="1182"/>
      <c r="Y1111" s="1182"/>
      <c r="Z1111" s="1182"/>
      <c r="AA1111" s="1182"/>
      <c r="AB1111" s="1182"/>
      <c r="AC1111" s="1182"/>
      <c r="AD1111" s="1182"/>
      <c r="AE1111" s="1182"/>
      <c r="AF1111" s="1182"/>
      <c r="AG1111" s="1182"/>
      <c r="AH1111" s="1182"/>
      <c r="AI1111" s="1182"/>
      <c r="AJ1111" s="1182"/>
      <c r="AK1111" s="1182"/>
    </row>
    <row r="1112" spans="1:37" ht="13.2" hidden="1" customHeight="1">
      <c r="A1112" s="1154"/>
      <c r="B1112" s="1154"/>
      <c r="C1112" s="1086"/>
      <c r="D1112" s="1182"/>
      <c r="E1112" s="1182"/>
      <c r="F1112" s="1182"/>
      <c r="G1112" s="1182"/>
      <c r="H1112" s="1182"/>
      <c r="I1112" s="1182"/>
      <c r="J1112" s="1182"/>
      <c r="K1112" s="1182"/>
      <c r="L1112" s="1182"/>
      <c r="M1112" s="1182"/>
      <c r="N1112" s="1182"/>
      <c r="O1112" s="1182"/>
      <c r="P1112" s="1182"/>
      <c r="Q1112" s="1182"/>
      <c r="R1112" s="1182"/>
      <c r="S1112" s="1182"/>
      <c r="T1112" s="1182"/>
      <c r="U1112" s="1182"/>
      <c r="V1112" s="1182"/>
      <c r="W1112" s="1182"/>
      <c r="X1112" s="1182"/>
      <c r="Y1112" s="1182"/>
      <c r="Z1112" s="1182"/>
      <c r="AA1112" s="1182"/>
      <c r="AB1112" s="1182"/>
      <c r="AC1112" s="1182"/>
      <c r="AD1112" s="1182"/>
      <c r="AE1112" s="1182"/>
      <c r="AF1112" s="1182"/>
      <c r="AG1112" s="1182"/>
      <c r="AH1112" s="1182"/>
      <c r="AI1112" s="1182"/>
      <c r="AJ1112" s="1182"/>
      <c r="AK1112" s="1182"/>
    </row>
    <row r="1113" spans="1:37" ht="13.2" hidden="1" customHeight="1">
      <c r="A1113" s="1154"/>
      <c r="B1113" s="1154"/>
      <c r="C1113" s="1086"/>
      <c r="D1113" s="1182"/>
      <c r="E1113" s="1182"/>
      <c r="F1113" s="1182"/>
      <c r="G1113" s="1182"/>
      <c r="H1113" s="1182"/>
      <c r="I1113" s="1182"/>
      <c r="J1113" s="1182"/>
      <c r="K1113" s="1182"/>
      <c r="L1113" s="1182"/>
      <c r="M1113" s="1182"/>
      <c r="N1113" s="1182"/>
      <c r="O1113" s="1182"/>
      <c r="P1113" s="1182"/>
      <c r="Q1113" s="1182"/>
      <c r="R1113" s="1182"/>
      <c r="S1113" s="1182"/>
      <c r="T1113" s="1182"/>
      <c r="U1113" s="1182"/>
      <c r="V1113" s="1182"/>
      <c r="W1113" s="1182"/>
      <c r="X1113" s="1182"/>
      <c r="Y1113" s="1182"/>
      <c r="Z1113" s="1182"/>
      <c r="AA1113" s="1182"/>
      <c r="AB1113" s="1182"/>
      <c r="AC1113" s="1182"/>
      <c r="AD1113" s="1182"/>
      <c r="AE1113" s="1182"/>
      <c r="AF1113" s="1182"/>
      <c r="AG1113" s="1182"/>
      <c r="AH1113" s="1182"/>
      <c r="AI1113" s="1182"/>
      <c r="AJ1113" s="1182"/>
      <c r="AK1113" s="1182"/>
    </row>
    <row r="1114" spans="1:37" ht="13.2" hidden="1" customHeight="1">
      <c r="A1114" s="1154"/>
      <c r="B1114" s="1154"/>
      <c r="C1114" s="1086"/>
      <c r="D1114" s="1182"/>
      <c r="E1114" s="1182"/>
      <c r="F1114" s="1182"/>
      <c r="G1114" s="1182"/>
      <c r="H1114" s="1182"/>
      <c r="I1114" s="1182"/>
      <c r="J1114" s="1182"/>
      <c r="K1114" s="1182"/>
      <c r="L1114" s="1182"/>
      <c r="M1114" s="1182"/>
      <c r="N1114" s="1182"/>
      <c r="O1114" s="1182"/>
      <c r="P1114" s="1182"/>
      <c r="Q1114" s="1182"/>
      <c r="R1114" s="1182"/>
      <c r="S1114" s="1182"/>
      <c r="T1114" s="1182"/>
      <c r="U1114" s="1182"/>
      <c r="V1114" s="1182"/>
      <c r="W1114" s="1182"/>
      <c r="X1114" s="1182"/>
      <c r="Y1114" s="1182"/>
      <c r="Z1114" s="1182"/>
      <c r="AA1114" s="1182"/>
      <c r="AB1114" s="1182"/>
      <c r="AC1114" s="1182"/>
      <c r="AD1114" s="1182"/>
      <c r="AE1114" s="1182"/>
      <c r="AF1114" s="1182"/>
      <c r="AG1114" s="1182"/>
      <c r="AH1114" s="1182"/>
      <c r="AI1114" s="1182"/>
      <c r="AJ1114" s="1182"/>
      <c r="AK1114" s="1182"/>
    </row>
    <row r="1115" spans="1:37" ht="13.2" hidden="1" customHeight="1">
      <c r="A1115" s="1154"/>
      <c r="B1115" s="1154"/>
      <c r="C1115" s="1086"/>
      <c r="D1115" s="1182"/>
      <c r="E1115" s="1182"/>
      <c r="F1115" s="1182"/>
      <c r="G1115" s="1182"/>
      <c r="H1115" s="1182"/>
      <c r="I1115" s="1182"/>
      <c r="J1115" s="1182"/>
      <c r="K1115" s="1182"/>
      <c r="L1115" s="1182"/>
      <c r="M1115" s="1182"/>
      <c r="N1115" s="1182"/>
      <c r="O1115" s="1182"/>
      <c r="P1115" s="1182"/>
      <c r="Q1115" s="1182"/>
      <c r="R1115" s="1182"/>
      <c r="S1115" s="1182"/>
      <c r="T1115" s="1182"/>
      <c r="U1115" s="1182"/>
      <c r="V1115" s="1182"/>
      <c r="W1115" s="1182"/>
      <c r="X1115" s="1182"/>
      <c r="Y1115" s="1182"/>
      <c r="Z1115" s="1182"/>
      <c r="AA1115" s="1182"/>
      <c r="AB1115" s="1182"/>
      <c r="AC1115" s="1182"/>
      <c r="AD1115" s="1182"/>
      <c r="AE1115" s="1182"/>
      <c r="AF1115" s="1182"/>
      <c r="AG1115" s="1182"/>
      <c r="AH1115" s="1182"/>
      <c r="AI1115" s="1182"/>
      <c r="AJ1115" s="1182"/>
      <c r="AK1115" s="1182"/>
    </row>
    <row r="1116" spans="1:37" ht="13.2" hidden="1" customHeight="1">
      <c r="A1116" s="1154"/>
      <c r="B1116" s="1154"/>
      <c r="C1116" s="1086"/>
      <c r="D1116" s="1182"/>
      <c r="E1116" s="1182"/>
      <c r="F1116" s="1182"/>
      <c r="G1116" s="1182"/>
      <c r="H1116" s="1182"/>
      <c r="I1116" s="1182"/>
      <c r="J1116" s="1182"/>
      <c r="K1116" s="1182"/>
      <c r="L1116" s="1182"/>
      <c r="M1116" s="1182"/>
      <c r="N1116" s="1182"/>
      <c r="O1116" s="1182"/>
      <c r="P1116" s="1182"/>
      <c r="Q1116" s="1182"/>
      <c r="R1116" s="1182"/>
      <c r="S1116" s="1182"/>
      <c r="T1116" s="1182"/>
      <c r="U1116" s="1182"/>
      <c r="V1116" s="1182"/>
      <c r="W1116" s="1182"/>
      <c r="X1116" s="1182"/>
      <c r="Y1116" s="1182"/>
      <c r="Z1116" s="1182"/>
      <c r="AA1116" s="1182"/>
      <c r="AB1116" s="1182"/>
      <c r="AC1116" s="1182"/>
      <c r="AD1116" s="1182"/>
      <c r="AE1116" s="1182"/>
      <c r="AF1116" s="1182"/>
      <c r="AG1116" s="1182"/>
      <c r="AH1116" s="1182"/>
      <c r="AI1116" s="1182"/>
      <c r="AJ1116" s="1182"/>
      <c r="AK1116" s="1182"/>
    </row>
    <row r="1117" spans="1:37" ht="13.2" hidden="1" customHeight="1">
      <c r="A1117" s="1154"/>
      <c r="B1117" s="1154"/>
      <c r="C1117" s="1086"/>
      <c r="D1117" s="1182"/>
      <c r="E1117" s="1182"/>
      <c r="F1117" s="1182"/>
      <c r="G1117" s="1182"/>
      <c r="H1117" s="1182"/>
      <c r="I1117" s="1182"/>
      <c r="J1117" s="1182"/>
      <c r="K1117" s="1182"/>
      <c r="L1117" s="1182"/>
      <c r="M1117" s="1182"/>
      <c r="N1117" s="1182"/>
      <c r="O1117" s="1182"/>
      <c r="P1117" s="1182"/>
      <c r="Q1117" s="1182"/>
      <c r="R1117" s="1182"/>
      <c r="S1117" s="1182"/>
      <c r="T1117" s="1182"/>
      <c r="U1117" s="1182"/>
      <c r="V1117" s="1182"/>
      <c r="W1117" s="1182"/>
      <c r="X1117" s="1182"/>
      <c r="Y1117" s="1182"/>
      <c r="Z1117" s="1182"/>
      <c r="AA1117" s="1182"/>
      <c r="AB1117" s="1182"/>
      <c r="AC1117" s="1182"/>
      <c r="AD1117" s="1182"/>
      <c r="AE1117" s="1182"/>
      <c r="AF1117" s="1182"/>
      <c r="AG1117" s="1182"/>
      <c r="AH1117" s="1182"/>
      <c r="AI1117" s="1182"/>
      <c r="AJ1117" s="1182"/>
      <c r="AK1117" s="1182"/>
    </row>
    <row r="1118" spans="1:37" ht="13.2" hidden="1" customHeight="1">
      <c r="A1118" s="1154"/>
      <c r="B1118" s="1154"/>
      <c r="C1118" s="1086"/>
      <c r="D1118" s="1182"/>
      <c r="E1118" s="1182"/>
      <c r="F1118" s="1182"/>
      <c r="G1118" s="1182"/>
      <c r="H1118" s="1182"/>
      <c r="I1118" s="1182"/>
      <c r="J1118" s="1182"/>
      <c r="K1118" s="1182"/>
      <c r="L1118" s="1182"/>
      <c r="M1118" s="1182"/>
      <c r="N1118" s="1182"/>
      <c r="O1118" s="1182"/>
      <c r="P1118" s="1182"/>
      <c r="Q1118" s="1182"/>
      <c r="R1118" s="1182"/>
      <c r="S1118" s="1182"/>
      <c r="T1118" s="1182"/>
      <c r="U1118" s="1182"/>
      <c r="V1118" s="1182"/>
      <c r="W1118" s="1182"/>
      <c r="X1118" s="1182"/>
      <c r="Y1118" s="1182"/>
      <c r="Z1118" s="1182"/>
      <c r="AA1118" s="1182"/>
      <c r="AB1118" s="1182"/>
      <c r="AC1118" s="1182"/>
      <c r="AD1118" s="1182"/>
      <c r="AE1118" s="1182"/>
      <c r="AF1118" s="1182"/>
      <c r="AG1118" s="1182"/>
      <c r="AH1118" s="1182"/>
      <c r="AI1118" s="1182"/>
      <c r="AJ1118" s="1182"/>
      <c r="AK1118" s="1182"/>
    </row>
    <row r="1119" spans="1:37" ht="13.2" hidden="1" customHeight="1">
      <c r="A1119" s="1154"/>
      <c r="B1119" s="1154"/>
      <c r="C1119" s="1086"/>
      <c r="D1119" s="1182"/>
      <c r="E1119" s="1182"/>
      <c r="F1119" s="1182"/>
      <c r="G1119" s="1182"/>
      <c r="H1119" s="1182"/>
      <c r="I1119" s="1182"/>
      <c r="J1119" s="1182"/>
      <c r="K1119" s="1182"/>
      <c r="L1119" s="1182"/>
      <c r="M1119" s="1182"/>
      <c r="N1119" s="1182"/>
      <c r="O1119" s="1182"/>
      <c r="P1119" s="1182"/>
      <c r="Q1119" s="1182"/>
      <c r="R1119" s="1182"/>
      <c r="S1119" s="1182"/>
      <c r="T1119" s="1182"/>
      <c r="U1119" s="1182"/>
      <c r="V1119" s="1182"/>
      <c r="W1119" s="1182"/>
      <c r="X1119" s="1182"/>
      <c r="Y1119" s="1182"/>
      <c r="Z1119" s="1182"/>
      <c r="AA1119" s="1182"/>
      <c r="AB1119" s="1182"/>
      <c r="AC1119" s="1182"/>
      <c r="AD1119" s="1182"/>
      <c r="AE1119" s="1182"/>
      <c r="AF1119" s="1182"/>
      <c r="AG1119" s="1182"/>
      <c r="AH1119" s="1182"/>
      <c r="AI1119" s="1182"/>
      <c r="AJ1119" s="1182"/>
      <c r="AK1119" s="1182"/>
    </row>
    <row r="1120" spans="1:37" ht="13.2" hidden="1" customHeight="1">
      <c r="A1120" s="1154"/>
      <c r="B1120" s="1154"/>
      <c r="C1120" s="1086"/>
      <c r="D1120" s="1182"/>
      <c r="E1120" s="1182"/>
      <c r="F1120" s="1182"/>
      <c r="G1120" s="1182"/>
      <c r="H1120" s="1182"/>
      <c r="I1120" s="1182"/>
      <c r="J1120" s="1182"/>
      <c r="K1120" s="1182"/>
      <c r="L1120" s="1182"/>
      <c r="M1120" s="1182"/>
      <c r="N1120" s="1182"/>
      <c r="O1120" s="1182"/>
      <c r="P1120" s="1182"/>
      <c r="Q1120" s="1182"/>
      <c r="R1120" s="1182"/>
      <c r="S1120" s="1182"/>
      <c r="T1120" s="1182"/>
      <c r="U1120" s="1182"/>
      <c r="V1120" s="1182"/>
      <c r="W1120" s="1182"/>
      <c r="X1120" s="1182"/>
      <c r="Y1120" s="1182"/>
      <c r="Z1120" s="1182"/>
      <c r="AA1120" s="1182"/>
      <c r="AB1120" s="1182"/>
      <c r="AC1120" s="1182"/>
      <c r="AD1120" s="1182"/>
      <c r="AE1120" s="1182"/>
      <c r="AF1120" s="1182"/>
      <c r="AG1120" s="1182"/>
      <c r="AH1120" s="1182"/>
      <c r="AI1120" s="1182"/>
      <c r="AJ1120" s="1182"/>
      <c r="AK1120" s="1182"/>
    </row>
    <row r="1121" spans="1:37" ht="13.2" hidden="1" customHeight="1">
      <c r="A1121" s="1154"/>
      <c r="B1121" s="1154"/>
      <c r="C1121" s="1086"/>
      <c r="D1121" s="1182"/>
      <c r="E1121" s="1182"/>
      <c r="F1121" s="1182"/>
      <c r="G1121" s="1182"/>
      <c r="H1121" s="1182"/>
      <c r="I1121" s="1182"/>
      <c r="J1121" s="1182"/>
      <c r="K1121" s="1182"/>
      <c r="L1121" s="1182"/>
      <c r="M1121" s="1182"/>
      <c r="N1121" s="1182"/>
      <c r="O1121" s="1182"/>
      <c r="P1121" s="1182"/>
      <c r="Q1121" s="1182"/>
      <c r="R1121" s="1182"/>
      <c r="S1121" s="1182"/>
      <c r="T1121" s="1182"/>
      <c r="U1121" s="1182"/>
      <c r="V1121" s="1182"/>
      <c r="W1121" s="1182"/>
      <c r="X1121" s="1182"/>
      <c r="Y1121" s="1182"/>
      <c r="Z1121" s="1182"/>
      <c r="AA1121" s="1182"/>
      <c r="AB1121" s="1182"/>
      <c r="AC1121" s="1182"/>
      <c r="AD1121" s="1182"/>
      <c r="AE1121" s="1182"/>
      <c r="AF1121" s="1182"/>
      <c r="AG1121" s="1182"/>
      <c r="AH1121" s="1182"/>
      <c r="AI1121" s="1182"/>
      <c r="AJ1121" s="1182"/>
      <c r="AK1121" s="1182"/>
    </row>
    <row r="1122" spans="1:37" ht="13.2" hidden="1" customHeight="1">
      <c r="A1122" s="1154"/>
      <c r="B1122" s="1154"/>
      <c r="C1122" s="1086"/>
      <c r="D1122" s="1182"/>
      <c r="E1122" s="1182"/>
      <c r="F1122" s="1182"/>
      <c r="G1122" s="1182"/>
      <c r="H1122" s="1182"/>
      <c r="I1122" s="1182"/>
      <c r="J1122" s="1182"/>
      <c r="K1122" s="1182"/>
      <c r="L1122" s="1182"/>
      <c r="M1122" s="1182"/>
      <c r="N1122" s="1182"/>
      <c r="O1122" s="1182"/>
      <c r="P1122" s="1182"/>
      <c r="Q1122" s="1182"/>
      <c r="R1122" s="1182"/>
      <c r="S1122" s="1182"/>
      <c r="T1122" s="1182"/>
      <c r="U1122" s="1182"/>
      <c r="V1122" s="1182"/>
      <c r="W1122" s="1182"/>
      <c r="X1122" s="1182"/>
      <c r="Y1122" s="1182"/>
      <c r="Z1122" s="1182"/>
      <c r="AA1122" s="1182"/>
      <c r="AB1122" s="1182"/>
      <c r="AC1122" s="1182"/>
      <c r="AD1122" s="1182"/>
      <c r="AE1122" s="1182"/>
      <c r="AF1122" s="1182"/>
      <c r="AG1122" s="1182"/>
      <c r="AH1122" s="1182"/>
      <c r="AI1122" s="1182"/>
      <c r="AJ1122" s="1182"/>
      <c r="AK1122" s="1182"/>
    </row>
    <row r="1123" spans="1:37" ht="0" hidden="1" customHeight="1">
      <c r="A1123" s="1154"/>
      <c r="B1123" s="1154"/>
      <c r="C1123" s="1086"/>
      <c r="D1123" s="1182"/>
      <c r="E1123" s="1182"/>
      <c r="F1123" s="1182"/>
      <c r="G1123" s="1182"/>
      <c r="H1123" s="1182"/>
      <c r="I1123" s="1182"/>
      <c r="J1123" s="1182"/>
      <c r="K1123" s="1182"/>
      <c r="L1123" s="1182"/>
      <c r="M1123" s="1182"/>
      <c r="N1123" s="1182"/>
      <c r="O1123" s="1182"/>
      <c r="P1123" s="1182"/>
      <c r="Q1123" s="1182"/>
      <c r="R1123" s="1182"/>
      <c r="S1123" s="1182"/>
      <c r="T1123" s="1182"/>
      <c r="U1123" s="1182"/>
      <c r="V1123" s="1182"/>
      <c r="W1123" s="1182"/>
      <c r="X1123" s="1182"/>
      <c r="Y1123" s="1182"/>
      <c r="Z1123" s="1182"/>
      <c r="AA1123" s="1182"/>
      <c r="AB1123" s="1182"/>
      <c r="AC1123" s="1182"/>
      <c r="AD1123" s="1182"/>
      <c r="AE1123" s="1182"/>
      <c r="AF1123" s="1182"/>
      <c r="AG1123" s="1182"/>
      <c r="AH1123" s="1182"/>
      <c r="AI1123" s="1182"/>
      <c r="AJ1123" s="1182"/>
      <c r="AK1123" s="1182"/>
    </row>
    <row r="1124" spans="1:37" ht="0" hidden="1" customHeight="1">
      <c r="A1124" s="68"/>
      <c r="B1124" s="19"/>
      <c r="C1124" s="1086"/>
      <c r="D1124" s="1182"/>
      <c r="E1124" s="1182"/>
      <c r="F1124" s="1182"/>
      <c r="G1124" s="1182"/>
      <c r="H1124" s="1182"/>
      <c r="I1124" s="1182"/>
      <c r="J1124" s="1182"/>
      <c r="K1124" s="1182"/>
      <c r="L1124" s="1182"/>
      <c r="M1124" s="1182"/>
      <c r="N1124" s="1182"/>
      <c r="O1124" s="1182"/>
      <c r="P1124" s="1182"/>
      <c r="Q1124" s="1182"/>
      <c r="R1124" s="1182"/>
      <c r="S1124" s="1182"/>
      <c r="T1124" s="1182"/>
      <c r="U1124" s="1182"/>
      <c r="V1124" s="1182"/>
      <c r="W1124" s="1182"/>
      <c r="X1124" s="1182"/>
      <c r="Y1124" s="1182"/>
      <c r="Z1124" s="1182"/>
      <c r="AA1124" s="1182"/>
      <c r="AB1124" s="1182"/>
      <c r="AC1124" s="1182"/>
      <c r="AD1124" s="1182"/>
      <c r="AE1124" s="1182"/>
      <c r="AF1124" s="1182"/>
      <c r="AG1124" s="1182"/>
      <c r="AH1124" s="1182"/>
      <c r="AI1124" s="1182"/>
      <c r="AJ1124" s="1182"/>
      <c r="AK1124" s="1182"/>
    </row>
    <row r="1125" spans="1:37" ht="0" hidden="1" customHeight="1">
      <c r="A1125" s="1370" t="s">
        <v>810</v>
      </c>
      <c r="B1125" s="1370"/>
      <c r="C1125" s="1086">
        <v>9</v>
      </c>
      <c r="D1125" s="1224" t="s">
        <v>1745</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68"/>
      <c r="B1126" s="19"/>
      <c r="C1126" s="1086"/>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10.1999999999999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8">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H582:R582"/>
    <mergeCell ref="Z579:AK579"/>
    <mergeCell ref="AK624:AN626"/>
    <mergeCell ref="AG599:AH59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G569:R569"/>
    <mergeCell ref="G595:R595"/>
    <mergeCell ref="G596:R596"/>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D86" sqref="D86"/>
    </sheetView>
  </sheetViews>
  <sheetFormatPr defaultColWidth="0" defaultRowHeight="11.4" zeroHeight="1"/>
  <cols>
    <col min="1" max="1" width="35.6640625" style="105" customWidth="1"/>
    <col min="2" max="12" width="12.33203125" style="90" customWidth="1"/>
    <col min="13" max="17" width="11.33203125" style="90" customWidth="1"/>
    <col min="18" max="18" width="12.6640625" style="90" customWidth="1"/>
    <col min="19" max="20" width="12.33203125" style="90" customWidth="1"/>
    <col min="21" max="21" width="0.33203125" style="92" customWidth="1"/>
    <col min="22" max="16383" width="8.6640625" style="90" hidden="1"/>
    <col min="16384" max="16384" width="0.33203125" style="90" customWidth="1"/>
  </cols>
  <sheetData>
    <row r="1" spans="1:21" s="62" customFormat="1" ht="13.8">
      <c r="A1" s="95" t="s">
        <v>1746</v>
      </c>
      <c r="B1" s="73"/>
      <c r="C1" s="73"/>
      <c r="D1" s="73"/>
      <c r="E1" s="74"/>
      <c r="F1" s="1796" t="s">
        <v>1747</v>
      </c>
      <c r="G1" s="1797"/>
      <c r="H1" s="1797"/>
      <c r="I1" s="1797"/>
      <c r="J1" s="1797"/>
      <c r="K1" s="1797"/>
      <c r="L1" s="1797"/>
      <c r="M1" s="1797"/>
      <c r="N1" s="1797"/>
      <c r="O1" s="1797"/>
      <c r="P1" s="1797"/>
      <c r="Q1" s="1797"/>
      <c r="R1" s="1798"/>
      <c r="S1" s="64"/>
      <c r="T1" s="63"/>
      <c r="U1" s="65"/>
    </row>
    <row r="2" spans="1:21" s="79" customFormat="1" ht="71.25" customHeight="1">
      <c r="A2" s="78"/>
      <c r="B2" s="79" t="s">
        <v>1748</v>
      </c>
      <c r="C2" s="79" t="s">
        <v>1749</v>
      </c>
      <c r="D2" s="79" t="s">
        <v>1750</v>
      </c>
      <c r="E2" s="79" t="s">
        <v>1751</v>
      </c>
      <c r="F2" s="80" t="str">
        <f>Application!B627&amp;Application!C627</f>
        <v>1)Permanent Loan- Citibank</v>
      </c>
      <c r="G2" s="80" t="str">
        <f>Application!B628&amp;Application!C628</f>
        <v>2)Safehold TI Allowance</v>
      </c>
      <c r="H2" s="80" t="str">
        <f>Application!B629&amp;Application!C629</f>
        <v>3)Deferred Developer Fee</v>
      </c>
      <c r="I2" s="80" t="str">
        <f>Application!B630&amp;Application!C630</f>
        <v>4)</v>
      </c>
      <c r="J2" s="80" t="str">
        <f>Application!B631&amp;Application!C631</f>
        <v>5)</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1752</v>
      </c>
      <c r="S2" s="79" t="s">
        <v>1753</v>
      </c>
      <c r="T2" s="79" t="s">
        <v>1754</v>
      </c>
      <c r="U2" s="81"/>
    </row>
    <row r="3" spans="1:21" s="83" customFormat="1">
      <c r="A3" s="82" t="s">
        <v>1755</v>
      </c>
      <c r="B3" s="1087"/>
      <c r="C3" s="1087"/>
      <c r="D3" s="1087"/>
      <c r="E3" s="1087"/>
      <c r="F3" s="1087"/>
      <c r="G3" s="1087"/>
      <c r="H3" s="1087"/>
      <c r="I3" s="1087"/>
      <c r="J3" s="1087"/>
      <c r="K3" s="1087"/>
      <c r="L3" s="1087"/>
      <c r="M3" s="1087"/>
      <c r="N3" s="1087"/>
      <c r="O3" s="1087"/>
      <c r="P3" s="1087"/>
      <c r="Q3" s="1087"/>
      <c r="R3" s="1087"/>
      <c r="S3" s="1087"/>
      <c r="T3" s="1087"/>
      <c r="U3" s="1088"/>
    </row>
    <row r="4" spans="1:21" s="83" customFormat="1">
      <c r="A4" s="170" t="s">
        <v>1756</v>
      </c>
      <c r="B4" s="216">
        <f>SUM(C4+D4)</f>
        <v>0</v>
      </c>
      <c r="C4" s="780"/>
      <c r="D4" s="780"/>
      <c r="E4" s="780"/>
      <c r="F4" s="780"/>
      <c r="G4" s="780"/>
      <c r="H4" s="780"/>
      <c r="I4" s="780"/>
      <c r="J4" s="780"/>
      <c r="K4" s="780"/>
      <c r="L4" s="780"/>
      <c r="M4" s="780"/>
      <c r="N4" s="780"/>
      <c r="O4" s="780"/>
      <c r="P4" s="780"/>
      <c r="Q4" s="780"/>
      <c r="R4" s="367">
        <f>SUM(E4:Q4)</f>
        <v>0</v>
      </c>
      <c r="S4" s="1089"/>
      <c r="T4" s="1089"/>
      <c r="U4" s="1088"/>
    </row>
    <row r="5" spans="1:21" s="83" customFormat="1">
      <c r="A5" s="170" t="s">
        <v>690</v>
      </c>
      <c r="B5" s="216">
        <f>SUM(C5+D5)</f>
        <v>100000</v>
      </c>
      <c r="C5" s="780">
        <v>100000</v>
      </c>
      <c r="D5" s="780"/>
      <c r="E5" s="780">
        <f>C5</f>
        <v>100000</v>
      </c>
      <c r="F5" s="780"/>
      <c r="G5" s="780"/>
      <c r="H5" s="780"/>
      <c r="I5" s="780"/>
      <c r="J5" s="780"/>
      <c r="K5" s="780"/>
      <c r="L5" s="780"/>
      <c r="M5" s="780"/>
      <c r="N5" s="780"/>
      <c r="O5" s="780"/>
      <c r="P5" s="780"/>
      <c r="Q5" s="780"/>
      <c r="R5" s="367">
        <f>SUM(E5:Q5)</f>
        <v>100000</v>
      </c>
      <c r="S5" s="1089"/>
      <c r="T5" s="1089"/>
      <c r="U5" s="1088"/>
    </row>
    <row r="6" spans="1:21" s="83" customFormat="1">
      <c r="A6" s="170" t="s">
        <v>1757</v>
      </c>
      <c r="B6" s="216">
        <f>SUM(C6+D6)</f>
        <v>0</v>
      </c>
      <c r="C6" s="780"/>
      <c r="D6" s="780"/>
      <c r="E6" s="780"/>
      <c r="F6" s="780"/>
      <c r="G6" s="780"/>
      <c r="H6" s="780"/>
      <c r="I6" s="780"/>
      <c r="J6" s="780"/>
      <c r="K6" s="780"/>
      <c r="L6" s="780"/>
      <c r="M6" s="780"/>
      <c r="N6" s="780"/>
      <c r="O6" s="780"/>
      <c r="P6" s="780"/>
      <c r="Q6" s="780"/>
      <c r="R6" s="367">
        <f>SUM(E6:Q6)</f>
        <v>0</v>
      </c>
      <c r="S6" s="1089"/>
      <c r="T6" s="1089"/>
      <c r="U6" s="1088"/>
    </row>
    <row r="7" spans="1:21" s="83" customFormat="1">
      <c r="A7" s="170" t="s">
        <v>1758</v>
      </c>
      <c r="B7" s="216">
        <f>SUM(C7+D7)</f>
        <v>0</v>
      </c>
      <c r="C7" s="780"/>
      <c r="D7" s="780"/>
      <c r="E7" s="780"/>
      <c r="F7" s="780"/>
      <c r="G7" s="780"/>
      <c r="H7" s="780"/>
      <c r="I7" s="780"/>
      <c r="J7" s="780"/>
      <c r="K7" s="780"/>
      <c r="L7" s="780"/>
      <c r="M7" s="780"/>
      <c r="N7" s="780"/>
      <c r="O7" s="780"/>
      <c r="P7" s="780"/>
      <c r="Q7" s="780"/>
      <c r="R7" s="367">
        <f>SUM(E7:Q7)</f>
        <v>0</v>
      </c>
      <c r="S7" s="1089"/>
      <c r="T7" s="1089"/>
      <c r="U7" s="1088"/>
    </row>
    <row r="8" spans="1:21" s="83" customFormat="1" ht="12">
      <c r="A8" s="84" t="s">
        <v>1759</v>
      </c>
      <c r="B8" s="216">
        <f>SUM(C8:D8)</f>
        <v>100000</v>
      </c>
      <c r="C8" s="216">
        <f t="shared" ref="C8:Q8" si="0">SUM(C4:C7)</f>
        <v>100000</v>
      </c>
      <c r="D8" s="216">
        <f t="shared" si="0"/>
        <v>0</v>
      </c>
      <c r="E8" s="216">
        <f t="shared" si="0"/>
        <v>100000</v>
      </c>
      <c r="F8" s="216">
        <f t="shared" si="0"/>
        <v>0</v>
      </c>
      <c r="G8" s="216">
        <f t="shared" si="0"/>
        <v>0</v>
      </c>
      <c r="H8" s="216">
        <f t="shared" si="0"/>
        <v>0</v>
      </c>
      <c r="I8" s="216">
        <f t="shared" si="0"/>
        <v>0</v>
      </c>
      <c r="J8" s="216">
        <f t="shared" si="0"/>
        <v>0</v>
      </c>
      <c r="K8" s="216">
        <f t="shared" si="0"/>
        <v>0</v>
      </c>
      <c r="L8" s="216">
        <f t="shared" si="0"/>
        <v>0</v>
      </c>
      <c r="M8" s="216">
        <f t="shared" si="0"/>
        <v>0</v>
      </c>
      <c r="N8" s="216">
        <f t="shared" si="0"/>
        <v>0</v>
      </c>
      <c r="O8" s="216">
        <f t="shared" si="0"/>
        <v>0</v>
      </c>
      <c r="P8" s="216"/>
      <c r="Q8" s="216">
        <f t="shared" si="0"/>
        <v>0</v>
      </c>
      <c r="R8" s="216">
        <f>SUM(R4:R7)</f>
        <v>100000</v>
      </c>
      <c r="S8" s="1089"/>
      <c r="T8" s="1089"/>
      <c r="U8" s="1088"/>
    </row>
    <row r="9" spans="1:21" s="83" customFormat="1">
      <c r="A9" s="170" t="s">
        <v>1760</v>
      </c>
      <c r="B9" s="216">
        <f>SUM(C9+D9)</f>
        <v>0</v>
      </c>
      <c r="C9" s="780"/>
      <c r="D9" s="780"/>
      <c r="E9" s="780"/>
      <c r="F9" s="780"/>
      <c r="G9" s="780"/>
      <c r="H9" s="780"/>
      <c r="I9" s="780"/>
      <c r="J9" s="780"/>
      <c r="K9" s="780"/>
      <c r="L9" s="780"/>
      <c r="M9" s="780"/>
      <c r="N9" s="780"/>
      <c r="O9" s="780"/>
      <c r="P9" s="780"/>
      <c r="Q9" s="780"/>
      <c r="R9" s="367">
        <f>SUM(E9:Q9)</f>
        <v>0</v>
      </c>
      <c r="S9" s="1089"/>
      <c r="T9" s="780"/>
      <c r="U9" s="1088"/>
    </row>
    <row r="10" spans="1:21" s="83" customFormat="1">
      <c r="A10" s="170" t="s">
        <v>1761</v>
      </c>
      <c r="B10" s="216">
        <f>SUM(C10+D10)</f>
        <v>500000</v>
      </c>
      <c r="C10" s="780">
        <v>500000</v>
      </c>
      <c r="D10" s="780"/>
      <c r="E10" s="780">
        <f>C10</f>
        <v>500000</v>
      </c>
      <c r="F10" s="780"/>
      <c r="G10" s="780"/>
      <c r="H10" s="780"/>
      <c r="I10" s="780"/>
      <c r="J10" s="780"/>
      <c r="K10" s="780"/>
      <c r="L10" s="780"/>
      <c r="M10" s="780"/>
      <c r="N10" s="780"/>
      <c r="O10" s="780"/>
      <c r="P10" s="780"/>
      <c r="Q10" s="780"/>
      <c r="R10" s="367">
        <f>SUM(E10:Q10)</f>
        <v>500000</v>
      </c>
      <c r="S10" s="780">
        <v>500000</v>
      </c>
      <c r="T10" s="780"/>
      <c r="U10" s="1088"/>
    </row>
    <row r="11" spans="1:21" s="83" customFormat="1" ht="12">
      <c r="A11" s="84" t="s">
        <v>1762</v>
      </c>
      <c r="B11" s="216">
        <f>SUM(C11:D11)</f>
        <v>500000</v>
      </c>
      <c r="C11" s="216">
        <f t="shared" ref="C11:Q11" si="1">SUM(C9:C10)</f>
        <v>500000</v>
      </c>
      <c r="D11" s="216">
        <f t="shared" si="1"/>
        <v>0</v>
      </c>
      <c r="E11" s="216">
        <f t="shared" si="1"/>
        <v>500000</v>
      </c>
      <c r="F11" s="216">
        <f t="shared" si="1"/>
        <v>0</v>
      </c>
      <c r="G11" s="216">
        <f t="shared" si="1"/>
        <v>0</v>
      </c>
      <c r="H11" s="216">
        <f t="shared" si="1"/>
        <v>0</v>
      </c>
      <c r="I11" s="216">
        <f t="shared" si="1"/>
        <v>0</v>
      </c>
      <c r="J11" s="216">
        <f t="shared" si="1"/>
        <v>0</v>
      </c>
      <c r="K11" s="216">
        <f t="shared" si="1"/>
        <v>0</v>
      </c>
      <c r="L11" s="216">
        <f t="shared" si="1"/>
        <v>0</v>
      </c>
      <c r="M11" s="216">
        <f t="shared" si="1"/>
        <v>0</v>
      </c>
      <c r="N11" s="216">
        <f t="shared" si="1"/>
        <v>0</v>
      </c>
      <c r="O11" s="216">
        <f t="shared" si="1"/>
        <v>0</v>
      </c>
      <c r="P11" s="216"/>
      <c r="Q11" s="216">
        <f t="shared" si="1"/>
        <v>0</v>
      </c>
      <c r="R11" s="216">
        <f>SUM(R9:R10)</f>
        <v>500000</v>
      </c>
      <c r="S11" s="1089"/>
      <c r="T11" s="85">
        <f>SUM(T9:T10)</f>
        <v>0</v>
      </c>
      <c r="U11" s="1088"/>
    </row>
    <row r="12" spans="1:21" s="83" customFormat="1" ht="12">
      <c r="A12" s="84" t="s">
        <v>1763</v>
      </c>
      <c r="B12" s="216">
        <f t="shared" ref="B12:Q12" si="2">SUM(B8+B11)</f>
        <v>600000</v>
      </c>
      <c r="C12" s="216">
        <f t="shared" si="2"/>
        <v>600000</v>
      </c>
      <c r="D12" s="216">
        <f t="shared" si="2"/>
        <v>0</v>
      </c>
      <c r="E12" s="216">
        <f t="shared" si="2"/>
        <v>600000</v>
      </c>
      <c r="F12" s="216">
        <f t="shared" si="2"/>
        <v>0</v>
      </c>
      <c r="G12" s="216">
        <f t="shared" si="2"/>
        <v>0</v>
      </c>
      <c r="H12" s="216">
        <f t="shared" si="2"/>
        <v>0</v>
      </c>
      <c r="I12" s="216">
        <f t="shared" si="2"/>
        <v>0</v>
      </c>
      <c r="J12" s="216">
        <f t="shared" si="2"/>
        <v>0</v>
      </c>
      <c r="K12" s="216">
        <f t="shared" si="2"/>
        <v>0</v>
      </c>
      <c r="L12" s="216">
        <f t="shared" si="2"/>
        <v>0</v>
      </c>
      <c r="M12" s="216">
        <f t="shared" si="2"/>
        <v>0</v>
      </c>
      <c r="N12" s="216">
        <f t="shared" si="2"/>
        <v>0</v>
      </c>
      <c r="O12" s="216">
        <f t="shared" si="2"/>
        <v>0</v>
      </c>
      <c r="P12" s="216"/>
      <c r="Q12" s="216">
        <f t="shared" si="2"/>
        <v>0</v>
      </c>
      <c r="R12" s="216">
        <f>SUM(R8+R11)</f>
        <v>600000</v>
      </c>
      <c r="S12" s="1089"/>
      <c r="T12" s="1089"/>
      <c r="U12" s="1088"/>
    </row>
    <row r="13" spans="1:21" s="83" customFormat="1">
      <c r="A13" s="172" t="s">
        <v>1764</v>
      </c>
      <c r="B13" s="216">
        <f>SUM(C13+D13)</f>
        <v>0</v>
      </c>
      <c r="C13" s="780"/>
      <c r="D13" s="780"/>
      <c r="E13" s="780"/>
      <c r="F13" s="780"/>
      <c r="G13" s="780"/>
      <c r="H13" s="780"/>
      <c r="I13" s="780"/>
      <c r="J13" s="780"/>
      <c r="K13" s="780"/>
      <c r="L13" s="780"/>
      <c r="M13" s="780"/>
      <c r="N13" s="780"/>
      <c r="O13" s="780"/>
      <c r="P13" s="780"/>
      <c r="Q13" s="780"/>
      <c r="R13" s="367">
        <f>SUM(E13:Q13)</f>
        <v>0</v>
      </c>
      <c r="S13" s="780"/>
      <c r="T13" s="780"/>
      <c r="U13" s="1088"/>
    </row>
    <row r="14" spans="1:21" s="83" customFormat="1" ht="22.8">
      <c r="A14" s="173" t="s">
        <v>1765</v>
      </c>
      <c r="B14" s="216">
        <f>SUM(C14+D14)</f>
        <v>0</v>
      </c>
      <c r="C14" s="780"/>
      <c r="D14" s="780"/>
      <c r="E14" s="780"/>
      <c r="F14" s="780"/>
      <c r="G14" s="780"/>
      <c r="H14" s="780"/>
      <c r="I14" s="780"/>
      <c r="J14" s="780"/>
      <c r="K14" s="780"/>
      <c r="L14" s="780"/>
      <c r="M14" s="780"/>
      <c r="N14" s="780"/>
      <c r="O14" s="780"/>
      <c r="P14" s="780"/>
      <c r="Q14" s="780"/>
      <c r="R14" s="367">
        <f>SUM(E14:Q14)</f>
        <v>0</v>
      </c>
      <c r="S14" s="780"/>
      <c r="T14" s="780"/>
      <c r="U14" s="1088"/>
    </row>
    <row r="15" spans="1:21" s="83" customFormat="1">
      <c r="A15" s="173" t="s">
        <v>1766</v>
      </c>
      <c r="B15" s="216">
        <f>SUM(C15+D15)</f>
        <v>0</v>
      </c>
      <c r="C15" s="780"/>
      <c r="D15" s="780"/>
      <c r="E15" s="780"/>
      <c r="F15" s="780"/>
      <c r="G15" s="780"/>
      <c r="H15" s="780"/>
      <c r="I15" s="780"/>
      <c r="J15" s="780"/>
      <c r="K15" s="780"/>
      <c r="L15" s="780"/>
      <c r="M15" s="780"/>
      <c r="N15" s="780"/>
      <c r="O15" s="780"/>
      <c r="P15" s="780"/>
      <c r="Q15" s="780"/>
      <c r="R15" s="367">
        <f>SUM(E15:Q15)</f>
        <v>0</v>
      </c>
      <c r="S15" s="1089"/>
      <c r="T15" s="1089"/>
      <c r="U15" s="1088"/>
    </row>
    <row r="16" spans="1:21" s="83" customFormat="1">
      <c r="A16" s="82" t="s">
        <v>1767</v>
      </c>
      <c r="B16" s="1087"/>
      <c r="C16" s="1087"/>
      <c r="D16" s="1087"/>
      <c r="E16" s="217"/>
      <c r="F16" s="217"/>
      <c r="G16" s="217"/>
      <c r="H16" s="217"/>
      <c r="I16" s="217"/>
      <c r="J16" s="217"/>
      <c r="K16" s="217"/>
      <c r="L16" s="217"/>
      <c r="M16" s="217"/>
      <c r="N16" s="217"/>
      <c r="O16" s="217"/>
      <c r="P16" s="217"/>
      <c r="Q16" s="217"/>
      <c r="R16" s="217"/>
      <c r="S16" s="1087"/>
      <c r="T16" s="1087"/>
      <c r="U16" s="1088"/>
    </row>
    <row r="17" spans="1:21" s="83" customFormat="1">
      <c r="A17" s="170" t="s">
        <v>1768</v>
      </c>
      <c r="B17" s="216">
        <f t="shared" ref="B17:B26" si="3">SUM(C17+D17)</f>
        <v>0</v>
      </c>
      <c r="C17" s="780"/>
      <c r="D17" s="780"/>
      <c r="E17" s="780"/>
      <c r="F17" s="780"/>
      <c r="G17" s="780"/>
      <c r="H17" s="780"/>
      <c r="I17" s="780"/>
      <c r="J17" s="780"/>
      <c r="K17" s="780"/>
      <c r="L17" s="780"/>
      <c r="M17" s="780"/>
      <c r="N17" s="780"/>
      <c r="O17" s="780"/>
      <c r="P17" s="780"/>
      <c r="Q17" s="780"/>
      <c r="R17" s="367">
        <f>SUM(E17:Q17)</f>
        <v>0</v>
      </c>
      <c r="S17" s="780"/>
      <c r="T17" s="780"/>
      <c r="U17" s="1088"/>
    </row>
    <row r="18" spans="1:21" s="83" customFormat="1">
      <c r="A18" s="170" t="s">
        <v>1769</v>
      </c>
      <c r="B18" s="216">
        <f t="shared" si="3"/>
        <v>0</v>
      </c>
      <c r="C18" s="780"/>
      <c r="D18" s="780"/>
      <c r="E18" s="780"/>
      <c r="F18" s="780"/>
      <c r="G18" s="780"/>
      <c r="H18" s="780"/>
      <c r="I18" s="780"/>
      <c r="J18" s="780"/>
      <c r="K18" s="780"/>
      <c r="L18" s="780"/>
      <c r="M18" s="780"/>
      <c r="N18" s="780"/>
      <c r="O18" s="780"/>
      <c r="P18" s="780"/>
      <c r="Q18" s="780"/>
      <c r="R18" s="367">
        <f>SUM(E18:Q18)</f>
        <v>0</v>
      </c>
      <c r="S18" s="780"/>
      <c r="T18" s="780"/>
      <c r="U18" s="1088"/>
    </row>
    <row r="19" spans="1:21" s="83" customFormat="1">
      <c r="A19" s="170" t="s">
        <v>1770</v>
      </c>
      <c r="B19" s="216">
        <f t="shared" si="3"/>
        <v>0</v>
      </c>
      <c r="C19" s="780"/>
      <c r="D19" s="780"/>
      <c r="E19" s="780"/>
      <c r="F19" s="780"/>
      <c r="G19" s="780"/>
      <c r="H19" s="780"/>
      <c r="I19" s="780"/>
      <c r="J19" s="780"/>
      <c r="K19" s="780"/>
      <c r="L19" s="780"/>
      <c r="M19" s="780"/>
      <c r="N19" s="780"/>
      <c r="O19" s="780"/>
      <c r="P19" s="780"/>
      <c r="Q19" s="780"/>
      <c r="R19" s="367">
        <f>SUM(E19:Q19)</f>
        <v>0</v>
      </c>
      <c r="S19" s="780"/>
      <c r="T19" s="780"/>
      <c r="U19" s="1088"/>
    </row>
    <row r="20" spans="1:21" s="83" customFormat="1">
      <c r="A20" s="170" t="s">
        <v>1771</v>
      </c>
      <c r="B20" s="216">
        <f t="shared" si="3"/>
        <v>0</v>
      </c>
      <c r="C20" s="780"/>
      <c r="D20" s="780"/>
      <c r="E20" s="780"/>
      <c r="F20" s="780"/>
      <c r="G20" s="780"/>
      <c r="H20" s="780"/>
      <c r="I20" s="780"/>
      <c r="J20" s="780"/>
      <c r="K20" s="780"/>
      <c r="L20" s="780"/>
      <c r="M20" s="780"/>
      <c r="N20" s="780"/>
      <c r="O20" s="780"/>
      <c r="P20" s="780"/>
      <c r="Q20" s="780"/>
      <c r="R20" s="367">
        <f t="shared" ref="R20:R27" si="4">SUM(E20:Q20)</f>
        <v>0</v>
      </c>
      <c r="S20" s="780"/>
      <c r="T20" s="780"/>
      <c r="U20" s="1088"/>
    </row>
    <row r="21" spans="1:21" s="83" customFormat="1">
      <c r="A21" s="170" t="s">
        <v>1772</v>
      </c>
      <c r="B21" s="216">
        <f t="shared" si="3"/>
        <v>0</v>
      </c>
      <c r="C21" s="780"/>
      <c r="D21" s="780"/>
      <c r="E21" s="780"/>
      <c r="F21" s="780"/>
      <c r="G21" s="780"/>
      <c r="H21" s="780"/>
      <c r="I21" s="780"/>
      <c r="J21" s="780"/>
      <c r="K21" s="780"/>
      <c r="L21" s="780"/>
      <c r="M21" s="780"/>
      <c r="N21" s="780"/>
      <c r="O21" s="780"/>
      <c r="P21" s="780"/>
      <c r="Q21" s="780"/>
      <c r="R21" s="367">
        <f t="shared" si="4"/>
        <v>0</v>
      </c>
      <c r="S21" s="780"/>
      <c r="T21" s="780"/>
      <c r="U21" s="1088"/>
    </row>
    <row r="22" spans="1:21" s="83" customFormat="1">
      <c r="A22" s="170" t="s">
        <v>1773</v>
      </c>
      <c r="B22" s="216">
        <f t="shared" si="3"/>
        <v>0</v>
      </c>
      <c r="C22" s="780"/>
      <c r="D22" s="780"/>
      <c r="E22" s="780"/>
      <c r="F22" s="780"/>
      <c r="G22" s="780"/>
      <c r="H22" s="780"/>
      <c r="I22" s="780"/>
      <c r="J22" s="780"/>
      <c r="K22" s="780"/>
      <c r="L22" s="780"/>
      <c r="M22" s="780"/>
      <c r="N22" s="780"/>
      <c r="O22" s="780"/>
      <c r="P22" s="780"/>
      <c r="Q22" s="780"/>
      <c r="R22" s="367">
        <f t="shared" si="4"/>
        <v>0</v>
      </c>
      <c r="S22" s="780"/>
      <c r="T22" s="780"/>
      <c r="U22" s="1088"/>
    </row>
    <row r="23" spans="1:21" s="83" customFormat="1">
      <c r="A23" s="170" t="s">
        <v>1774</v>
      </c>
      <c r="B23" s="216">
        <f t="shared" si="3"/>
        <v>0</v>
      </c>
      <c r="C23" s="780"/>
      <c r="D23" s="780"/>
      <c r="E23" s="780"/>
      <c r="F23" s="780"/>
      <c r="G23" s="780"/>
      <c r="H23" s="780"/>
      <c r="I23" s="780"/>
      <c r="J23" s="780"/>
      <c r="K23" s="780"/>
      <c r="L23" s="780"/>
      <c r="M23" s="780"/>
      <c r="N23" s="780"/>
      <c r="O23" s="780"/>
      <c r="P23" s="780"/>
      <c r="Q23" s="780"/>
      <c r="R23" s="367">
        <f t="shared" si="4"/>
        <v>0</v>
      </c>
      <c r="S23" s="780"/>
      <c r="T23" s="780"/>
      <c r="U23" s="1088"/>
    </row>
    <row r="24" spans="1:21" s="83" customFormat="1">
      <c r="A24" s="360" t="s">
        <v>1775</v>
      </c>
      <c r="B24" s="216">
        <f t="shared" si="3"/>
        <v>0</v>
      </c>
      <c r="C24" s="780"/>
      <c r="D24" s="780"/>
      <c r="E24" s="780"/>
      <c r="F24" s="780"/>
      <c r="G24" s="780"/>
      <c r="H24" s="780"/>
      <c r="I24" s="780"/>
      <c r="J24" s="780"/>
      <c r="K24" s="780"/>
      <c r="L24" s="780"/>
      <c r="M24" s="780"/>
      <c r="N24" s="780"/>
      <c r="O24" s="780"/>
      <c r="P24" s="780"/>
      <c r="Q24" s="780"/>
      <c r="R24" s="367">
        <f t="shared" si="4"/>
        <v>0</v>
      </c>
      <c r="S24" s="780"/>
      <c r="T24" s="780"/>
      <c r="U24" s="1088"/>
    </row>
    <row r="25" spans="1:21" s="83" customFormat="1">
      <c r="A25" s="931" t="s">
        <v>1776</v>
      </c>
      <c r="B25" s="216">
        <f t="shared" si="3"/>
        <v>0</v>
      </c>
      <c r="C25" s="780"/>
      <c r="D25" s="780"/>
      <c r="E25" s="780"/>
      <c r="F25" s="780"/>
      <c r="G25" s="780"/>
      <c r="H25" s="780"/>
      <c r="I25" s="780"/>
      <c r="J25" s="780"/>
      <c r="K25" s="780"/>
      <c r="L25" s="780"/>
      <c r="M25" s="780"/>
      <c r="N25" s="780"/>
      <c r="O25" s="780"/>
      <c r="P25" s="780"/>
      <c r="Q25" s="780"/>
      <c r="R25" s="367">
        <f t="shared" si="4"/>
        <v>0</v>
      </c>
      <c r="S25" s="780"/>
      <c r="T25" s="780"/>
      <c r="U25" s="1088"/>
    </row>
    <row r="26" spans="1:21" s="83" customFormat="1" ht="12">
      <c r="A26" s="84" t="s">
        <v>1777</v>
      </c>
      <c r="B26" s="216">
        <f t="shared" si="3"/>
        <v>0</v>
      </c>
      <c r="C26" s="216">
        <f>SUM(C17:C25)</f>
        <v>0</v>
      </c>
      <c r="D26" s="216">
        <f t="shared" ref="D26:Q26" si="5">SUM(D17:D25)</f>
        <v>0</v>
      </c>
      <c r="E26" s="216">
        <f t="shared" si="5"/>
        <v>0</v>
      </c>
      <c r="F26" s="216">
        <f t="shared" si="5"/>
        <v>0</v>
      </c>
      <c r="G26" s="216">
        <f t="shared" si="5"/>
        <v>0</v>
      </c>
      <c r="H26" s="216">
        <f t="shared" si="5"/>
        <v>0</v>
      </c>
      <c r="I26" s="216">
        <f t="shared" si="5"/>
        <v>0</v>
      </c>
      <c r="J26" s="216">
        <f t="shared" si="5"/>
        <v>0</v>
      </c>
      <c r="K26" s="216">
        <f t="shared" si="5"/>
        <v>0</v>
      </c>
      <c r="L26" s="216">
        <f t="shared" si="5"/>
        <v>0</v>
      </c>
      <c r="M26" s="216">
        <f t="shared" si="5"/>
        <v>0</v>
      </c>
      <c r="N26" s="216">
        <f t="shared" si="5"/>
        <v>0</v>
      </c>
      <c r="O26" s="216">
        <f t="shared" si="5"/>
        <v>0</v>
      </c>
      <c r="P26" s="216">
        <f t="shared" si="5"/>
        <v>0</v>
      </c>
      <c r="Q26" s="216">
        <f t="shared" si="5"/>
        <v>0</v>
      </c>
      <c r="R26" s="216">
        <f>SUM(R17:R25)</f>
        <v>0</v>
      </c>
      <c r="S26" s="85">
        <f>SUM(S17:S25)</f>
        <v>0</v>
      </c>
      <c r="T26" s="85">
        <f>SUM(T17:T25)</f>
        <v>0</v>
      </c>
      <c r="U26" s="1088"/>
    </row>
    <row r="27" spans="1:21" s="83" customFormat="1" ht="12">
      <c r="A27" s="84" t="s">
        <v>1778</v>
      </c>
      <c r="B27" s="216">
        <f>SUM(C27:D27)</f>
        <v>0</v>
      </c>
      <c r="C27" s="780"/>
      <c r="D27" s="780"/>
      <c r="E27" s="780"/>
      <c r="F27" s="780"/>
      <c r="G27" s="780"/>
      <c r="H27" s="780"/>
      <c r="I27" s="780"/>
      <c r="J27" s="780"/>
      <c r="K27" s="780"/>
      <c r="L27" s="780"/>
      <c r="M27" s="780"/>
      <c r="N27" s="780"/>
      <c r="O27" s="780"/>
      <c r="P27" s="780"/>
      <c r="Q27" s="780"/>
      <c r="R27" s="367">
        <f t="shared" si="4"/>
        <v>0</v>
      </c>
      <c r="S27" s="780"/>
      <c r="T27" s="780"/>
      <c r="U27" s="1088"/>
    </row>
    <row r="28" spans="1:21" s="83" customFormat="1">
      <c r="A28" s="82" t="s">
        <v>1779</v>
      </c>
      <c r="B28" s="1087"/>
      <c r="C28" s="1087"/>
      <c r="D28" s="1087"/>
      <c r="E28" s="217"/>
      <c r="F28" s="217"/>
      <c r="G28" s="217"/>
      <c r="H28" s="217"/>
      <c r="I28" s="217"/>
      <c r="J28" s="217"/>
      <c r="K28" s="217"/>
      <c r="L28" s="217"/>
      <c r="M28" s="217"/>
      <c r="N28" s="217"/>
      <c r="O28" s="217"/>
      <c r="P28" s="217"/>
      <c r="Q28" s="217"/>
      <c r="R28" s="217"/>
      <c r="S28" s="1087"/>
      <c r="T28" s="1087"/>
      <c r="U28" s="1088"/>
    </row>
    <row r="29" spans="1:21" s="83" customFormat="1">
      <c r="A29" s="170" t="s">
        <v>1768</v>
      </c>
      <c r="B29" s="216">
        <f t="shared" ref="B29:B38" si="6">SUM(C29+D29)</f>
        <v>1000000</v>
      </c>
      <c r="C29" s="780">
        <v>1000000</v>
      </c>
      <c r="D29" s="780"/>
      <c r="E29" s="780">
        <f>C29</f>
        <v>1000000</v>
      </c>
      <c r="F29" s="780"/>
      <c r="G29" s="780"/>
      <c r="H29" s="780"/>
      <c r="I29" s="780"/>
      <c r="J29" s="780"/>
      <c r="K29" s="780"/>
      <c r="L29" s="780"/>
      <c r="M29" s="780"/>
      <c r="N29" s="780"/>
      <c r="O29" s="780"/>
      <c r="P29" s="780"/>
      <c r="Q29" s="780"/>
      <c r="R29" s="367">
        <f t="shared" ref="R29:R37" si="7">SUM(E29:Q29)</f>
        <v>1000000</v>
      </c>
      <c r="S29" s="780">
        <f>R29</f>
        <v>1000000</v>
      </c>
      <c r="T29" s="780"/>
      <c r="U29" s="1088"/>
    </row>
    <row r="30" spans="1:21" s="83" customFormat="1">
      <c r="A30" s="170" t="s">
        <v>1769</v>
      </c>
      <c r="B30" s="216">
        <f t="shared" si="6"/>
        <v>41541855</v>
      </c>
      <c r="C30" s="780">
        <f>34368212+1+7173642</f>
        <v>41541855</v>
      </c>
      <c r="D30" s="780"/>
      <c r="E30" s="780">
        <f>C30-F30-G30</f>
        <v>19116960</v>
      </c>
      <c r="F30" s="780">
        <f>Application!AO627</f>
        <v>19324895</v>
      </c>
      <c r="G30" s="780">
        <f>Application!AO628</f>
        <v>3100000</v>
      </c>
      <c r="H30" s="780"/>
      <c r="I30" s="780"/>
      <c r="J30" s="780"/>
      <c r="K30" s="780"/>
      <c r="L30" s="780"/>
      <c r="M30" s="780"/>
      <c r="N30" s="780"/>
      <c r="O30" s="780"/>
      <c r="P30" s="780"/>
      <c r="Q30" s="780"/>
      <c r="R30" s="367">
        <f t="shared" si="7"/>
        <v>41541855</v>
      </c>
      <c r="S30" s="780">
        <f>R30</f>
        <v>41541855</v>
      </c>
      <c r="T30" s="780"/>
      <c r="U30" s="1088"/>
    </row>
    <row r="31" spans="1:21" s="83" customFormat="1">
      <c r="A31" s="170" t="s">
        <v>1770</v>
      </c>
      <c r="B31" s="216">
        <f t="shared" si="6"/>
        <v>2582511</v>
      </c>
      <c r="C31" s="780">
        <v>2582511</v>
      </c>
      <c r="D31" s="780"/>
      <c r="E31" s="780">
        <f t="shared" ref="E31:E35" si="8">C31</f>
        <v>2582511</v>
      </c>
      <c r="F31" s="780"/>
      <c r="G31" s="780"/>
      <c r="H31" s="780"/>
      <c r="I31" s="780"/>
      <c r="J31" s="780"/>
      <c r="K31" s="780"/>
      <c r="L31" s="780"/>
      <c r="M31" s="780"/>
      <c r="N31" s="780"/>
      <c r="O31" s="780"/>
      <c r="P31" s="780"/>
      <c r="Q31" s="780"/>
      <c r="R31" s="367">
        <f t="shared" si="7"/>
        <v>2582511</v>
      </c>
      <c r="S31" s="780">
        <f t="shared" ref="S31:S35" si="9">R31</f>
        <v>2582511</v>
      </c>
      <c r="T31" s="780"/>
      <c r="U31" s="1088"/>
    </row>
    <row r="32" spans="1:21" s="83" customFormat="1">
      <c r="A32" s="170" t="s">
        <v>1771</v>
      </c>
      <c r="B32" s="216">
        <f t="shared" si="6"/>
        <v>1721674</v>
      </c>
      <c r="C32" s="780">
        <v>1721674</v>
      </c>
      <c r="D32" s="780"/>
      <c r="E32" s="780">
        <f t="shared" si="8"/>
        <v>1721674</v>
      </c>
      <c r="F32" s="780"/>
      <c r="G32" s="780"/>
      <c r="H32" s="780"/>
      <c r="I32" s="780"/>
      <c r="J32" s="780"/>
      <c r="K32" s="780"/>
      <c r="L32" s="780"/>
      <c r="M32" s="780"/>
      <c r="N32" s="780"/>
      <c r="O32" s="780"/>
      <c r="P32" s="780"/>
      <c r="Q32" s="780"/>
      <c r="R32" s="367">
        <f t="shared" si="7"/>
        <v>1721674</v>
      </c>
      <c r="S32" s="780">
        <f t="shared" si="9"/>
        <v>1721674</v>
      </c>
      <c r="T32" s="780"/>
      <c r="U32" s="1088"/>
    </row>
    <row r="33" spans="1:21" s="83" customFormat="1">
      <c r="A33" s="170" t="s">
        <v>1772</v>
      </c>
      <c r="B33" s="216">
        <f t="shared" si="6"/>
        <v>1721674</v>
      </c>
      <c r="C33" s="780">
        <v>1721674</v>
      </c>
      <c r="D33" s="780"/>
      <c r="E33" s="780">
        <f t="shared" si="8"/>
        <v>1721674</v>
      </c>
      <c r="F33" s="780"/>
      <c r="G33" s="780"/>
      <c r="H33" s="780"/>
      <c r="I33" s="780"/>
      <c r="J33" s="780"/>
      <c r="K33" s="780"/>
      <c r="L33" s="780"/>
      <c r="M33" s="780"/>
      <c r="N33" s="780"/>
      <c r="O33" s="780"/>
      <c r="P33" s="780"/>
      <c r="Q33" s="780"/>
      <c r="R33" s="367">
        <f t="shared" si="7"/>
        <v>1721674</v>
      </c>
      <c r="S33" s="780">
        <f t="shared" si="9"/>
        <v>1721674</v>
      </c>
      <c r="T33" s="780"/>
      <c r="U33" s="1088"/>
    </row>
    <row r="34" spans="1:21" s="83" customFormat="1">
      <c r="A34" s="170" t="s">
        <v>1773</v>
      </c>
      <c r="B34" s="216">
        <f t="shared" si="6"/>
        <v>0</v>
      </c>
      <c r="C34" s="780"/>
      <c r="D34" s="780"/>
      <c r="E34" s="780"/>
      <c r="F34" s="780"/>
      <c r="G34" s="780"/>
      <c r="H34" s="780"/>
      <c r="I34" s="780"/>
      <c r="J34" s="780"/>
      <c r="K34" s="780"/>
      <c r="L34" s="780"/>
      <c r="M34" s="780"/>
      <c r="N34" s="780"/>
      <c r="O34" s="780"/>
      <c r="P34" s="780"/>
      <c r="Q34" s="780"/>
      <c r="R34" s="367">
        <f t="shared" si="7"/>
        <v>0</v>
      </c>
      <c r="S34" s="780"/>
      <c r="T34" s="780"/>
      <c r="U34" s="1088"/>
    </row>
    <row r="35" spans="1:21" s="83" customFormat="1">
      <c r="A35" s="170" t="s">
        <v>1774</v>
      </c>
      <c r="B35" s="216">
        <f t="shared" si="6"/>
        <v>490677</v>
      </c>
      <c r="C35" s="780">
        <v>490677</v>
      </c>
      <c r="D35" s="780"/>
      <c r="E35" s="780">
        <f t="shared" si="8"/>
        <v>490677</v>
      </c>
      <c r="F35" s="780"/>
      <c r="G35" s="780"/>
      <c r="H35" s="780"/>
      <c r="I35" s="780"/>
      <c r="J35" s="780"/>
      <c r="K35" s="780"/>
      <c r="L35" s="780"/>
      <c r="M35" s="780"/>
      <c r="N35" s="780"/>
      <c r="O35" s="780"/>
      <c r="P35" s="780"/>
      <c r="Q35" s="780"/>
      <c r="R35" s="367">
        <f t="shared" si="7"/>
        <v>490677</v>
      </c>
      <c r="S35" s="780">
        <f t="shared" si="9"/>
        <v>490677</v>
      </c>
      <c r="T35" s="780"/>
      <c r="U35" s="1088"/>
    </row>
    <row r="36" spans="1:21" s="83" customFormat="1">
      <c r="A36" s="170" t="s">
        <v>1775</v>
      </c>
      <c r="B36" s="216">
        <f t="shared" si="6"/>
        <v>0</v>
      </c>
      <c r="C36" s="780"/>
      <c r="D36" s="780"/>
      <c r="E36" s="780"/>
      <c r="F36" s="780"/>
      <c r="G36" s="780"/>
      <c r="H36" s="780"/>
      <c r="I36" s="780"/>
      <c r="J36" s="780"/>
      <c r="K36" s="780"/>
      <c r="L36" s="780"/>
      <c r="M36" s="780"/>
      <c r="N36" s="780"/>
      <c r="O36" s="780"/>
      <c r="P36" s="780"/>
      <c r="Q36" s="780"/>
      <c r="R36" s="367">
        <f t="shared" si="7"/>
        <v>0</v>
      </c>
      <c r="S36" s="780"/>
      <c r="T36" s="780"/>
      <c r="U36" s="1088"/>
    </row>
    <row r="37" spans="1:21" s="83" customFormat="1">
      <c r="A37" s="931" t="s">
        <v>1776</v>
      </c>
      <c r="B37" s="216">
        <f t="shared" si="6"/>
        <v>0</v>
      </c>
      <c r="C37" s="780"/>
      <c r="D37" s="780"/>
      <c r="E37" s="780"/>
      <c r="F37" s="780"/>
      <c r="G37" s="780"/>
      <c r="H37" s="780"/>
      <c r="I37" s="780"/>
      <c r="J37" s="780"/>
      <c r="K37" s="780"/>
      <c r="L37" s="780"/>
      <c r="M37" s="780"/>
      <c r="N37" s="780"/>
      <c r="O37" s="780"/>
      <c r="P37" s="780"/>
      <c r="Q37" s="780"/>
      <c r="R37" s="367">
        <f t="shared" si="7"/>
        <v>0</v>
      </c>
      <c r="S37" s="780"/>
      <c r="T37" s="780"/>
      <c r="U37" s="1088"/>
    </row>
    <row r="38" spans="1:21" s="83" customFormat="1" ht="12">
      <c r="A38" s="84" t="s">
        <v>1780</v>
      </c>
      <c r="B38" s="216">
        <f t="shared" si="6"/>
        <v>49058391</v>
      </c>
      <c r="C38" s="216">
        <f>SUM(C29:C37)</f>
        <v>49058391</v>
      </c>
      <c r="D38" s="216">
        <f t="shared" ref="D38:Q38" si="10">SUM(D29:D37)</f>
        <v>0</v>
      </c>
      <c r="E38" s="216">
        <f t="shared" si="10"/>
        <v>26633496</v>
      </c>
      <c r="F38" s="216">
        <f t="shared" si="10"/>
        <v>19324895</v>
      </c>
      <c r="G38" s="216">
        <f t="shared" si="10"/>
        <v>3100000</v>
      </c>
      <c r="H38" s="216">
        <f t="shared" si="10"/>
        <v>0</v>
      </c>
      <c r="I38" s="216">
        <f t="shared" si="10"/>
        <v>0</v>
      </c>
      <c r="J38" s="216">
        <f t="shared" si="10"/>
        <v>0</v>
      </c>
      <c r="K38" s="216">
        <f t="shared" si="10"/>
        <v>0</v>
      </c>
      <c r="L38" s="216">
        <f t="shared" si="10"/>
        <v>0</v>
      </c>
      <c r="M38" s="216">
        <f t="shared" si="10"/>
        <v>0</v>
      </c>
      <c r="N38" s="216">
        <f t="shared" si="10"/>
        <v>0</v>
      </c>
      <c r="O38" s="216">
        <f t="shared" si="10"/>
        <v>0</v>
      </c>
      <c r="P38" s="216">
        <f t="shared" si="10"/>
        <v>0</v>
      </c>
      <c r="Q38" s="216">
        <f t="shared" si="10"/>
        <v>0</v>
      </c>
      <c r="R38" s="216">
        <f>SUM(R29:R37)</f>
        <v>49058391</v>
      </c>
      <c r="S38" s="85">
        <f>SUM(S29:S37)</f>
        <v>49058391</v>
      </c>
      <c r="T38" s="85">
        <f>SUM(T29:T37)</f>
        <v>0</v>
      </c>
      <c r="U38" s="1088"/>
    </row>
    <row r="39" spans="1:21" s="83" customFormat="1">
      <c r="A39" s="82" t="s">
        <v>1781</v>
      </c>
      <c r="B39" s="1087"/>
      <c r="C39" s="1087"/>
      <c r="D39" s="1087"/>
      <c r="E39" s="217"/>
      <c r="F39" s="217"/>
      <c r="G39" s="217"/>
      <c r="H39" s="217"/>
      <c r="I39" s="217"/>
      <c r="J39" s="217"/>
      <c r="K39" s="217"/>
      <c r="L39" s="217"/>
      <c r="M39" s="217"/>
      <c r="N39" s="217"/>
      <c r="O39" s="217"/>
      <c r="P39" s="217"/>
      <c r="Q39" s="217"/>
      <c r="R39" s="217"/>
      <c r="S39" s="1087"/>
      <c r="T39" s="1087"/>
      <c r="U39" s="1088"/>
    </row>
    <row r="40" spans="1:21" s="83" customFormat="1">
      <c r="A40" s="170" t="s">
        <v>1782</v>
      </c>
      <c r="B40" s="216">
        <f>SUM(C40+D40)</f>
        <v>2000000</v>
      </c>
      <c r="C40" s="780">
        <v>2000000</v>
      </c>
      <c r="D40" s="780"/>
      <c r="E40" s="780">
        <f>C40</f>
        <v>2000000</v>
      </c>
      <c r="F40" s="780"/>
      <c r="G40" s="780"/>
      <c r="H40" s="780"/>
      <c r="I40" s="780"/>
      <c r="J40" s="780"/>
      <c r="K40" s="780"/>
      <c r="L40" s="780"/>
      <c r="M40" s="780"/>
      <c r="N40" s="780"/>
      <c r="O40" s="780"/>
      <c r="P40" s="780"/>
      <c r="Q40" s="780"/>
      <c r="R40" s="367">
        <f>SUM(E40:Q40)</f>
        <v>2000000</v>
      </c>
      <c r="S40" s="780">
        <f>R40</f>
        <v>2000000</v>
      </c>
      <c r="T40" s="780"/>
      <c r="U40" s="1088"/>
    </row>
    <row r="41" spans="1:21" s="83" customFormat="1">
      <c r="A41" s="170" t="s">
        <v>1783</v>
      </c>
      <c r="B41" s="216">
        <f>SUM(C41+D41)</f>
        <v>0</v>
      </c>
      <c r="C41" s="780"/>
      <c r="D41" s="780"/>
      <c r="E41" s="780"/>
      <c r="F41" s="780"/>
      <c r="G41" s="780"/>
      <c r="H41" s="780"/>
      <c r="I41" s="780"/>
      <c r="J41" s="780"/>
      <c r="K41" s="780"/>
      <c r="L41" s="780"/>
      <c r="M41" s="780"/>
      <c r="N41" s="780"/>
      <c r="O41" s="780"/>
      <c r="P41" s="780"/>
      <c r="Q41" s="780"/>
      <c r="R41" s="367">
        <f>SUM(E41:Q41)</f>
        <v>0</v>
      </c>
      <c r="S41" s="780"/>
      <c r="T41" s="780"/>
      <c r="U41" s="1088"/>
    </row>
    <row r="42" spans="1:21" s="83" customFormat="1" ht="12">
      <c r="A42" s="84" t="s">
        <v>1784</v>
      </c>
      <c r="B42" s="216">
        <f>SUM(C42:D42)</f>
        <v>2000000</v>
      </c>
      <c r="C42" s="216">
        <f>SUM(C39:C41)</f>
        <v>2000000</v>
      </c>
      <c r="D42" s="216">
        <f>SUM(D39:D41)</f>
        <v>0</v>
      </c>
      <c r="E42" s="216">
        <f t="shared" ref="E42:T42" si="11">SUM(E40:E41)</f>
        <v>2000000</v>
      </c>
      <c r="F42" s="216">
        <f t="shared" si="11"/>
        <v>0</v>
      </c>
      <c r="G42" s="216">
        <f t="shared" si="11"/>
        <v>0</v>
      </c>
      <c r="H42" s="216">
        <f t="shared" si="11"/>
        <v>0</v>
      </c>
      <c r="I42" s="216">
        <f t="shared" si="11"/>
        <v>0</v>
      </c>
      <c r="J42" s="216">
        <f t="shared" si="11"/>
        <v>0</v>
      </c>
      <c r="K42" s="216">
        <f t="shared" si="11"/>
        <v>0</v>
      </c>
      <c r="L42" s="216">
        <f t="shared" si="11"/>
        <v>0</v>
      </c>
      <c r="M42" s="216">
        <f t="shared" si="11"/>
        <v>0</v>
      </c>
      <c r="N42" s="216">
        <f t="shared" si="11"/>
        <v>0</v>
      </c>
      <c r="O42" s="216">
        <f t="shared" si="11"/>
        <v>0</v>
      </c>
      <c r="P42" s="216">
        <f t="shared" si="11"/>
        <v>0</v>
      </c>
      <c r="Q42" s="216">
        <f t="shared" si="11"/>
        <v>0</v>
      </c>
      <c r="R42" s="216">
        <f>SUM(R40:R41)</f>
        <v>2000000</v>
      </c>
      <c r="S42" s="85">
        <f t="shared" si="11"/>
        <v>2000000</v>
      </c>
      <c r="T42" s="85">
        <f t="shared" si="11"/>
        <v>0</v>
      </c>
      <c r="U42" s="1088"/>
    </row>
    <row r="43" spans="1:21" s="83" customFormat="1" ht="12">
      <c r="A43" s="84" t="s">
        <v>1785</v>
      </c>
      <c r="B43" s="216">
        <f>SUM(C43:D43)</f>
        <v>650000</v>
      </c>
      <c r="C43" s="780">
        <v>650000</v>
      </c>
      <c r="D43" s="780"/>
      <c r="E43" s="780">
        <f>C43</f>
        <v>650000</v>
      </c>
      <c r="F43" s="780"/>
      <c r="G43" s="780"/>
      <c r="H43" s="780"/>
      <c r="I43" s="780"/>
      <c r="J43" s="780"/>
      <c r="K43" s="780"/>
      <c r="L43" s="780"/>
      <c r="M43" s="780"/>
      <c r="N43" s="780"/>
      <c r="O43" s="780"/>
      <c r="P43" s="780"/>
      <c r="Q43" s="780"/>
      <c r="R43" s="367">
        <f>SUM(E43:Q43)</f>
        <v>650000</v>
      </c>
      <c r="S43" s="780">
        <f>R43</f>
        <v>650000</v>
      </c>
      <c r="T43" s="780"/>
      <c r="U43" s="1088"/>
    </row>
    <row r="44" spans="1:21" s="83" customFormat="1">
      <c r="A44" s="82" t="s">
        <v>1786</v>
      </c>
      <c r="B44" s="1087"/>
      <c r="C44" s="1087"/>
      <c r="D44" s="1087"/>
      <c r="E44" s="217"/>
      <c r="F44" s="217"/>
      <c r="G44" s="217"/>
      <c r="H44" s="217"/>
      <c r="I44" s="217"/>
      <c r="J44" s="217"/>
      <c r="K44" s="217"/>
      <c r="L44" s="217"/>
      <c r="M44" s="217"/>
      <c r="N44" s="217"/>
      <c r="O44" s="217"/>
      <c r="P44" s="217"/>
      <c r="Q44" s="217"/>
      <c r="R44" s="217"/>
      <c r="S44" s="1087"/>
      <c r="T44" s="1087"/>
      <c r="U44" s="1088"/>
    </row>
    <row r="45" spans="1:21" s="83" customFormat="1">
      <c r="A45" s="170" t="s">
        <v>1787</v>
      </c>
      <c r="B45" s="216">
        <f t="shared" ref="B45:B53" si="12">SUM(C45+D45)</f>
        <v>4476800</v>
      </c>
      <c r="C45" s="780">
        <v>4476800</v>
      </c>
      <c r="D45" s="780"/>
      <c r="E45" s="780">
        <f>C45</f>
        <v>4476800</v>
      </c>
      <c r="F45" s="780"/>
      <c r="G45" s="780"/>
      <c r="H45" s="780"/>
      <c r="I45" s="780"/>
      <c r="J45" s="780"/>
      <c r="K45" s="780"/>
      <c r="L45" s="780"/>
      <c r="M45" s="780"/>
      <c r="N45" s="780"/>
      <c r="O45" s="780"/>
      <c r="P45" s="780"/>
      <c r="Q45" s="780"/>
      <c r="R45" s="367">
        <f t="shared" ref="R45:R53" si="13">SUM(E45:Q45)</f>
        <v>4476800</v>
      </c>
      <c r="S45" s="780">
        <v>2768194</v>
      </c>
      <c r="T45" s="780"/>
      <c r="U45" s="1088"/>
    </row>
    <row r="46" spans="1:21" s="83" customFormat="1">
      <c r="A46" s="170" t="s">
        <v>1788</v>
      </c>
      <c r="B46" s="216">
        <f t="shared" si="12"/>
        <v>390885</v>
      </c>
      <c r="C46" s="780">
        <v>390885</v>
      </c>
      <c r="D46" s="780"/>
      <c r="E46" s="780">
        <f t="shared" ref="E46:E53" si="14">C46</f>
        <v>390885</v>
      </c>
      <c r="F46" s="780"/>
      <c r="G46" s="780"/>
      <c r="H46" s="780"/>
      <c r="I46" s="780"/>
      <c r="J46" s="780"/>
      <c r="K46" s="780"/>
      <c r="L46" s="780"/>
      <c r="M46" s="780"/>
      <c r="N46" s="780"/>
      <c r="O46" s="780"/>
      <c r="P46" s="780"/>
      <c r="Q46" s="780"/>
      <c r="R46" s="367">
        <f t="shared" si="13"/>
        <v>390885</v>
      </c>
      <c r="S46" s="780">
        <v>293163</v>
      </c>
      <c r="T46" s="780"/>
      <c r="U46" s="1088"/>
    </row>
    <row r="47" spans="1:21" s="83" customFormat="1">
      <c r="A47" s="1090" t="s">
        <v>1789</v>
      </c>
      <c r="B47" s="216">
        <f t="shared" si="12"/>
        <v>15000</v>
      </c>
      <c r="C47" s="780">
        <v>15000</v>
      </c>
      <c r="D47" s="780"/>
      <c r="E47" s="780">
        <f t="shared" si="14"/>
        <v>15000</v>
      </c>
      <c r="F47" s="780"/>
      <c r="G47" s="780"/>
      <c r="H47" s="780"/>
      <c r="I47" s="780"/>
      <c r="J47" s="780"/>
      <c r="K47" s="780"/>
      <c r="L47" s="780"/>
      <c r="M47" s="780"/>
      <c r="N47" s="780"/>
      <c r="O47" s="780"/>
      <c r="P47" s="780"/>
      <c r="Q47" s="780"/>
      <c r="R47" s="367">
        <f t="shared" si="13"/>
        <v>15000</v>
      </c>
      <c r="S47" s="780">
        <v>11250</v>
      </c>
      <c r="T47" s="780"/>
      <c r="U47" s="1088"/>
    </row>
    <row r="48" spans="1:21" s="83" customFormat="1">
      <c r="A48" s="170" t="s">
        <v>1790</v>
      </c>
      <c r="B48" s="216">
        <f t="shared" si="12"/>
        <v>441609</v>
      </c>
      <c r="C48" s="780">
        <v>441609</v>
      </c>
      <c r="D48" s="780"/>
      <c r="E48" s="780">
        <f t="shared" si="14"/>
        <v>441609</v>
      </c>
      <c r="F48" s="780"/>
      <c r="G48" s="780"/>
      <c r="H48" s="780"/>
      <c r="I48" s="780"/>
      <c r="J48" s="780"/>
      <c r="K48" s="780"/>
      <c r="L48" s="780"/>
      <c r="M48" s="780"/>
      <c r="N48" s="780"/>
      <c r="O48" s="780"/>
      <c r="P48" s="780"/>
      <c r="Q48" s="780"/>
      <c r="R48" s="367">
        <f t="shared" si="13"/>
        <v>441609</v>
      </c>
      <c r="S48" s="780">
        <v>441609</v>
      </c>
      <c r="T48" s="780"/>
      <c r="U48" s="1088"/>
    </row>
    <row r="49" spans="1:21" s="83" customFormat="1">
      <c r="A49" s="170" t="s">
        <v>1791</v>
      </c>
      <c r="B49" s="216">
        <f t="shared" si="12"/>
        <v>97721</v>
      </c>
      <c r="C49" s="780">
        <v>97721</v>
      </c>
      <c r="D49" s="780"/>
      <c r="E49" s="780">
        <f t="shared" si="14"/>
        <v>97721</v>
      </c>
      <c r="F49" s="780"/>
      <c r="G49" s="780"/>
      <c r="H49" s="780"/>
      <c r="I49" s="780"/>
      <c r="J49" s="780"/>
      <c r="K49" s="780"/>
      <c r="L49" s="780"/>
      <c r="M49" s="780"/>
      <c r="N49" s="780"/>
      <c r="O49" s="780"/>
      <c r="P49" s="780"/>
      <c r="Q49" s="780"/>
      <c r="R49" s="367">
        <f t="shared" si="13"/>
        <v>97721</v>
      </c>
      <c r="S49" s="780">
        <f>R49</f>
        <v>97721</v>
      </c>
      <c r="T49" s="780"/>
      <c r="U49" s="1088"/>
    </row>
    <row r="50" spans="1:21" s="83" customFormat="1">
      <c r="A50" s="170" t="s">
        <v>1792</v>
      </c>
      <c r="B50" s="216">
        <f t="shared" si="12"/>
        <v>100000</v>
      </c>
      <c r="C50" s="780">
        <v>100000</v>
      </c>
      <c r="D50" s="780"/>
      <c r="E50" s="780">
        <f t="shared" si="14"/>
        <v>100000</v>
      </c>
      <c r="F50" s="780"/>
      <c r="G50" s="780"/>
      <c r="H50" s="780"/>
      <c r="I50" s="780"/>
      <c r="J50" s="780"/>
      <c r="K50" s="780"/>
      <c r="L50" s="780"/>
      <c r="M50" s="780"/>
      <c r="N50" s="780"/>
      <c r="O50" s="780"/>
      <c r="P50" s="780"/>
      <c r="Q50" s="780"/>
      <c r="R50" s="367">
        <f t="shared" si="13"/>
        <v>100000</v>
      </c>
      <c r="S50" s="780">
        <v>75000</v>
      </c>
      <c r="T50" s="780"/>
      <c r="U50" s="1088"/>
    </row>
    <row r="51" spans="1:21" s="83" customFormat="1">
      <c r="A51" s="170" t="s">
        <v>1793</v>
      </c>
      <c r="B51" s="216">
        <f t="shared" si="12"/>
        <v>105000</v>
      </c>
      <c r="C51" s="780">
        <v>105000</v>
      </c>
      <c r="D51" s="780"/>
      <c r="E51" s="780">
        <f t="shared" si="14"/>
        <v>105000</v>
      </c>
      <c r="F51" s="780"/>
      <c r="G51" s="780"/>
      <c r="H51" s="780"/>
      <c r="I51" s="780"/>
      <c r="J51" s="780"/>
      <c r="K51" s="780"/>
      <c r="L51" s="780"/>
      <c r="M51" s="780"/>
      <c r="N51" s="780"/>
      <c r="O51" s="780"/>
      <c r="P51" s="780"/>
      <c r="Q51" s="780"/>
      <c r="R51" s="367">
        <f t="shared" si="13"/>
        <v>105000</v>
      </c>
      <c r="S51" s="780">
        <v>105000</v>
      </c>
      <c r="T51" s="780"/>
      <c r="U51" s="1088"/>
    </row>
    <row r="52" spans="1:21" s="83" customFormat="1">
      <c r="A52" s="170" t="s">
        <v>1794</v>
      </c>
      <c r="B52" s="216">
        <f t="shared" si="12"/>
        <v>750000</v>
      </c>
      <c r="C52" s="780">
        <v>750000</v>
      </c>
      <c r="D52" s="780"/>
      <c r="E52" s="780">
        <f t="shared" si="14"/>
        <v>750000</v>
      </c>
      <c r="F52" s="780"/>
      <c r="G52" s="780"/>
      <c r="H52" s="780"/>
      <c r="I52" s="780"/>
      <c r="J52" s="780"/>
      <c r="K52" s="780"/>
      <c r="L52" s="780"/>
      <c r="M52" s="780"/>
      <c r="N52" s="780"/>
      <c r="O52" s="780"/>
      <c r="P52" s="780"/>
      <c r="Q52" s="780"/>
      <c r="R52" s="367">
        <f t="shared" si="13"/>
        <v>750000</v>
      </c>
      <c r="S52" s="780">
        <f>R52</f>
        <v>750000</v>
      </c>
      <c r="T52" s="780"/>
      <c r="U52" s="1088"/>
    </row>
    <row r="53" spans="1:21" s="83" customFormat="1">
      <c r="A53" s="931" t="s">
        <v>1795</v>
      </c>
      <c r="B53" s="216">
        <f t="shared" si="12"/>
        <v>25000</v>
      </c>
      <c r="C53" s="780">
        <v>25000</v>
      </c>
      <c r="D53" s="780"/>
      <c r="E53" s="780">
        <f t="shared" si="14"/>
        <v>25000</v>
      </c>
      <c r="F53" s="780"/>
      <c r="G53" s="780"/>
      <c r="H53" s="780"/>
      <c r="I53" s="780"/>
      <c r="J53" s="780"/>
      <c r="K53" s="780"/>
      <c r="L53" s="780"/>
      <c r="M53" s="780"/>
      <c r="N53" s="780"/>
      <c r="O53" s="780"/>
      <c r="P53" s="780"/>
      <c r="Q53" s="780"/>
      <c r="R53" s="367">
        <f t="shared" si="13"/>
        <v>25000</v>
      </c>
      <c r="S53" s="780">
        <f>R53</f>
        <v>25000</v>
      </c>
      <c r="T53" s="780"/>
      <c r="U53" s="1088"/>
    </row>
    <row r="54" spans="1:21" s="87" customFormat="1" ht="12">
      <c r="A54" s="84" t="s">
        <v>1796</v>
      </c>
      <c r="B54" s="85">
        <f>SUM(C54:D54)</f>
        <v>6402015</v>
      </c>
      <c r="C54" s="85">
        <f t="shared" ref="C54:T54" si="15">SUM(C45:C53)</f>
        <v>6402015</v>
      </c>
      <c r="D54" s="85">
        <f t="shared" si="15"/>
        <v>0</v>
      </c>
      <c r="E54" s="85">
        <f t="shared" si="15"/>
        <v>6402015</v>
      </c>
      <c r="F54" s="85">
        <f t="shared" si="15"/>
        <v>0</v>
      </c>
      <c r="G54" s="85">
        <f t="shared" si="15"/>
        <v>0</v>
      </c>
      <c r="H54" s="85">
        <f t="shared" si="15"/>
        <v>0</v>
      </c>
      <c r="I54" s="85">
        <f t="shared" si="15"/>
        <v>0</v>
      </c>
      <c r="J54" s="85">
        <f t="shared" si="15"/>
        <v>0</v>
      </c>
      <c r="K54" s="85">
        <f t="shared" si="15"/>
        <v>0</v>
      </c>
      <c r="L54" s="85">
        <f t="shared" si="15"/>
        <v>0</v>
      </c>
      <c r="M54" s="85">
        <f t="shared" si="15"/>
        <v>0</v>
      </c>
      <c r="N54" s="85">
        <f t="shared" si="15"/>
        <v>0</v>
      </c>
      <c r="O54" s="85">
        <f t="shared" si="15"/>
        <v>0</v>
      </c>
      <c r="P54" s="85">
        <f t="shared" si="15"/>
        <v>0</v>
      </c>
      <c r="Q54" s="85">
        <f t="shared" si="15"/>
        <v>0</v>
      </c>
      <c r="R54" s="216">
        <f t="shared" si="15"/>
        <v>6402015</v>
      </c>
      <c r="S54" s="85">
        <f t="shared" si="15"/>
        <v>4566937</v>
      </c>
      <c r="T54" s="85">
        <f t="shared" si="15"/>
        <v>0</v>
      </c>
      <c r="U54" s="86"/>
    </row>
    <row r="55" spans="1:21" s="83" customFormat="1">
      <c r="A55" s="82" t="s">
        <v>1351</v>
      </c>
      <c r="B55" s="1087"/>
      <c r="C55" s="1087"/>
      <c r="D55" s="1087"/>
      <c r="E55" s="217"/>
      <c r="F55" s="217"/>
      <c r="G55" s="217"/>
      <c r="H55" s="217"/>
      <c r="I55" s="217"/>
      <c r="J55" s="217"/>
      <c r="K55" s="217"/>
      <c r="L55" s="217"/>
      <c r="M55" s="217"/>
      <c r="N55" s="217"/>
      <c r="O55" s="217"/>
      <c r="P55" s="217"/>
      <c r="Q55" s="217"/>
      <c r="R55" s="217"/>
      <c r="S55" s="1087"/>
      <c r="T55" s="1087"/>
      <c r="U55" s="1088"/>
    </row>
    <row r="56" spans="1:21" s="83" customFormat="1">
      <c r="A56" s="170" t="s">
        <v>1797</v>
      </c>
      <c r="B56" s="216">
        <f t="shared" ref="B56:B61" si="16">SUM(C56+D56)</f>
        <v>0</v>
      </c>
      <c r="C56" s="780"/>
      <c r="D56" s="780"/>
      <c r="E56" s="780"/>
      <c r="F56" s="780"/>
      <c r="G56" s="780"/>
      <c r="H56" s="780"/>
      <c r="I56" s="780"/>
      <c r="J56" s="780"/>
      <c r="K56" s="780"/>
      <c r="L56" s="780"/>
      <c r="M56" s="780"/>
      <c r="N56" s="780"/>
      <c r="O56" s="780"/>
      <c r="P56" s="780"/>
      <c r="Q56" s="780"/>
      <c r="R56" s="367">
        <f t="shared" ref="R56:R61" si="17">SUM(E56:Q56)</f>
        <v>0</v>
      </c>
      <c r="S56" s="1089"/>
      <c r="T56" s="1089"/>
      <c r="U56" s="1088"/>
    </row>
    <row r="57" spans="1:21" s="107" customFormat="1">
      <c r="A57" s="1090" t="s">
        <v>1789</v>
      </c>
      <c r="B57" s="1091">
        <f t="shared" si="16"/>
        <v>0</v>
      </c>
      <c r="C57" s="1092"/>
      <c r="D57" s="1092"/>
      <c r="E57" s="1092"/>
      <c r="F57" s="1092"/>
      <c r="G57" s="1092"/>
      <c r="H57" s="1092"/>
      <c r="I57" s="1092"/>
      <c r="J57" s="1092"/>
      <c r="K57" s="1092"/>
      <c r="L57" s="1092"/>
      <c r="M57" s="1092"/>
      <c r="N57" s="1092"/>
      <c r="O57" s="1092"/>
      <c r="P57" s="1092"/>
      <c r="Q57" s="1092"/>
      <c r="R57" s="367">
        <f t="shared" si="17"/>
        <v>0</v>
      </c>
      <c r="S57" s="1093"/>
      <c r="T57" s="1093"/>
      <c r="U57" s="1094"/>
    </row>
    <row r="58" spans="1:21" s="83" customFormat="1">
      <c r="A58" s="170" t="s">
        <v>1792</v>
      </c>
      <c r="B58" s="216">
        <f t="shared" si="16"/>
        <v>10000</v>
      </c>
      <c r="C58" s="780">
        <v>10000</v>
      </c>
      <c r="D58" s="780"/>
      <c r="E58" s="780">
        <f>C58</f>
        <v>10000</v>
      </c>
      <c r="F58" s="780"/>
      <c r="G58" s="780"/>
      <c r="H58" s="780"/>
      <c r="I58" s="780"/>
      <c r="J58" s="780"/>
      <c r="K58" s="780"/>
      <c r="L58" s="780"/>
      <c r="M58" s="780"/>
      <c r="N58" s="780"/>
      <c r="O58" s="780"/>
      <c r="P58" s="780"/>
      <c r="Q58" s="780"/>
      <c r="R58" s="367">
        <f t="shared" si="17"/>
        <v>10000</v>
      </c>
      <c r="S58" s="1089"/>
      <c r="T58" s="1089"/>
      <c r="U58" s="1088"/>
    </row>
    <row r="59" spans="1:21" s="83" customFormat="1">
      <c r="A59" s="170" t="s">
        <v>1793</v>
      </c>
      <c r="B59" s="216">
        <f t="shared" si="16"/>
        <v>0</v>
      </c>
      <c r="C59" s="780"/>
      <c r="D59" s="780"/>
      <c r="E59" s="780"/>
      <c r="F59" s="780"/>
      <c r="G59" s="780"/>
      <c r="H59" s="780"/>
      <c r="I59" s="780"/>
      <c r="J59" s="780"/>
      <c r="K59" s="780"/>
      <c r="L59" s="780"/>
      <c r="M59" s="780"/>
      <c r="N59" s="780"/>
      <c r="O59" s="780"/>
      <c r="P59" s="780"/>
      <c r="Q59" s="780"/>
      <c r="R59" s="367">
        <f t="shared" si="17"/>
        <v>0</v>
      </c>
      <c r="S59" s="1089"/>
      <c r="T59" s="1089"/>
      <c r="U59" s="1088"/>
    </row>
    <row r="60" spans="1:21" s="83" customFormat="1">
      <c r="A60" s="170" t="s">
        <v>1794</v>
      </c>
      <c r="B60" s="216">
        <f t="shared" si="16"/>
        <v>0</v>
      </c>
      <c r="C60" s="780"/>
      <c r="D60" s="780"/>
      <c r="E60" s="780"/>
      <c r="F60" s="780"/>
      <c r="G60" s="780"/>
      <c r="H60" s="780"/>
      <c r="I60" s="780"/>
      <c r="J60" s="780"/>
      <c r="K60" s="780"/>
      <c r="L60" s="780"/>
      <c r="M60" s="780"/>
      <c r="N60" s="780"/>
      <c r="O60" s="780"/>
      <c r="P60" s="780"/>
      <c r="Q60" s="780"/>
      <c r="R60" s="367">
        <f t="shared" si="17"/>
        <v>0</v>
      </c>
      <c r="S60" s="1089"/>
      <c r="T60" s="1089"/>
      <c r="U60" s="1088"/>
    </row>
    <row r="61" spans="1:21" s="83" customFormat="1">
      <c r="A61" s="931" t="s">
        <v>1798</v>
      </c>
      <c r="B61" s="216">
        <f t="shared" si="16"/>
        <v>15000</v>
      </c>
      <c r="C61" s="780">
        <v>15000</v>
      </c>
      <c r="D61" s="780"/>
      <c r="E61" s="780">
        <f>C61</f>
        <v>15000</v>
      </c>
      <c r="F61" s="780"/>
      <c r="G61" s="780"/>
      <c r="H61" s="780"/>
      <c r="I61" s="780"/>
      <c r="J61" s="780"/>
      <c r="K61" s="780"/>
      <c r="L61" s="780"/>
      <c r="M61" s="780"/>
      <c r="N61" s="780"/>
      <c r="O61" s="780"/>
      <c r="P61" s="780"/>
      <c r="Q61" s="780"/>
      <c r="R61" s="367">
        <f t="shared" si="17"/>
        <v>15000</v>
      </c>
      <c r="S61" s="1089"/>
      <c r="T61" s="1089"/>
      <c r="U61" s="1088"/>
    </row>
    <row r="62" spans="1:21" s="83" customFormat="1" ht="13.95" customHeight="1">
      <c r="A62" s="84" t="s">
        <v>1799</v>
      </c>
      <c r="B62" s="216">
        <f>SUM(C62:D62)</f>
        <v>25000</v>
      </c>
      <c r="C62" s="216">
        <f t="shared" ref="C62:R62" si="18">SUM(C56:C61)</f>
        <v>25000</v>
      </c>
      <c r="D62" s="216">
        <f t="shared" si="18"/>
        <v>0</v>
      </c>
      <c r="E62" s="216">
        <f t="shared" si="18"/>
        <v>25000</v>
      </c>
      <c r="F62" s="216">
        <f t="shared" si="18"/>
        <v>0</v>
      </c>
      <c r="G62" s="216">
        <f t="shared" si="18"/>
        <v>0</v>
      </c>
      <c r="H62" s="216">
        <f t="shared" si="18"/>
        <v>0</v>
      </c>
      <c r="I62" s="216">
        <f t="shared" si="18"/>
        <v>0</v>
      </c>
      <c r="J62" s="216">
        <f t="shared" si="18"/>
        <v>0</v>
      </c>
      <c r="K62" s="216">
        <f t="shared" si="18"/>
        <v>0</v>
      </c>
      <c r="L62" s="216">
        <f t="shared" si="18"/>
        <v>0</v>
      </c>
      <c r="M62" s="216">
        <f t="shared" si="18"/>
        <v>0</v>
      </c>
      <c r="N62" s="216">
        <f t="shared" si="18"/>
        <v>0</v>
      </c>
      <c r="O62" s="216">
        <f t="shared" si="18"/>
        <v>0</v>
      </c>
      <c r="P62" s="216">
        <f t="shared" si="18"/>
        <v>0</v>
      </c>
      <c r="Q62" s="216">
        <f t="shared" si="18"/>
        <v>0</v>
      </c>
      <c r="R62" s="216">
        <f t="shared" si="18"/>
        <v>25000</v>
      </c>
      <c r="S62" s="1089"/>
      <c r="T62" s="1089"/>
      <c r="U62" s="1088"/>
    </row>
    <row r="63" spans="1:21" s="83" customFormat="1">
      <c r="A63" s="88" t="s">
        <v>1800</v>
      </c>
      <c r="B63" s="216">
        <f t="shared" ref="B63:R63" si="19">SUM(B8+B11+B13+B14+B15+B26+B27+B38+B42+B43+B54+B62)</f>
        <v>58735406</v>
      </c>
      <c r="C63" s="216">
        <f t="shared" si="19"/>
        <v>58735406</v>
      </c>
      <c r="D63" s="216">
        <f t="shared" si="19"/>
        <v>0</v>
      </c>
      <c r="E63" s="216">
        <f t="shared" si="19"/>
        <v>36310511</v>
      </c>
      <c r="F63" s="216">
        <f t="shared" si="19"/>
        <v>19324895</v>
      </c>
      <c r="G63" s="216">
        <f t="shared" si="19"/>
        <v>3100000</v>
      </c>
      <c r="H63" s="216">
        <f t="shared" si="19"/>
        <v>0</v>
      </c>
      <c r="I63" s="216">
        <f t="shared" si="19"/>
        <v>0</v>
      </c>
      <c r="J63" s="216">
        <f t="shared" si="19"/>
        <v>0</v>
      </c>
      <c r="K63" s="216">
        <f t="shared" si="19"/>
        <v>0</v>
      </c>
      <c r="L63" s="216">
        <f t="shared" si="19"/>
        <v>0</v>
      </c>
      <c r="M63" s="216">
        <f t="shared" si="19"/>
        <v>0</v>
      </c>
      <c r="N63" s="216">
        <f t="shared" si="19"/>
        <v>0</v>
      </c>
      <c r="O63" s="216">
        <f t="shared" si="19"/>
        <v>0</v>
      </c>
      <c r="P63" s="216">
        <f t="shared" si="19"/>
        <v>0</v>
      </c>
      <c r="Q63" s="216">
        <f t="shared" si="19"/>
        <v>0</v>
      </c>
      <c r="R63" s="216">
        <f t="shared" si="19"/>
        <v>58735406</v>
      </c>
      <c r="S63" s="216">
        <f>SUM(S10+S13+S14+S15+S26+S27+S38+S42+S43+S54)</f>
        <v>56775328</v>
      </c>
      <c r="T63" s="216">
        <f>SUM(T11+T13+T14+T15+T26+T27+T38+T42+T43+T54)</f>
        <v>0</v>
      </c>
      <c r="U63" s="1088"/>
    </row>
    <row r="64" spans="1:21" s="83" customFormat="1" ht="22.8">
      <c r="A64" s="82" t="s">
        <v>1801</v>
      </c>
      <c r="B64" s="1087"/>
      <c r="C64" s="1087"/>
      <c r="D64" s="1087"/>
      <c r="E64" s="217"/>
      <c r="F64" s="217"/>
      <c r="G64" s="217"/>
      <c r="H64" s="217"/>
      <c r="I64" s="217"/>
      <c r="J64" s="217"/>
      <c r="K64" s="217"/>
      <c r="L64" s="217"/>
      <c r="M64" s="217"/>
      <c r="N64" s="217"/>
      <c r="O64" s="217"/>
      <c r="P64" s="217"/>
      <c r="Q64" s="217"/>
      <c r="R64" s="217"/>
      <c r="S64" s="1087"/>
      <c r="T64" s="1087"/>
      <c r="U64" s="1088"/>
    </row>
    <row r="65" spans="1:21" s="83" customFormat="1">
      <c r="A65" s="170" t="s">
        <v>1802</v>
      </c>
      <c r="B65" s="216">
        <f>SUM(C65+D65)</f>
        <v>100000</v>
      </c>
      <c r="C65" s="780">
        <v>100000</v>
      </c>
      <c r="D65" s="780"/>
      <c r="E65" s="780">
        <f>C65</f>
        <v>100000</v>
      </c>
      <c r="F65" s="780"/>
      <c r="G65" s="780"/>
      <c r="H65" s="780"/>
      <c r="I65" s="780"/>
      <c r="J65" s="780"/>
      <c r="K65" s="780"/>
      <c r="L65" s="780"/>
      <c r="M65" s="780"/>
      <c r="N65" s="780"/>
      <c r="O65" s="780"/>
      <c r="P65" s="780"/>
      <c r="Q65" s="780"/>
      <c r="R65" s="367">
        <f>SUM(E65:Q65)</f>
        <v>100000</v>
      </c>
      <c r="S65" s="780">
        <v>100000</v>
      </c>
      <c r="T65" s="780"/>
      <c r="U65" s="1088"/>
    </row>
    <row r="66" spans="1:21" s="83" customFormat="1" ht="24" customHeight="1">
      <c r="A66" s="170" t="s">
        <v>1803</v>
      </c>
      <c r="B66" s="216">
        <f>SUM(C66+D66)</f>
        <v>0</v>
      </c>
      <c r="C66" s="780"/>
      <c r="D66" s="780"/>
      <c r="E66" s="780"/>
      <c r="F66" s="780"/>
      <c r="G66" s="780"/>
      <c r="H66" s="780"/>
      <c r="I66" s="780"/>
      <c r="J66" s="780"/>
      <c r="K66" s="780"/>
      <c r="L66" s="780"/>
      <c r="M66" s="780"/>
      <c r="N66" s="780"/>
      <c r="O66" s="780"/>
      <c r="P66" s="780"/>
      <c r="Q66" s="780"/>
      <c r="R66" s="367">
        <f>SUM(E66:Q66)</f>
        <v>0</v>
      </c>
      <c r="S66" s="780"/>
      <c r="T66" s="780"/>
      <c r="U66" s="1088"/>
    </row>
    <row r="67" spans="1:21" s="83" customFormat="1" ht="24" customHeight="1">
      <c r="A67" s="170" t="s">
        <v>1804</v>
      </c>
      <c r="B67" s="216">
        <f>SUM(C67+D67)</f>
        <v>0</v>
      </c>
      <c r="C67" s="780"/>
      <c r="D67" s="780"/>
      <c r="E67" s="780"/>
      <c r="F67" s="780"/>
      <c r="G67" s="780"/>
      <c r="H67" s="780"/>
      <c r="I67" s="780"/>
      <c r="J67" s="780"/>
      <c r="K67" s="780"/>
      <c r="L67" s="780"/>
      <c r="M67" s="780"/>
      <c r="N67" s="780"/>
      <c r="O67" s="780"/>
      <c r="P67" s="780"/>
      <c r="Q67" s="780"/>
      <c r="R67" s="367">
        <f>SUM(E67:Q67)</f>
        <v>0</v>
      </c>
      <c r="S67" s="780"/>
      <c r="T67" s="780"/>
      <c r="U67" s="1088"/>
    </row>
    <row r="68" spans="1:21" s="83" customFormat="1" ht="12" customHeight="1">
      <c r="A68" s="170" t="s">
        <v>1805</v>
      </c>
      <c r="B68" s="216">
        <f>SUM(C68+D68)</f>
        <v>0</v>
      </c>
      <c r="C68" s="780"/>
      <c r="D68" s="780"/>
      <c r="E68" s="780"/>
      <c r="F68" s="780"/>
      <c r="G68" s="780"/>
      <c r="H68" s="780"/>
      <c r="I68" s="780"/>
      <c r="J68" s="780"/>
      <c r="K68" s="780"/>
      <c r="L68" s="780"/>
      <c r="M68" s="780"/>
      <c r="N68" s="780"/>
      <c r="O68" s="780"/>
      <c r="P68" s="780"/>
      <c r="Q68" s="780"/>
      <c r="R68" s="367">
        <f>SUM(E68:Q68)</f>
        <v>0</v>
      </c>
      <c r="S68" s="780"/>
      <c r="T68" s="780"/>
      <c r="U68" s="1088"/>
    </row>
    <row r="69" spans="1:21" s="83" customFormat="1" ht="22.8">
      <c r="A69" s="931" t="s">
        <v>1806</v>
      </c>
      <c r="B69" s="216">
        <f>SUM(C69+D69)</f>
        <v>225000</v>
      </c>
      <c r="C69" s="780">
        <f>75000+50000+50000+50000</f>
        <v>225000</v>
      </c>
      <c r="D69" s="780"/>
      <c r="E69" s="780">
        <f>C69</f>
        <v>225000</v>
      </c>
      <c r="F69" s="780"/>
      <c r="G69" s="780"/>
      <c r="H69" s="780"/>
      <c r="I69" s="780"/>
      <c r="J69" s="780"/>
      <c r="K69" s="780"/>
      <c r="L69" s="780"/>
      <c r="M69" s="780"/>
      <c r="N69" s="780"/>
      <c r="O69" s="780"/>
      <c r="P69" s="780"/>
      <c r="Q69" s="780"/>
      <c r="R69" s="367">
        <f>SUM(E69:Q69)</f>
        <v>225000</v>
      </c>
      <c r="S69" s="780">
        <v>75000</v>
      </c>
      <c r="T69" s="780"/>
      <c r="U69" s="1088"/>
    </row>
    <row r="70" spans="1:21" s="83" customFormat="1" ht="12">
      <c r="A70" s="84" t="s">
        <v>1807</v>
      </c>
      <c r="B70" s="216">
        <f>SUM(C70:D70)</f>
        <v>325000</v>
      </c>
      <c r="C70" s="216">
        <f>SUM(C65:C69)</f>
        <v>325000</v>
      </c>
      <c r="D70" s="216">
        <f>SUM(D65:D69)</f>
        <v>0</v>
      </c>
      <c r="E70" s="216">
        <f t="shared" ref="E70:T70" si="20">SUM(E65:E69)</f>
        <v>325000</v>
      </c>
      <c r="F70" s="216">
        <f t="shared" si="20"/>
        <v>0</v>
      </c>
      <c r="G70" s="216">
        <f t="shared" si="20"/>
        <v>0</v>
      </c>
      <c r="H70" s="216">
        <f t="shared" si="20"/>
        <v>0</v>
      </c>
      <c r="I70" s="216">
        <f t="shared" si="20"/>
        <v>0</v>
      </c>
      <c r="J70" s="216">
        <f t="shared" si="20"/>
        <v>0</v>
      </c>
      <c r="K70" s="216">
        <f t="shared" si="20"/>
        <v>0</v>
      </c>
      <c r="L70" s="216">
        <f t="shared" si="20"/>
        <v>0</v>
      </c>
      <c r="M70" s="216">
        <f t="shared" si="20"/>
        <v>0</v>
      </c>
      <c r="N70" s="216">
        <f t="shared" si="20"/>
        <v>0</v>
      </c>
      <c r="O70" s="216">
        <f t="shared" si="20"/>
        <v>0</v>
      </c>
      <c r="P70" s="216">
        <f t="shared" si="20"/>
        <v>0</v>
      </c>
      <c r="Q70" s="216">
        <f t="shared" si="20"/>
        <v>0</v>
      </c>
      <c r="R70" s="216">
        <f t="shared" si="20"/>
        <v>325000</v>
      </c>
      <c r="S70" s="85">
        <f t="shared" si="20"/>
        <v>175000</v>
      </c>
      <c r="T70" s="85">
        <f t="shared" si="20"/>
        <v>0</v>
      </c>
      <c r="U70" s="1088"/>
    </row>
    <row r="71" spans="1:21" s="83" customFormat="1">
      <c r="A71" s="82" t="s">
        <v>1808</v>
      </c>
      <c r="B71" s="217"/>
      <c r="C71" s="217"/>
      <c r="D71" s="217"/>
      <c r="E71" s="217"/>
      <c r="F71" s="217"/>
      <c r="G71" s="217"/>
      <c r="H71" s="217"/>
      <c r="I71" s="217"/>
      <c r="J71" s="217"/>
      <c r="K71" s="217"/>
      <c r="L71" s="217"/>
      <c r="M71" s="217"/>
      <c r="N71" s="217"/>
      <c r="O71" s="217"/>
      <c r="P71" s="217"/>
      <c r="Q71" s="217"/>
      <c r="R71" s="217"/>
      <c r="S71" s="217"/>
      <c r="T71" s="217"/>
      <c r="U71" s="1088"/>
    </row>
    <row r="72" spans="1:21" s="83" customFormat="1">
      <c r="A72" s="170" t="s">
        <v>1809</v>
      </c>
      <c r="B72" s="216">
        <f>SUM(C72+D72)</f>
        <v>0</v>
      </c>
      <c r="C72" s="780"/>
      <c r="D72" s="780"/>
      <c r="E72" s="780"/>
      <c r="F72" s="780"/>
      <c r="G72" s="780"/>
      <c r="H72" s="780"/>
      <c r="I72" s="780"/>
      <c r="J72" s="780"/>
      <c r="K72" s="780"/>
      <c r="L72" s="780"/>
      <c r="M72" s="780"/>
      <c r="N72" s="780"/>
      <c r="O72" s="780"/>
      <c r="P72" s="780"/>
      <c r="Q72" s="780"/>
      <c r="R72" s="367">
        <f>SUM(E72:Q72)</f>
        <v>0</v>
      </c>
      <c r="S72" s="1089"/>
      <c r="T72" s="1089"/>
      <c r="U72" s="1088"/>
    </row>
    <row r="73" spans="1:21" s="83" customFormat="1">
      <c r="A73" s="170" t="s">
        <v>1810</v>
      </c>
      <c r="B73" s="216">
        <f>SUM(C73+D73)</f>
        <v>0</v>
      </c>
      <c r="C73" s="780"/>
      <c r="D73" s="780"/>
      <c r="E73" s="780"/>
      <c r="F73" s="780"/>
      <c r="G73" s="780"/>
      <c r="H73" s="780"/>
      <c r="I73" s="780"/>
      <c r="J73" s="780"/>
      <c r="K73" s="780"/>
      <c r="L73" s="780"/>
      <c r="M73" s="780"/>
      <c r="N73" s="780"/>
      <c r="O73" s="780"/>
      <c r="P73" s="780"/>
      <c r="Q73" s="780"/>
      <c r="R73" s="367">
        <f>SUM(E73:Q73)</f>
        <v>0</v>
      </c>
      <c r="S73" s="1089"/>
      <c r="T73" s="1089"/>
      <c r="U73" s="1088"/>
    </row>
    <row r="74" spans="1:21" s="83" customFormat="1">
      <c r="A74" s="310" t="s">
        <v>1811</v>
      </c>
      <c r="B74" s="216">
        <f>SUM(C74+D74)</f>
        <v>0</v>
      </c>
      <c r="C74" s="780"/>
      <c r="D74" s="780"/>
      <c r="E74" s="780"/>
      <c r="F74" s="780"/>
      <c r="G74" s="780"/>
      <c r="H74" s="780"/>
      <c r="I74" s="780"/>
      <c r="J74" s="780"/>
      <c r="K74" s="780"/>
      <c r="L74" s="780"/>
      <c r="M74" s="780"/>
      <c r="N74" s="780"/>
      <c r="O74" s="780"/>
      <c r="P74" s="780"/>
      <c r="Q74" s="780"/>
      <c r="R74" s="367">
        <f>SUM(E74:Q74)</f>
        <v>0</v>
      </c>
      <c r="S74" s="1089"/>
      <c r="T74" s="1089"/>
      <c r="U74" s="1088"/>
    </row>
    <row r="75" spans="1:21" s="83" customFormat="1">
      <c r="A75" s="170" t="s">
        <v>1812</v>
      </c>
      <c r="B75" s="216">
        <f>SUM(C75+D75)</f>
        <v>693007</v>
      </c>
      <c r="C75" s="780">
        <v>693007</v>
      </c>
      <c r="D75" s="780"/>
      <c r="E75" s="780">
        <v>693007</v>
      </c>
      <c r="F75" s="780"/>
      <c r="G75" s="780"/>
      <c r="H75" s="780"/>
      <c r="I75" s="780"/>
      <c r="J75" s="780"/>
      <c r="K75" s="780"/>
      <c r="L75" s="780"/>
      <c r="M75" s="780"/>
      <c r="N75" s="780"/>
      <c r="O75" s="780"/>
      <c r="P75" s="780"/>
      <c r="Q75" s="780"/>
      <c r="R75" s="367">
        <f>SUM(E75:Q75)</f>
        <v>693007</v>
      </c>
      <c r="S75" s="1089"/>
      <c r="T75" s="1089"/>
      <c r="U75" s="1088"/>
    </row>
    <row r="76" spans="1:21" s="83" customFormat="1">
      <c r="A76" s="931" t="s">
        <v>1776</v>
      </c>
      <c r="B76" s="216">
        <f>SUM(C76+D76)</f>
        <v>0</v>
      </c>
      <c r="C76" s="780"/>
      <c r="D76" s="780"/>
      <c r="E76" s="780"/>
      <c r="F76" s="780"/>
      <c r="G76" s="780"/>
      <c r="H76" s="780"/>
      <c r="I76" s="780"/>
      <c r="J76" s="780"/>
      <c r="K76" s="780"/>
      <c r="L76" s="780"/>
      <c r="M76" s="780"/>
      <c r="N76" s="780"/>
      <c r="O76" s="780"/>
      <c r="P76" s="780"/>
      <c r="Q76" s="780"/>
      <c r="R76" s="367">
        <f>SUM(E76:Q76)</f>
        <v>0</v>
      </c>
      <c r="S76" s="1089"/>
      <c r="T76" s="1089"/>
      <c r="U76" s="1088"/>
    </row>
    <row r="77" spans="1:21" s="83" customFormat="1" ht="12">
      <c r="A77" s="84" t="s">
        <v>1813</v>
      </c>
      <c r="B77" s="216">
        <f>SUM(C77:D77)</f>
        <v>693007</v>
      </c>
      <c r="C77" s="216">
        <f>SUM(C72:C76)</f>
        <v>693007</v>
      </c>
      <c r="D77" s="216">
        <f>SUM(D72:D76)</f>
        <v>0</v>
      </c>
      <c r="E77" s="216">
        <f t="shared" ref="E77:Q77" si="21">SUM(E72:E76)</f>
        <v>693007</v>
      </c>
      <c r="F77" s="216">
        <f t="shared" si="21"/>
        <v>0</v>
      </c>
      <c r="G77" s="216">
        <f t="shared" si="21"/>
        <v>0</v>
      </c>
      <c r="H77" s="216">
        <f t="shared" si="21"/>
        <v>0</v>
      </c>
      <c r="I77" s="216">
        <f t="shared" si="21"/>
        <v>0</v>
      </c>
      <c r="J77" s="216">
        <f t="shared" si="21"/>
        <v>0</v>
      </c>
      <c r="K77" s="216">
        <f t="shared" si="21"/>
        <v>0</v>
      </c>
      <c r="L77" s="216">
        <f t="shared" si="21"/>
        <v>0</v>
      </c>
      <c r="M77" s="216">
        <f t="shared" si="21"/>
        <v>0</v>
      </c>
      <c r="N77" s="216">
        <f t="shared" si="21"/>
        <v>0</v>
      </c>
      <c r="O77" s="216">
        <f t="shared" si="21"/>
        <v>0</v>
      </c>
      <c r="P77" s="216">
        <f t="shared" si="21"/>
        <v>0</v>
      </c>
      <c r="Q77" s="216">
        <f t="shared" si="21"/>
        <v>0</v>
      </c>
      <c r="R77" s="216">
        <f>SUM(R72:R76)</f>
        <v>693007</v>
      </c>
      <c r="S77" s="1089"/>
      <c r="T77" s="1089"/>
      <c r="U77" s="1088"/>
    </row>
    <row r="78" spans="1:21" s="83" customFormat="1">
      <c r="A78" s="82" t="s">
        <v>1814</v>
      </c>
      <c r="B78" s="217"/>
      <c r="C78" s="217"/>
      <c r="D78" s="217"/>
      <c r="E78" s="217"/>
      <c r="F78" s="217"/>
      <c r="G78" s="217"/>
      <c r="H78" s="217"/>
      <c r="I78" s="217"/>
      <c r="J78" s="217"/>
      <c r="K78" s="217"/>
      <c r="L78" s="217"/>
      <c r="M78" s="217"/>
      <c r="N78" s="217"/>
      <c r="O78" s="217"/>
      <c r="P78" s="217"/>
      <c r="Q78" s="217"/>
      <c r="R78" s="217"/>
      <c r="S78" s="217"/>
      <c r="T78" s="217"/>
      <c r="U78" s="1088"/>
    </row>
    <row r="79" spans="1:21" s="83" customFormat="1">
      <c r="A79" s="170" t="s">
        <v>1815</v>
      </c>
      <c r="B79" s="216">
        <f>SUM(C79:D79)</f>
        <v>2505000</v>
      </c>
      <c r="C79" s="780">
        <v>2505000</v>
      </c>
      <c r="D79" s="780"/>
      <c r="E79" s="780">
        <f>C79</f>
        <v>2505000</v>
      </c>
      <c r="F79" s="780"/>
      <c r="G79" s="780"/>
      <c r="H79" s="780"/>
      <c r="I79" s="780"/>
      <c r="J79" s="780"/>
      <c r="K79" s="780"/>
      <c r="L79" s="780"/>
      <c r="M79" s="780"/>
      <c r="N79" s="780"/>
      <c r="O79" s="780"/>
      <c r="P79" s="780"/>
      <c r="Q79" s="780"/>
      <c r="R79" s="367">
        <f>SUM(E79:Q79)</f>
        <v>2505000</v>
      </c>
      <c r="S79" s="780">
        <f>R79</f>
        <v>2505000</v>
      </c>
      <c r="T79" s="780"/>
      <c r="U79" s="1088"/>
    </row>
    <row r="80" spans="1:21" s="83" customFormat="1">
      <c r="A80" s="170" t="s">
        <v>1816</v>
      </c>
      <c r="B80" s="216">
        <f>SUM(C80:D80)</f>
        <v>593840</v>
      </c>
      <c r="C80" s="780">
        <v>593840</v>
      </c>
      <c r="D80" s="780"/>
      <c r="E80" s="780">
        <f>C80</f>
        <v>593840</v>
      </c>
      <c r="F80" s="780"/>
      <c r="G80" s="780"/>
      <c r="H80" s="780"/>
      <c r="I80" s="780"/>
      <c r="J80" s="780"/>
      <c r="K80" s="780"/>
      <c r="L80" s="780"/>
      <c r="M80" s="780"/>
      <c r="N80" s="780"/>
      <c r="O80" s="780"/>
      <c r="P80" s="780"/>
      <c r="Q80" s="780"/>
      <c r="R80" s="367">
        <f>SUM(E80:Q80)</f>
        <v>593840</v>
      </c>
      <c r="S80" s="780">
        <f>R80</f>
        <v>593840</v>
      </c>
      <c r="T80" s="780"/>
      <c r="U80" s="1088"/>
    </row>
    <row r="81" spans="1:21" s="83" customFormat="1" ht="12">
      <c r="A81" s="84" t="s">
        <v>1817</v>
      </c>
      <c r="B81" s="216">
        <f>SUM(C81:D81)</f>
        <v>3098840</v>
      </c>
      <c r="C81" s="1095">
        <f>SUM(C79:C80)</f>
        <v>3098840</v>
      </c>
      <c r="D81" s="1095">
        <f t="shared" ref="D81:T81" si="22">SUM(D79:D80)</f>
        <v>0</v>
      </c>
      <c r="E81" s="1095">
        <f t="shared" si="22"/>
        <v>3098840</v>
      </c>
      <c r="F81" s="1095">
        <f t="shared" si="22"/>
        <v>0</v>
      </c>
      <c r="G81" s="1095">
        <f t="shared" si="22"/>
        <v>0</v>
      </c>
      <c r="H81" s="1095">
        <f t="shared" si="22"/>
        <v>0</v>
      </c>
      <c r="I81" s="1095">
        <f t="shared" si="22"/>
        <v>0</v>
      </c>
      <c r="J81" s="1095">
        <f t="shared" si="22"/>
        <v>0</v>
      </c>
      <c r="K81" s="1095">
        <f t="shared" si="22"/>
        <v>0</v>
      </c>
      <c r="L81" s="1095">
        <f t="shared" si="22"/>
        <v>0</v>
      </c>
      <c r="M81" s="1095">
        <f t="shared" si="22"/>
        <v>0</v>
      </c>
      <c r="N81" s="1095">
        <f t="shared" si="22"/>
        <v>0</v>
      </c>
      <c r="O81" s="1095">
        <f t="shared" si="22"/>
        <v>0</v>
      </c>
      <c r="P81" s="1095">
        <f t="shared" si="22"/>
        <v>0</v>
      </c>
      <c r="Q81" s="1095">
        <f t="shared" si="22"/>
        <v>0</v>
      </c>
      <c r="R81" s="1095">
        <f t="shared" si="22"/>
        <v>3098840</v>
      </c>
      <c r="S81" s="1095">
        <f t="shared" si="22"/>
        <v>3098840</v>
      </c>
      <c r="T81" s="1095">
        <f t="shared" si="22"/>
        <v>0</v>
      </c>
      <c r="U81" s="1088"/>
    </row>
    <row r="82" spans="1:21" s="83" customFormat="1">
      <c r="A82" s="82" t="s">
        <v>1818</v>
      </c>
      <c r="B82" s="217"/>
      <c r="C82" s="217"/>
      <c r="D82" s="217"/>
      <c r="E82" s="217"/>
      <c r="F82" s="217"/>
      <c r="G82" s="217"/>
      <c r="H82" s="217"/>
      <c r="I82" s="217"/>
      <c r="J82" s="217"/>
      <c r="K82" s="217"/>
      <c r="L82" s="217"/>
      <c r="M82" s="217"/>
      <c r="N82" s="217"/>
      <c r="O82" s="217"/>
      <c r="P82" s="217"/>
      <c r="Q82" s="217"/>
      <c r="R82" s="217"/>
      <c r="S82" s="217"/>
      <c r="T82" s="217"/>
      <c r="U82" s="1088"/>
    </row>
    <row r="83" spans="1:21" s="83" customFormat="1" ht="13.95" customHeight="1">
      <c r="A83" s="170" t="s">
        <v>1819</v>
      </c>
      <c r="B83" s="216">
        <f t="shared" ref="B83:B95" si="23">SUM(C83+D83)</f>
        <v>109775</v>
      </c>
      <c r="C83" s="780">
        <v>109775</v>
      </c>
      <c r="D83" s="780"/>
      <c r="E83" s="780">
        <f>C83</f>
        <v>109775</v>
      </c>
      <c r="F83" s="780"/>
      <c r="G83" s="780"/>
      <c r="H83" s="780"/>
      <c r="I83" s="780"/>
      <c r="J83" s="780"/>
      <c r="K83" s="780"/>
      <c r="L83" s="780"/>
      <c r="M83" s="780"/>
      <c r="N83" s="780"/>
      <c r="O83" s="780"/>
      <c r="P83" s="780"/>
      <c r="Q83" s="780"/>
      <c r="R83" s="367">
        <f t="shared" ref="R83:R95" si="24">SUM(E83:Q83)</f>
        <v>109775</v>
      </c>
      <c r="S83" s="1089"/>
      <c r="T83" s="1089"/>
      <c r="U83" s="1088"/>
    </row>
    <row r="84" spans="1:21" s="83" customFormat="1">
      <c r="A84" s="170" t="s">
        <v>1820</v>
      </c>
      <c r="B84" s="216">
        <f t="shared" si="23"/>
        <v>50000</v>
      </c>
      <c r="C84" s="780">
        <v>50000</v>
      </c>
      <c r="D84" s="780"/>
      <c r="E84" s="780">
        <f t="shared" ref="E84:E95" si="25">C84</f>
        <v>50000</v>
      </c>
      <c r="F84" s="780"/>
      <c r="G84" s="780"/>
      <c r="H84" s="780"/>
      <c r="I84" s="780"/>
      <c r="J84" s="780"/>
      <c r="K84" s="780"/>
      <c r="L84" s="780"/>
      <c r="M84" s="780"/>
      <c r="N84" s="780"/>
      <c r="O84" s="780"/>
      <c r="P84" s="780"/>
      <c r="Q84" s="780"/>
      <c r="R84" s="367">
        <f t="shared" si="24"/>
        <v>50000</v>
      </c>
      <c r="S84" s="780">
        <f>R84</f>
        <v>50000</v>
      </c>
      <c r="T84" s="780"/>
      <c r="U84" s="1088"/>
    </row>
    <row r="85" spans="1:21" s="83" customFormat="1">
      <c r="A85" s="170" t="s">
        <v>1821</v>
      </c>
      <c r="B85" s="216">
        <f t="shared" si="23"/>
        <v>1021813</v>
      </c>
      <c r="C85" s="780">
        <v>1021813</v>
      </c>
      <c r="D85" s="780"/>
      <c r="E85" s="780">
        <f t="shared" si="25"/>
        <v>1021813</v>
      </c>
      <c r="F85" s="780"/>
      <c r="G85" s="780"/>
      <c r="H85" s="780"/>
      <c r="I85" s="780"/>
      <c r="J85" s="780"/>
      <c r="K85" s="780"/>
      <c r="L85" s="780"/>
      <c r="M85" s="780"/>
      <c r="N85" s="780"/>
      <c r="O85" s="780"/>
      <c r="P85" s="780"/>
      <c r="Q85" s="780"/>
      <c r="R85" s="367">
        <f t="shared" si="24"/>
        <v>1021813</v>
      </c>
      <c r="S85" s="780">
        <f t="shared" ref="S85:S86" si="26">R85</f>
        <v>1021813</v>
      </c>
      <c r="T85" s="780"/>
      <c r="U85" s="1088"/>
    </row>
    <row r="86" spans="1:21" s="83" customFormat="1">
      <c r="A86" s="170" t="s">
        <v>1822</v>
      </c>
      <c r="B86" s="216">
        <f t="shared" si="23"/>
        <v>2478187</v>
      </c>
      <c r="C86" s="780">
        <f>3500000-C85</f>
        <v>2478187</v>
      </c>
      <c r="D86" s="780"/>
      <c r="E86" s="780">
        <f t="shared" si="25"/>
        <v>2478187</v>
      </c>
      <c r="F86" s="780"/>
      <c r="G86" s="780"/>
      <c r="H86" s="780"/>
      <c r="I86" s="780"/>
      <c r="J86" s="780"/>
      <c r="K86" s="780"/>
      <c r="L86" s="780"/>
      <c r="M86" s="780"/>
      <c r="N86" s="780"/>
      <c r="O86" s="780"/>
      <c r="P86" s="780"/>
      <c r="Q86" s="780"/>
      <c r="R86" s="367">
        <f t="shared" si="24"/>
        <v>2478187</v>
      </c>
      <c r="S86" s="780">
        <f t="shared" si="26"/>
        <v>2478187</v>
      </c>
      <c r="T86" s="780"/>
      <c r="U86" s="1088"/>
    </row>
    <row r="87" spans="1:21" s="83" customFormat="1">
      <c r="A87" s="170" t="s">
        <v>1823</v>
      </c>
      <c r="B87" s="216">
        <f t="shared" si="23"/>
        <v>0</v>
      </c>
      <c r="C87" s="780"/>
      <c r="D87" s="780"/>
      <c r="E87" s="780">
        <f t="shared" si="25"/>
        <v>0</v>
      </c>
      <c r="F87" s="780"/>
      <c r="G87" s="780"/>
      <c r="H87" s="780"/>
      <c r="I87" s="780"/>
      <c r="J87" s="780"/>
      <c r="K87" s="780"/>
      <c r="L87" s="780"/>
      <c r="M87" s="780"/>
      <c r="N87" s="780"/>
      <c r="O87" s="780"/>
      <c r="P87" s="780"/>
      <c r="Q87" s="780"/>
      <c r="R87" s="367">
        <f t="shared" si="24"/>
        <v>0</v>
      </c>
      <c r="S87" s="780"/>
      <c r="T87" s="780"/>
      <c r="U87" s="1088"/>
    </row>
    <row r="88" spans="1:21" s="83" customFormat="1">
      <c r="A88" s="170" t="s">
        <v>1824</v>
      </c>
      <c r="B88" s="216">
        <f t="shared" si="23"/>
        <v>150000</v>
      </c>
      <c r="C88" s="780">
        <v>150000</v>
      </c>
      <c r="D88" s="780"/>
      <c r="E88" s="780">
        <f t="shared" si="25"/>
        <v>150000</v>
      </c>
      <c r="F88" s="780"/>
      <c r="G88" s="780"/>
      <c r="H88" s="780"/>
      <c r="I88" s="780"/>
      <c r="J88" s="780"/>
      <c r="K88" s="780"/>
      <c r="L88" s="780"/>
      <c r="M88" s="780"/>
      <c r="N88" s="780"/>
      <c r="O88" s="780"/>
      <c r="P88" s="780"/>
      <c r="Q88" s="780"/>
      <c r="R88" s="367">
        <f t="shared" si="24"/>
        <v>150000</v>
      </c>
      <c r="S88" s="1089"/>
      <c r="T88" s="1089"/>
      <c r="U88" s="1088"/>
    </row>
    <row r="89" spans="1:21" s="83" customFormat="1">
      <c r="A89" s="170" t="s">
        <v>1825</v>
      </c>
      <c r="B89" s="216">
        <f t="shared" si="23"/>
        <v>150000</v>
      </c>
      <c r="C89" s="780">
        <v>150000</v>
      </c>
      <c r="D89" s="780"/>
      <c r="E89" s="780">
        <f t="shared" si="25"/>
        <v>150000</v>
      </c>
      <c r="F89" s="780"/>
      <c r="G89" s="780"/>
      <c r="H89" s="780"/>
      <c r="I89" s="780"/>
      <c r="J89" s="780"/>
      <c r="K89" s="780"/>
      <c r="L89" s="780"/>
      <c r="M89" s="780"/>
      <c r="N89" s="780"/>
      <c r="O89" s="780"/>
      <c r="P89" s="780"/>
      <c r="Q89" s="780"/>
      <c r="R89" s="367">
        <f t="shared" si="24"/>
        <v>150000</v>
      </c>
      <c r="S89" s="780">
        <f>R89</f>
        <v>150000</v>
      </c>
      <c r="T89" s="780"/>
      <c r="U89" s="1088"/>
    </row>
    <row r="90" spans="1:21" s="83" customFormat="1">
      <c r="A90" s="170" t="s">
        <v>1826</v>
      </c>
      <c r="B90" s="216">
        <f t="shared" si="23"/>
        <v>15000</v>
      </c>
      <c r="C90" s="780">
        <v>15000</v>
      </c>
      <c r="D90" s="780"/>
      <c r="E90" s="780">
        <f t="shared" si="25"/>
        <v>15000</v>
      </c>
      <c r="F90" s="780"/>
      <c r="G90" s="780"/>
      <c r="H90" s="780"/>
      <c r="I90" s="780"/>
      <c r="J90" s="780"/>
      <c r="K90" s="780"/>
      <c r="L90" s="780"/>
      <c r="M90" s="780"/>
      <c r="N90" s="780"/>
      <c r="O90" s="780"/>
      <c r="P90" s="780"/>
      <c r="Q90" s="780"/>
      <c r="R90" s="367">
        <f t="shared" si="24"/>
        <v>15000</v>
      </c>
      <c r="S90" s="780">
        <f>R90</f>
        <v>15000</v>
      </c>
      <c r="T90" s="780"/>
      <c r="U90" s="1088"/>
    </row>
    <row r="91" spans="1:21" s="83" customFormat="1">
      <c r="A91" s="170" t="s">
        <v>1827</v>
      </c>
      <c r="B91" s="216">
        <f t="shared" si="23"/>
        <v>50000</v>
      </c>
      <c r="C91" s="780">
        <v>50000</v>
      </c>
      <c r="D91" s="780"/>
      <c r="E91" s="780">
        <f t="shared" si="25"/>
        <v>50000</v>
      </c>
      <c r="F91" s="780"/>
      <c r="G91" s="780"/>
      <c r="H91" s="780"/>
      <c r="I91" s="780"/>
      <c r="J91" s="780"/>
      <c r="K91" s="780"/>
      <c r="L91" s="780"/>
      <c r="M91" s="780"/>
      <c r="N91" s="780"/>
      <c r="O91" s="780"/>
      <c r="P91" s="780"/>
      <c r="Q91" s="780"/>
      <c r="R91" s="367">
        <f t="shared" si="24"/>
        <v>50000</v>
      </c>
      <c r="S91" s="780">
        <f t="shared" ref="S91:S94" si="27">R91</f>
        <v>50000</v>
      </c>
      <c r="T91" s="780"/>
      <c r="U91" s="1088"/>
    </row>
    <row r="92" spans="1:21" s="83" customFormat="1">
      <c r="A92" s="170" t="s">
        <v>1828</v>
      </c>
      <c r="B92" s="216">
        <f t="shared" si="23"/>
        <v>20000</v>
      </c>
      <c r="C92" s="780">
        <v>20000</v>
      </c>
      <c r="D92" s="780"/>
      <c r="E92" s="780">
        <f t="shared" si="25"/>
        <v>20000</v>
      </c>
      <c r="F92" s="780"/>
      <c r="G92" s="780"/>
      <c r="H92" s="780"/>
      <c r="I92" s="780"/>
      <c r="J92" s="780"/>
      <c r="K92" s="780"/>
      <c r="L92" s="780"/>
      <c r="M92" s="780"/>
      <c r="N92" s="780"/>
      <c r="O92" s="780"/>
      <c r="P92" s="780"/>
      <c r="Q92" s="780"/>
      <c r="R92" s="367">
        <f t="shared" si="24"/>
        <v>20000</v>
      </c>
      <c r="S92" s="780">
        <f t="shared" si="27"/>
        <v>20000</v>
      </c>
      <c r="T92" s="780"/>
      <c r="U92" s="1088"/>
    </row>
    <row r="93" spans="1:21" s="83" customFormat="1">
      <c r="A93" s="931" t="s">
        <v>1829</v>
      </c>
      <c r="B93" s="216">
        <f t="shared" si="23"/>
        <v>113225</v>
      </c>
      <c r="C93" s="780">
        <f>100000+13225</f>
        <v>113225</v>
      </c>
      <c r="D93" s="780"/>
      <c r="E93" s="780">
        <f t="shared" si="25"/>
        <v>113225</v>
      </c>
      <c r="F93" s="780"/>
      <c r="G93" s="780"/>
      <c r="H93" s="780"/>
      <c r="I93" s="780"/>
      <c r="J93" s="780"/>
      <c r="K93" s="780"/>
      <c r="L93" s="780"/>
      <c r="M93" s="780"/>
      <c r="N93" s="780"/>
      <c r="O93" s="780"/>
      <c r="P93" s="780"/>
      <c r="Q93" s="780"/>
      <c r="R93" s="367">
        <f t="shared" si="24"/>
        <v>113225</v>
      </c>
      <c r="S93" s="780">
        <f>13225+1</f>
        <v>13226</v>
      </c>
      <c r="T93" s="780"/>
      <c r="U93" s="1088"/>
    </row>
    <row r="94" spans="1:21" s="83" customFormat="1">
      <c r="A94" s="931" t="s">
        <v>1830</v>
      </c>
      <c r="B94" s="216">
        <f t="shared" si="23"/>
        <v>42000</v>
      </c>
      <c r="C94" s="780">
        <v>42000</v>
      </c>
      <c r="D94" s="780"/>
      <c r="E94" s="780">
        <f t="shared" si="25"/>
        <v>42000</v>
      </c>
      <c r="F94" s="780"/>
      <c r="G94" s="780"/>
      <c r="H94" s="780"/>
      <c r="I94" s="780"/>
      <c r="J94" s="780"/>
      <c r="K94" s="780"/>
      <c r="L94" s="780"/>
      <c r="M94" s="780"/>
      <c r="N94" s="780"/>
      <c r="O94" s="780"/>
      <c r="P94" s="780"/>
      <c r="Q94" s="780"/>
      <c r="R94" s="367">
        <f t="shared" si="24"/>
        <v>42000</v>
      </c>
      <c r="S94" s="780">
        <f t="shared" si="27"/>
        <v>42000</v>
      </c>
      <c r="T94" s="780"/>
      <c r="U94" s="1088"/>
    </row>
    <row r="95" spans="1:21" s="83" customFormat="1" ht="22.8">
      <c r="A95" s="931" t="s">
        <v>1831</v>
      </c>
      <c r="B95" s="216">
        <f t="shared" si="23"/>
        <v>450000</v>
      </c>
      <c r="C95" s="780">
        <f>250000+200000</f>
        <v>450000</v>
      </c>
      <c r="D95" s="780"/>
      <c r="E95" s="780">
        <f t="shared" si="25"/>
        <v>450000</v>
      </c>
      <c r="F95" s="780"/>
      <c r="G95" s="780"/>
      <c r="H95" s="780"/>
      <c r="I95" s="780"/>
      <c r="J95" s="780"/>
      <c r="K95" s="780"/>
      <c r="L95" s="780"/>
      <c r="M95" s="780"/>
      <c r="N95" s="780"/>
      <c r="O95" s="780"/>
      <c r="P95" s="780"/>
      <c r="Q95" s="780"/>
      <c r="R95" s="367">
        <f t="shared" si="24"/>
        <v>450000</v>
      </c>
      <c r="S95" s="780">
        <f>450000</f>
        <v>450000</v>
      </c>
      <c r="T95" s="780"/>
      <c r="U95" s="1088"/>
    </row>
    <row r="96" spans="1:21" s="83" customFormat="1" ht="12">
      <c r="A96" s="84" t="s">
        <v>1832</v>
      </c>
      <c r="B96" s="216">
        <f>SUM(C96:D96)</f>
        <v>4650000</v>
      </c>
      <c r="C96" s="216">
        <f t="shared" ref="C96:R96" si="28">SUM(C83:C95)</f>
        <v>4650000</v>
      </c>
      <c r="D96" s="216">
        <f t="shared" si="28"/>
        <v>0</v>
      </c>
      <c r="E96" s="216">
        <f t="shared" si="28"/>
        <v>4650000</v>
      </c>
      <c r="F96" s="216">
        <f t="shared" si="28"/>
        <v>0</v>
      </c>
      <c r="G96" s="216">
        <f t="shared" si="28"/>
        <v>0</v>
      </c>
      <c r="H96" s="216">
        <f t="shared" si="28"/>
        <v>0</v>
      </c>
      <c r="I96" s="216">
        <f t="shared" si="28"/>
        <v>0</v>
      </c>
      <c r="J96" s="216">
        <f t="shared" si="28"/>
        <v>0</v>
      </c>
      <c r="K96" s="216">
        <f t="shared" si="28"/>
        <v>0</v>
      </c>
      <c r="L96" s="216">
        <f t="shared" si="28"/>
        <v>0</v>
      </c>
      <c r="M96" s="216">
        <f t="shared" si="28"/>
        <v>0</v>
      </c>
      <c r="N96" s="216">
        <f t="shared" si="28"/>
        <v>0</v>
      </c>
      <c r="O96" s="216">
        <f t="shared" si="28"/>
        <v>0</v>
      </c>
      <c r="P96" s="216">
        <f t="shared" si="28"/>
        <v>0</v>
      </c>
      <c r="Q96" s="216">
        <f t="shared" si="28"/>
        <v>0</v>
      </c>
      <c r="R96" s="216">
        <f t="shared" si="28"/>
        <v>4650000</v>
      </c>
      <c r="S96" s="85">
        <f>SUM(S84:S87,S89:S95)</f>
        <v>4290226</v>
      </c>
      <c r="T96" s="216">
        <f>SUM(T84:T87,T89:T95)</f>
        <v>0</v>
      </c>
      <c r="U96" s="1088"/>
    </row>
    <row r="97" spans="1:21" s="83" customFormat="1" ht="12">
      <c r="A97" s="84" t="s">
        <v>1833</v>
      </c>
      <c r="B97" s="216">
        <f>SUM(C97:D97)</f>
        <v>67502253</v>
      </c>
      <c r="C97" s="216">
        <f t="shared" ref="C97:R97" si="29">SUM(C63+C70+C77+C81+C96)</f>
        <v>67502253</v>
      </c>
      <c r="D97" s="216">
        <f t="shared" si="29"/>
        <v>0</v>
      </c>
      <c r="E97" s="216">
        <f t="shared" si="29"/>
        <v>45077358</v>
      </c>
      <c r="F97" s="216">
        <f t="shared" si="29"/>
        <v>19324895</v>
      </c>
      <c r="G97" s="216">
        <f t="shared" si="29"/>
        <v>3100000</v>
      </c>
      <c r="H97" s="216">
        <f t="shared" si="29"/>
        <v>0</v>
      </c>
      <c r="I97" s="216">
        <f t="shared" si="29"/>
        <v>0</v>
      </c>
      <c r="J97" s="216">
        <f t="shared" si="29"/>
        <v>0</v>
      </c>
      <c r="K97" s="216">
        <f t="shared" si="29"/>
        <v>0</v>
      </c>
      <c r="L97" s="216">
        <f t="shared" si="29"/>
        <v>0</v>
      </c>
      <c r="M97" s="216">
        <f t="shared" si="29"/>
        <v>0</v>
      </c>
      <c r="N97" s="216">
        <f t="shared" si="29"/>
        <v>0</v>
      </c>
      <c r="O97" s="216">
        <f t="shared" si="29"/>
        <v>0</v>
      </c>
      <c r="P97" s="216">
        <f t="shared" si="29"/>
        <v>0</v>
      </c>
      <c r="Q97" s="216">
        <f t="shared" si="29"/>
        <v>0</v>
      </c>
      <c r="R97" s="216">
        <f t="shared" si="29"/>
        <v>67502253</v>
      </c>
      <c r="S97" s="216">
        <f>SUM(S63+S70+S81+S96)</f>
        <v>64339394</v>
      </c>
      <c r="T97" s="216">
        <f>SUM(T63+T70+T81+T96)</f>
        <v>0</v>
      </c>
      <c r="U97" s="1088"/>
    </row>
    <row r="98" spans="1:21" s="83" customFormat="1">
      <c r="A98" s="82" t="s">
        <v>1834</v>
      </c>
      <c r="B98" s="217"/>
      <c r="C98" s="217"/>
      <c r="D98" s="217"/>
      <c r="E98" s="217"/>
      <c r="F98" s="217"/>
      <c r="G98" s="217"/>
      <c r="H98" s="217"/>
      <c r="I98" s="217"/>
      <c r="J98" s="217"/>
      <c r="K98" s="217"/>
      <c r="L98" s="217"/>
      <c r="M98" s="217"/>
      <c r="N98" s="217"/>
      <c r="O98" s="217"/>
      <c r="P98" s="217"/>
      <c r="Q98" s="217"/>
      <c r="R98" s="217"/>
      <c r="S98" s="217"/>
      <c r="T98" s="217"/>
      <c r="U98" s="1088"/>
    </row>
    <row r="99" spans="1:21" s="83" customFormat="1">
      <c r="A99" s="170" t="s">
        <v>1835</v>
      </c>
      <c r="B99" s="216">
        <f>SUM(C99+D99)</f>
        <v>9650909</v>
      </c>
      <c r="C99" s="780">
        <v>9650909</v>
      </c>
      <c r="D99" s="780"/>
      <c r="E99" s="780">
        <f>C99-H99</f>
        <v>3883636</v>
      </c>
      <c r="F99" s="780"/>
      <c r="G99" s="780"/>
      <c r="H99" s="780">
        <f>Application!AO629</f>
        <v>5767273</v>
      </c>
      <c r="I99" s="780"/>
      <c r="J99" s="780"/>
      <c r="K99" s="780"/>
      <c r="L99" s="780"/>
      <c r="M99" s="780"/>
      <c r="N99" s="780"/>
      <c r="O99" s="780"/>
      <c r="P99" s="780"/>
      <c r="Q99" s="780"/>
      <c r="R99" s="367">
        <f>SUM(E99:Q99)</f>
        <v>9650909</v>
      </c>
      <c r="S99" s="780">
        <f>R99</f>
        <v>9650909</v>
      </c>
      <c r="T99" s="780"/>
      <c r="U99" s="1088"/>
    </row>
    <row r="100" spans="1:21" s="83" customFormat="1">
      <c r="A100" s="170" t="s">
        <v>1836</v>
      </c>
      <c r="B100" s="216">
        <f>SUM(C100+D100)</f>
        <v>0</v>
      </c>
      <c r="C100" s="780"/>
      <c r="D100" s="780"/>
      <c r="E100" s="780"/>
      <c r="F100" s="780"/>
      <c r="G100" s="780"/>
      <c r="H100" s="780"/>
      <c r="I100" s="780"/>
      <c r="J100" s="780"/>
      <c r="K100" s="780"/>
      <c r="L100" s="780"/>
      <c r="M100" s="780"/>
      <c r="N100" s="780"/>
      <c r="O100" s="780"/>
      <c r="P100" s="780"/>
      <c r="Q100" s="780"/>
      <c r="R100" s="367">
        <f>SUM(E100:Q100)</f>
        <v>0</v>
      </c>
      <c r="S100" s="780"/>
      <c r="T100" s="780"/>
      <c r="U100" s="1088"/>
    </row>
    <row r="101" spans="1:21" s="83" customFormat="1" ht="12" customHeight="1">
      <c r="A101" s="170" t="s">
        <v>1837</v>
      </c>
      <c r="B101" s="216">
        <f>SUM(C101+D101)</f>
        <v>0</v>
      </c>
      <c r="C101" s="780"/>
      <c r="D101" s="780"/>
      <c r="E101" s="780"/>
      <c r="F101" s="780"/>
      <c r="G101" s="780"/>
      <c r="H101" s="780"/>
      <c r="I101" s="780"/>
      <c r="J101" s="780"/>
      <c r="K101" s="780"/>
      <c r="L101" s="780"/>
      <c r="M101" s="780"/>
      <c r="N101" s="780"/>
      <c r="O101" s="780"/>
      <c r="P101" s="780"/>
      <c r="Q101" s="780"/>
      <c r="R101" s="367">
        <f>SUM(E101:Q101)</f>
        <v>0</v>
      </c>
      <c r="S101" s="780"/>
      <c r="T101" s="780"/>
      <c r="U101" s="1088"/>
    </row>
    <row r="102" spans="1:21" s="83" customFormat="1">
      <c r="A102" s="170" t="s">
        <v>1838</v>
      </c>
      <c r="B102" s="216">
        <f>SUM(C102+D102)</f>
        <v>0</v>
      </c>
      <c r="C102" s="780"/>
      <c r="D102" s="780"/>
      <c r="E102" s="780"/>
      <c r="F102" s="780"/>
      <c r="G102" s="780"/>
      <c r="H102" s="780"/>
      <c r="I102" s="780"/>
      <c r="J102" s="780"/>
      <c r="K102" s="780"/>
      <c r="L102" s="780"/>
      <c r="M102" s="780"/>
      <c r="N102" s="780"/>
      <c r="O102" s="780"/>
      <c r="P102" s="780"/>
      <c r="Q102" s="780"/>
      <c r="R102" s="367">
        <f>SUM(E102:Q102)</f>
        <v>0</v>
      </c>
      <c r="S102" s="780"/>
      <c r="T102" s="780"/>
      <c r="U102" s="1088"/>
    </row>
    <row r="103" spans="1:21" s="83" customFormat="1">
      <c r="A103" s="931" t="s">
        <v>1776</v>
      </c>
      <c r="B103" s="216">
        <f>SUM(C103+D103)</f>
        <v>0</v>
      </c>
      <c r="C103" s="780"/>
      <c r="D103" s="780"/>
      <c r="E103" s="780"/>
      <c r="F103" s="780"/>
      <c r="G103" s="780"/>
      <c r="H103" s="780"/>
      <c r="I103" s="780"/>
      <c r="J103" s="780"/>
      <c r="K103" s="780"/>
      <c r="L103" s="780"/>
      <c r="M103" s="780"/>
      <c r="N103" s="780"/>
      <c r="O103" s="780"/>
      <c r="P103" s="780"/>
      <c r="Q103" s="780"/>
      <c r="R103" s="367">
        <f>SUM(E103:Q103)</f>
        <v>0</v>
      </c>
      <c r="S103" s="780"/>
      <c r="T103" s="780"/>
      <c r="U103" s="1088"/>
    </row>
    <row r="104" spans="1:21" s="83" customFormat="1" ht="12">
      <c r="A104" s="84" t="s">
        <v>1839</v>
      </c>
      <c r="B104" s="216">
        <f>SUM(C104:D104)</f>
        <v>9650909</v>
      </c>
      <c r="C104" s="216">
        <f>SUM(C99:C103)</f>
        <v>9650909</v>
      </c>
      <c r="D104" s="216">
        <f t="shared" ref="D104:T104" si="30">SUM(D99:D103)</f>
        <v>0</v>
      </c>
      <c r="E104" s="216">
        <f t="shared" si="30"/>
        <v>3883636</v>
      </c>
      <c r="F104" s="216">
        <f t="shared" si="30"/>
        <v>0</v>
      </c>
      <c r="G104" s="216">
        <f t="shared" si="30"/>
        <v>0</v>
      </c>
      <c r="H104" s="216">
        <f t="shared" si="30"/>
        <v>5767273</v>
      </c>
      <c r="I104" s="216">
        <f t="shared" si="30"/>
        <v>0</v>
      </c>
      <c r="J104" s="216">
        <f t="shared" si="30"/>
        <v>0</v>
      </c>
      <c r="K104" s="216">
        <f t="shared" si="30"/>
        <v>0</v>
      </c>
      <c r="L104" s="216">
        <f t="shared" si="30"/>
        <v>0</v>
      </c>
      <c r="M104" s="216">
        <f t="shared" si="30"/>
        <v>0</v>
      </c>
      <c r="N104" s="216">
        <f t="shared" si="30"/>
        <v>0</v>
      </c>
      <c r="O104" s="216">
        <f t="shared" si="30"/>
        <v>0</v>
      </c>
      <c r="P104" s="216">
        <f t="shared" si="30"/>
        <v>0</v>
      </c>
      <c r="Q104" s="216">
        <f t="shared" si="30"/>
        <v>0</v>
      </c>
      <c r="R104" s="216">
        <f t="shared" si="30"/>
        <v>9650909</v>
      </c>
      <c r="S104" s="85">
        <f t="shared" si="30"/>
        <v>9650909</v>
      </c>
      <c r="T104" s="85">
        <f t="shared" si="30"/>
        <v>0</v>
      </c>
      <c r="U104" s="1088"/>
    </row>
    <row r="105" spans="1:21" s="83" customFormat="1" ht="12">
      <c r="A105" s="84" t="s">
        <v>1840</v>
      </c>
      <c r="B105" s="85">
        <f>SUM(C105:D105)</f>
        <v>77153162</v>
      </c>
      <c r="C105" s="85">
        <f t="shared" ref="C105:R105" si="31">SUM(C97+C104)</f>
        <v>77153162</v>
      </c>
      <c r="D105" s="85">
        <f t="shared" si="31"/>
        <v>0</v>
      </c>
      <c r="E105" s="85">
        <f t="shared" si="31"/>
        <v>48960994</v>
      </c>
      <c r="F105" s="85">
        <f t="shared" si="31"/>
        <v>19324895</v>
      </c>
      <c r="G105" s="85">
        <f t="shared" si="31"/>
        <v>3100000</v>
      </c>
      <c r="H105" s="85">
        <f t="shared" si="31"/>
        <v>5767273</v>
      </c>
      <c r="I105" s="85">
        <f t="shared" si="31"/>
        <v>0</v>
      </c>
      <c r="J105" s="85">
        <f t="shared" si="31"/>
        <v>0</v>
      </c>
      <c r="K105" s="85">
        <f t="shared" si="31"/>
        <v>0</v>
      </c>
      <c r="L105" s="85">
        <f t="shared" si="31"/>
        <v>0</v>
      </c>
      <c r="M105" s="85">
        <f t="shared" si="31"/>
        <v>0</v>
      </c>
      <c r="N105" s="85">
        <f t="shared" si="31"/>
        <v>0</v>
      </c>
      <c r="O105" s="85">
        <f t="shared" si="31"/>
        <v>0</v>
      </c>
      <c r="P105" s="85">
        <f t="shared" si="31"/>
        <v>0</v>
      </c>
      <c r="Q105" s="85">
        <f t="shared" si="31"/>
        <v>0</v>
      </c>
      <c r="R105" s="216">
        <f t="shared" si="31"/>
        <v>77153162</v>
      </c>
      <c r="S105" s="85">
        <f>S97+S104</f>
        <v>73990303</v>
      </c>
      <c r="T105" s="85">
        <f>T97+T104</f>
        <v>0</v>
      </c>
      <c r="U105" s="1088"/>
    </row>
    <row r="106" spans="1:21" ht="12">
      <c r="A106" s="365" t="s">
        <v>1841</v>
      </c>
      <c r="B106" s="1096"/>
      <c r="C106" s="1096"/>
      <c r="D106" s="1096"/>
      <c r="E106" s="1183"/>
      <c r="F106" s="1183"/>
      <c r="G106" s="1183"/>
      <c r="H106" s="203" t="s">
        <v>1842</v>
      </c>
      <c r="I106" s="203"/>
      <c r="J106" s="203"/>
      <c r="K106" s="1183"/>
      <c r="L106" s="1183"/>
      <c r="M106" s="1183"/>
      <c r="N106" s="1183"/>
      <c r="O106" s="1183"/>
      <c r="P106" s="1183"/>
      <c r="Q106" s="1183"/>
      <c r="R106" s="91" t="s">
        <v>1843</v>
      </c>
      <c r="S106" s="780"/>
      <c r="T106" s="780"/>
      <c r="U106" s="204"/>
    </row>
    <row r="107" spans="1:21" ht="12">
      <c r="A107" s="1096" t="s">
        <v>1844</v>
      </c>
      <c r="B107" s="1183"/>
      <c r="C107" s="1096"/>
      <c r="D107" s="1096"/>
      <c r="E107" s="1183"/>
      <c r="F107" s="1183"/>
      <c r="G107" s="1183"/>
      <c r="H107" s="1183"/>
      <c r="I107" s="93" t="s">
        <v>1845</v>
      </c>
      <c r="J107" s="93"/>
      <c r="K107" s="1183"/>
      <c r="L107" s="1183"/>
      <c r="M107" s="1183"/>
      <c r="N107" s="1183"/>
      <c r="O107" s="1183"/>
      <c r="P107" s="1183"/>
      <c r="Q107" s="1183"/>
      <c r="R107" s="91" t="s">
        <v>1846</v>
      </c>
      <c r="S107" s="85">
        <f>S105+S106</f>
        <v>73990303</v>
      </c>
      <c r="T107" s="85">
        <f>T105+T106</f>
        <v>0</v>
      </c>
      <c r="U107" s="204"/>
    </row>
    <row r="108" spans="1:21" s="106" customFormat="1" ht="12">
      <c r="A108" s="93" t="s">
        <v>1847</v>
      </c>
      <c r="B108" s="1096"/>
      <c r="C108" s="1096"/>
      <c r="D108" s="1096"/>
      <c r="E108" s="1097">
        <f>Application!AO640</f>
        <v>48960994</v>
      </c>
      <c r="F108" s="1097">
        <f>Application!AO627</f>
        <v>19324895</v>
      </c>
      <c r="G108" s="1097">
        <f>Application!AO628</f>
        <v>3100000</v>
      </c>
      <c r="H108" s="1097">
        <f>Application!AO629</f>
        <v>5767273</v>
      </c>
      <c r="I108" s="1097">
        <f>Application!AO630</f>
        <v>0</v>
      </c>
      <c r="J108" s="1097">
        <f>Application!AO631</f>
        <v>0</v>
      </c>
      <c r="K108" s="1097">
        <f>Application!AO632</f>
        <v>0</v>
      </c>
      <c r="L108" s="1097">
        <f>Application!AO633</f>
        <v>0</v>
      </c>
      <c r="M108" s="1097">
        <f>Application!AO634</f>
        <v>0</v>
      </c>
      <c r="N108" s="1097">
        <f>Application!AO635</f>
        <v>0</v>
      </c>
      <c r="O108" s="1097">
        <f>Application!AO636</f>
        <v>0</v>
      </c>
      <c r="P108" s="1097">
        <f>Application!AO637</f>
        <v>0</v>
      </c>
      <c r="Q108" s="1097">
        <f>Application!AO638</f>
        <v>0</v>
      </c>
      <c r="R108" s="1183"/>
      <c r="S108" s="1183"/>
      <c r="T108" s="1183"/>
      <c r="U108" s="1098"/>
    </row>
    <row r="109" spans="1:21" ht="10.199999999999999" customHeight="1">
      <c r="A109" s="1096"/>
      <c r="B109" s="1096"/>
      <c r="C109" s="1096"/>
      <c r="D109" s="1096"/>
      <c r="E109" s="1183"/>
      <c r="F109" s="1183"/>
      <c r="G109" s="1183"/>
      <c r="H109" s="1183"/>
      <c r="I109" s="1183"/>
      <c r="J109" s="1183"/>
      <c r="K109" s="1183"/>
      <c r="L109" s="1183"/>
      <c r="M109" s="1183"/>
      <c r="N109" s="1183"/>
      <c r="O109" s="1183"/>
      <c r="P109" s="1183"/>
      <c r="Q109" s="1183"/>
      <c r="R109" s="1183"/>
      <c r="S109" s="1183"/>
      <c r="T109" s="1183"/>
      <c r="U109" s="204"/>
    </row>
    <row r="110" spans="1:21" ht="12">
      <c r="A110" s="93" t="s">
        <v>1848</v>
      </c>
      <c r="B110" s="1096"/>
      <c r="C110" s="1096"/>
      <c r="D110" s="1096"/>
      <c r="E110" s="1183"/>
      <c r="F110" s="1183"/>
      <c r="G110" s="1183"/>
      <c r="H110" s="1183"/>
      <c r="I110" s="1183"/>
      <c r="J110" s="1183"/>
      <c r="K110" s="1183"/>
      <c r="L110" s="1183"/>
      <c r="M110" s="1183"/>
      <c r="N110" s="1183"/>
      <c r="O110" s="1183"/>
      <c r="P110" s="1183"/>
      <c r="Q110" s="1183"/>
      <c r="R110" s="1183"/>
      <c r="S110" s="1183"/>
      <c r="T110" s="1183"/>
      <c r="U110" s="204"/>
    </row>
    <row r="111" spans="1:21" ht="12">
      <c r="A111" s="89" t="s">
        <v>1849</v>
      </c>
      <c r="B111" s="1096"/>
      <c r="C111" s="1096"/>
      <c r="D111" s="1096"/>
      <c r="E111" s="1183"/>
      <c r="F111" s="1183"/>
      <c r="G111" s="1183"/>
      <c r="H111" s="1183"/>
      <c r="I111" s="1183"/>
      <c r="J111" s="1183"/>
      <c r="K111" s="1183"/>
      <c r="L111" s="1183"/>
      <c r="M111" s="1183"/>
      <c r="N111" s="1183"/>
      <c r="O111" s="1183"/>
      <c r="P111" s="1183"/>
      <c r="Q111" s="1183"/>
      <c r="R111" s="1183"/>
      <c r="S111" s="1183"/>
      <c r="T111" s="1183"/>
      <c r="U111" s="204"/>
    </row>
    <row r="112" spans="1:21" ht="12" customHeight="1">
      <c r="A112" s="1133"/>
      <c r="B112" s="1096"/>
      <c r="C112" s="1096"/>
      <c r="D112" s="1096"/>
      <c r="E112" s="1183"/>
      <c r="F112" s="1183"/>
      <c r="G112" s="1183"/>
      <c r="H112" s="1183"/>
      <c r="I112" s="1183"/>
      <c r="J112" s="1183"/>
      <c r="K112" s="1183"/>
      <c r="L112" s="1183"/>
      <c r="M112" s="1183"/>
      <c r="N112" s="1183"/>
      <c r="O112" s="1183"/>
      <c r="P112" s="1183"/>
      <c r="Q112" s="1183"/>
      <c r="R112" s="1183"/>
      <c r="S112" s="1183"/>
      <c r="T112" s="1183"/>
      <c r="U112" s="204"/>
    </row>
    <row r="113" spans="1:21" ht="12">
      <c r="A113" s="89" t="s">
        <v>1850</v>
      </c>
      <c r="B113" s="1096"/>
      <c r="C113" s="1096"/>
      <c r="D113" s="1096"/>
      <c r="E113" s="1183"/>
      <c r="F113" s="1183"/>
      <c r="G113" s="1183"/>
      <c r="H113" s="1183"/>
      <c r="I113" s="1183"/>
      <c r="J113" s="1183"/>
      <c r="K113" s="1183"/>
      <c r="L113" s="1183"/>
      <c r="M113" s="1183"/>
      <c r="N113" s="1183"/>
      <c r="O113" s="1183"/>
      <c r="P113" s="1183"/>
      <c r="Q113" s="1183"/>
      <c r="R113" s="1183"/>
      <c r="S113" s="1183"/>
      <c r="T113" s="1183"/>
      <c r="U113" s="204"/>
    </row>
    <row r="114" spans="1:21" ht="12">
      <c r="A114" s="89" t="s">
        <v>1851</v>
      </c>
      <c r="B114" s="1096"/>
      <c r="C114" s="1096"/>
      <c r="D114" s="1096"/>
      <c r="E114" s="1183"/>
      <c r="F114" s="1183"/>
      <c r="G114" s="1183"/>
      <c r="H114" s="1183"/>
      <c r="I114" s="1183"/>
      <c r="J114" s="1183"/>
      <c r="K114" s="1183"/>
      <c r="L114" s="1183"/>
      <c r="M114" s="1183"/>
      <c r="N114" s="1183"/>
      <c r="O114" s="1183"/>
      <c r="P114" s="1183"/>
      <c r="Q114" s="1183"/>
      <c r="R114" s="1183"/>
      <c r="S114" s="1183"/>
      <c r="T114" s="1183"/>
      <c r="U114" s="204"/>
    </row>
    <row r="115" spans="1:21" ht="12" customHeight="1">
      <c r="A115" s="1133"/>
      <c r="B115" s="1096"/>
      <c r="C115" s="1096"/>
      <c r="D115" s="1096"/>
      <c r="E115" s="1183"/>
      <c r="F115" s="1183"/>
      <c r="G115" s="1183"/>
      <c r="H115" s="1183"/>
      <c r="I115" s="1183"/>
      <c r="J115" s="1183"/>
      <c r="K115" s="1183"/>
      <c r="L115" s="1183"/>
      <c r="M115" s="1183"/>
      <c r="N115" s="1183"/>
      <c r="O115" s="1183"/>
      <c r="P115" s="1183"/>
      <c r="Q115" s="1183"/>
      <c r="R115" s="1183"/>
      <c r="S115" s="1183"/>
      <c r="T115" s="1183"/>
      <c r="U115" s="204"/>
    </row>
    <row r="116" spans="1:21" ht="12">
      <c r="A116" s="219" t="s">
        <v>1852</v>
      </c>
      <c r="B116" s="1096"/>
      <c r="C116" s="1096"/>
      <c r="D116" s="1096"/>
      <c r="E116" s="1183"/>
      <c r="F116" s="1183"/>
      <c r="G116" s="1183"/>
      <c r="H116" s="1183"/>
      <c r="I116" s="1183"/>
      <c r="J116" s="1183"/>
      <c r="K116" s="1183"/>
      <c r="L116" s="1183"/>
      <c r="M116" s="1183"/>
      <c r="N116" s="1183"/>
      <c r="O116" s="1183"/>
      <c r="P116" s="1183"/>
      <c r="Q116" s="1183"/>
      <c r="R116" s="1183"/>
      <c r="S116" s="1183"/>
      <c r="T116" s="1183"/>
      <c r="U116" s="204"/>
    </row>
    <row r="117" spans="1:21" ht="12">
      <c r="A117" s="219" t="s">
        <v>1853</v>
      </c>
      <c r="B117" s="1096"/>
      <c r="C117" s="1096"/>
      <c r="D117" s="1096"/>
      <c r="E117" s="1183"/>
      <c r="F117" s="1183"/>
      <c r="G117" s="1183"/>
      <c r="H117" s="1183"/>
      <c r="I117" s="1183"/>
      <c r="J117" s="1183"/>
      <c r="K117" s="1183"/>
      <c r="L117" s="1183"/>
      <c r="M117" s="1183"/>
      <c r="N117" s="1183"/>
      <c r="O117" s="1183"/>
      <c r="P117" s="1183"/>
      <c r="Q117" s="1183"/>
      <c r="R117" s="1183"/>
      <c r="S117" s="1183"/>
      <c r="T117" s="1183"/>
      <c r="U117" s="204"/>
    </row>
    <row r="118" spans="1:21" ht="12">
      <c r="A118" s="219" t="s">
        <v>1854</v>
      </c>
      <c r="B118" s="1096"/>
      <c r="C118" s="1096"/>
      <c r="D118" s="1096"/>
      <c r="E118" s="1183"/>
      <c r="F118" s="1183"/>
      <c r="G118" s="1183"/>
      <c r="H118" s="1183"/>
      <c r="I118" s="1183"/>
      <c r="J118" s="1183"/>
      <c r="K118" s="1183"/>
      <c r="L118" s="1183"/>
      <c r="M118" s="1183"/>
      <c r="N118" s="1183"/>
      <c r="O118" s="1183"/>
      <c r="P118" s="1183"/>
      <c r="Q118" s="1183"/>
      <c r="R118" s="1183"/>
      <c r="S118" s="1183"/>
      <c r="T118" s="1183"/>
      <c r="U118" s="204"/>
    </row>
    <row r="119" spans="1:21" ht="12">
      <c r="A119" s="219" t="s">
        <v>1855</v>
      </c>
      <c r="B119" s="1096"/>
      <c r="C119" s="1096"/>
      <c r="D119" s="1096"/>
      <c r="E119" s="1183"/>
      <c r="F119" s="1183"/>
      <c r="G119" s="1183"/>
      <c r="H119" s="1183"/>
      <c r="I119" s="1183"/>
      <c r="J119" s="1183"/>
      <c r="K119" s="1183"/>
      <c r="L119" s="1183"/>
      <c r="M119" s="1183"/>
      <c r="N119" s="1183"/>
      <c r="O119" s="1183"/>
      <c r="P119" s="1183"/>
      <c r="Q119" s="1183"/>
      <c r="R119" s="1183"/>
      <c r="S119" s="1183"/>
      <c r="T119" s="1183"/>
      <c r="U119" s="204"/>
    </row>
    <row r="120" spans="1:21" ht="12" customHeight="1">
      <c r="A120" s="218"/>
      <c r="B120" s="1096"/>
      <c r="C120" s="1096"/>
      <c r="D120" s="1096"/>
      <c r="E120" s="1183"/>
      <c r="F120" s="1183"/>
      <c r="G120" s="1183"/>
      <c r="H120" s="1183"/>
      <c r="I120" s="1183"/>
      <c r="J120" s="1183"/>
      <c r="K120" s="1183"/>
      <c r="L120" s="1183"/>
      <c r="M120" s="1183"/>
      <c r="N120" s="1183"/>
      <c r="O120" s="1183"/>
      <c r="P120" s="1183"/>
      <c r="Q120" s="1183"/>
      <c r="R120" s="1183"/>
      <c r="S120" s="1183"/>
      <c r="T120" s="1183"/>
      <c r="U120" s="204"/>
    </row>
    <row r="121" spans="1:21" ht="15.6">
      <c r="A121" s="213" t="s">
        <v>1856</v>
      </c>
      <c r="B121" s="1096"/>
      <c r="C121" s="1096"/>
      <c r="D121" s="1096"/>
      <c r="E121" s="1183"/>
      <c r="F121" s="1183"/>
      <c r="G121" s="1183"/>
      <c r="H121" s="1183"/>
      <c r="I121" s="1183"/>
      <c r="J121" s="1183"/>
      <c r="K121" s="1183"/>
      <c r="L121" s="1183"/>
      <c r="M121" s="1183"/>
      <c r="N121" s="1183"/>
      <c r="O121" s="1183"/>
      <c r="P121" s="1183"/>
      <c r="Q121" s="1183"/>
      <c r="R121" s="1183"/>
      <c r="S121" s="1183"/>
      <c r="T121" s="1183"/>
      <c r="U121" s="204"/>
    </row>
    <row r="122" spans="1:21">
      <c r="A122" s="203" t="s">
        <v>1857</v>
      </c>
      <c r="B122" s="1183"/>
      <c r="C122" s="1183"/>
      <c r="D122" s="1800" t="s">
        <v>1858</v>
      </c>
      <c r="E122" s="1800"/>
      <c r="F122" s="1800"/>
      <c r="G122" s="1183"/>
      <c r="H122" s="1183"/>
      <c r="I122" s="1183"/>
      <c r="J122" s="1183"/>
      <c r="K122" s="1183"/>
      <c r="L122" s="1183"/>
      <c r="M122" s="1183"/>
      <c r="N122" s="1183"/>
      <c r="O122" s="1183"/>
      <c r="P122" s="1183"/>
      <c r="Q122" s="1183"/>
      <c r="R122" s="1183"/>
      <c r="S122" s="1183"/>
      <c r="T122" s="1183"/>
      <c r="U122" s="204"/>
    </row>
    <row r="123" spans="1:21">
      <c r="A123" s="1183" t="s">
        <v>1859</v>
      </c>
      <c r="B123" s="211"/>
      <c r="C123" s="1183"/>
      <c r="D123" s="1793" t="s">
        <v>1860</v>
      </c>
      <c r="E123" s="1502"/>
      <c r="F123" s="1502"/>
      <c r="G123" s="1502"/>
      <c r="H123" s="1502"/>
      <c r="I123" s="1502"/>
      <c r="J123" s="1502"/>
      <c r="K123" s="1502"/>
      <c r="L123" s="1502"/>
      <c r="M123" s="1502"/>
      <c r="N123" s="1502"/>
      <c r="O123" s="1502"/>
      <c r="P123" s="1502"/>
      <c r="Q123" s="1502"/>
      <c r="R123" s="1502"/>
      <c r="S123" s="1502"/>
      <c r="T123" s="1183"/>
      <c r="U123" s="204"/>
    </row>
    <row r="124" spans="1:21" ht="13.2">
      <c r="A124" s="1144" t="s">
        <v>1861</v>
      </c>
      <c r="B124" s="211"/>
      <c r="C124" s="1144"/>
      <c r="D124" s="1502"/>
      <c r="E124" s="1502"/>
      <c r="F124" s="1502"/>
      <c r="G124" s="1502"/>
      <c r="H124" s="1502"/>
      <c r="I124" s="1502"/>
      <c r="J124" s="1502"/>
      <c r="K124" s="1502"/>
      <c r="L124" s="1502"/>
      <c r="M124" s="1502"/>
      <c r="N124" s="1502"/>
      <c r="O124" s="1502"/>
      <c r="P124" s="1502"/>
      <c r="Q124" s="1502"/>
      <c r="R124" s="1502"/>
      <c r="S124" s="1502"/>
      <c r="T124" s="1183"/>
      <c r="U124" s="204"/>
    </row>
    <row r="125" spans="1:21" ht="13.2">
      <c r="A125" s="1144" t="s">
        <v>1862</v>
      </c>
      <c r="B125" s="211"/>
      <c r="C125" s="1144"/>
      <c r="D125" s="1502"/>
      <c r="E125" s="1502"/>
      <c r="F125" s="1502"/>
      <c r="G125" s="1502"/>
      <c r="H125" s="1502"/>
      <c r="I125" s="1502"/>
      <c r="J125" s="1502"/>
      <c r="K125" s="1502"/>
      <c r="L125" s="1502"/>
      <c r="M125" s="1502"/>
      <c r="N125" s="1502"/>
      <c r="O125" s="1502"/>
      <c r="P125" s="1502"/>
      <c r="Q125" s="1502"/>
      <c r="R125" s="1502"/>
      <c r="S125" s="1502"/>
      <c r="T125" s="1183"/>
      <c r="U125" s="204"/>
    </row>
    <row r="126" spans="1:21" ht="13.2">
      <c r="A126" s="1144" t="s">
        <v>1863</v>
      </c>
      <c r="B126" s="211"/>
      <c r="C126" s="1144"/>
      <c r="D126" s="69"/>
      <c r="E126" s="69"/>
      <c r="F126" s="69"/>
      <c r="G126" s="69"/>
      <c r="H126" s="69"/>
      <c r="I126" s="69"/>
      <c r="J126" s="69"/>
      <c r="K126" s="69"/>
      <c r="L126" s="69"/>
      <c r="M126" s="69"/>
      <c r="N126" s="69"/>
      <c r="O126" s="1144"/>
      <c r="P126" s="1144"/>
      <c r="Q126" s="1144"/>
      <c r="R126" s="1144"/>
      <c r="S126" s="1144"/>
      <c r="T126" s="1183"/>
      <c r="U126" s="204"/>
    </row>
    <row r="127" spans="1:21" ht="13.2">
      <c r="A127" s="1144" t="s">
        <v>1864</v>
      </c>
      <c r="B127" s="211"/>
      <c r="C127" s="1144"/>
      <c r="D127" s="69"/>
      <c r="E127" s="69"/>
      <c r="F127" s="69"/>
      <c r="G127" s="69"/>
      <c r="H127" s="69"/>
      <c r="I127" s="69"/>
      <c r="J127" s="69"/>
      <c r="K127" s="69"/>
      <c r="L127" s="69"/>
      <c r="M127" s="69"/>
      <c r="N127" s="69"/>
      <c r="O127" s="1144"/>
      <c r="P127" s="1144"/>
      <c r="Q127" s="1144"/>
      <c r="R127" s="1144"/>
      <c r="S127" s="1144"/>
      <c r="T127" s="1183"/>
      <c r="U127" s="204"/>
    </row>
    <row r="128" spans="1:21" ht="13.2">
      <c r="A128" s="1144" t="s">
        <v>1865</v>
      </c>
      <c r="B128" s="211"/>
      <c r="C128" s="1144"/>
      <c r="D128" s="1795"/>
      <c r="E128" s="1795"/>
      <c r="F128" s="1795"/>
      <c r="G128" s="1795"/>
      <c r="H128" s="1795"/>
      <c r="I128" s="1144"/>
      <c r="J128" s="1792"/>
      <c r="K128" s="1792"/>
      <c r="L128" s="1144"/>
      <c r="M128" s="1144"/>
      <c r="N128" s="1144"/>
      <c r="O128" s="1144"/>
      <c r="P128" s="1144"/>
      <c r="Q128" s="1144"/>
      <c r="R128" s="1144"/>
      <c r="S128" s="1144"/>
      <c r="T128" s="1183"/>
      <c r="U128" s="204"/>
    </row>
    <row r="129" spans="1:21" ht="13.2">
      <c r="A129" s="1144" t="s">
        <v>1053</v>
      </c>
      <c r="B129" s="211"/>
      <c r="C129" s="1144"/>
      <c r="D129" s="1799" t="s">
        <v>1866</v>
      </c>
      <c r="E129" s="1799"/>
      <c r="F129" s="1799"/>
      <c r="G129" s="1799"/>
      <c r="H129" s="1799"/>
      <c r="I129" s="1144"/>
      <c r="J129" s="1144" t="s">
        <v>1867</v>
      </c>
      <c r="K129" s="1144"/>
      <c r="L129" s="1144"/>
      <c r="M129" s="1144"/>
      <c r="N129" s="1144"/>
      <c r="O129" s="1144"/>
      <c r="P129" s="1144"/>
      <c r="Q129" s="1144"/>
      <c r="R129" s="1144"/>
      <c r="S129" s="1144"/>
      <c r="T129" s="1183"/>
      <c r="U129" s="204"/>
    </row>
    <row r="130" spans="1:21" ht="12" customHeight="1">
      <c r="A130" s="1144"/>
      <c r="B130" s="210"/>
      <c r="C130" s="1144"/>
      <c r="D130" s="1144"/>
      <c r="E130" s="1144"/>
      <c r="F130" s="1144"/>
      <c r="G130" s="1144"/>
      <c r="H130" s="1144"/>
      <c r="I130" s="1144"/>
      <c r="J130" s="1144"/>
      <c r="K130" s="1144"/>
      <c r="L130" s="1144"/>
      <c r="M130" s="1144"/>
      <c r="N130" s="1144"/>
      <c r="O130" s="1144"/>
      <c r="P130" s="1144"/>
      <c r="Q130" s="1144"/>
      <c r="R130" s="1144"/>
      <c r="S130" s="1144"/>
      <c r="T130" s="1183"/>
      <c r="U130" s="204"/>
    </row>
    <row r="131" spans="1:21" ht="13.2">
      <c r="A131" s="1116" t="s">
        <v>1868</v>
      </c>
      <c r="B131" s="212">
        <f>SUM(B123:B129)</f>
        <v>0</v>
      </c>
      <c r="C131" s="1144"/>
      <c r="D131" s="1480"/>
      <c r="E131" s="1480"/>
      <c r="F131" s="1480"/>
      <c r="G131" s="1480"/>
      <c r="H131" s="1480"/>
      <c r="I131" s="1144"/>
      <c r="J131" s="1480"/>
      <c r="K131" s="1480"/>
      <c r="L131" s="1480"/>
      <c r="M131" s="1480"/>
      <c r="N131" s="1144"/>
      <c r="O131" s="1144"/>
      <c r="P131" s="1144"/>
      <c r="Q131" s="1144"/>
      <c r="R131" s="1144"/>
      <c r="S131" s="1144"/>
      <c r="T131" s="1183"/>
      <c r="U131" s="204"/>
    </row>
    <row r="132" spans="1:21" ht="12" customHeight="1">
      <c r="A132" s="1099"/>
      <c r="B132" s="1144"/>
      <c r="C132" s="1144"/>
      <c r="D132" s="1292" t="s">
        <v>1869</v>
      </c>
      <c r="E132" s="1292"/>
      <c r="F132" s="1292"/>
      <c r="G132" s="1292"/>
      <c r="H132" s="1292"/>
      <c r="I132" s="1144"/>
      <c r="J132" s="1292" t="s">
        <v>1870</v>
      </c>
      <c r="K132" s="1292"/>
      <c r="L132" s="1292"/>
      <c r="M132" s="1292"/>
      <c r="N132" s="1144"/>
      <c r="O132" s="1144"/>
      <c r="P132" s="1144"/>
      <c r="Q132" s="1144"/>
      <c r="R132" s="1144"/>
      <c r="S132" s="1144"/>
      <c r="T132" s="1183"/>
      <c r="U132" s="204"/>
    </row>
    <row r="133" spans="1:21" ht="12" customHeight="1">
      <c r="A133" s="1099"/>
      <c r="B133" s="1144"/>
      <c r="C133" s="1144"/>
      <c r="D133" s="1144"/>
      <c r="E133" s="1144"/>
      <c r="F133" s="1144"/>
      <c r="G133" s="1144"/>
      <c r="H133" s="1144"/>
      <c r="I133" s="1144"/>
      <c r="J133" s="1144"/>
      <c r="K133" s="1144"/>
      <c r="L133" s="1144"/>
      <c r="M133" s="1144"/>
      <c r="N133" s="1144"/>
      <c r="O133" s="1144"/>
      <c r="P133" s="1144"/>
      <c r="Q133" s="1144"/>
      <c r="R133" s="1144"/>
      <c r="S133" s="1144"/>
      <c r="T133" s="1183"/>
      <c r="U133" s="204"/>
    </row>
    <row r="134" spans="1:21" ht="13.2">
      <c r="A134" s="1132" t="s">
        <v>1871</v>
      </c>
      <c r="B134" s="1144"/>
      <c r="C134" s="1144"/>
      <c r="D134" s="1144"/>
      <c r="E134" s="1144"/>
      <c r="F134" s="1144"/>
      <c r="G134" s="1144"/>
      <c r="H134" s="1144"/>
      <c r="I134" s="1144"/>
      <c r="J134" s="1144"/>
      <c r="K134" s="1144"/>
      <c r="L134" s="1144"/>
      <c r="M134" s="1144"/>
      <c r="N134" s="1144"/>
      <c r="O134" s="1144"/>
      <c r="P134" s="1144"/>
      <c r="Q134" s="1144"/>
      <c r="R134" s="1144"/>
      <c r="S134" s="1144"/>
      <c r="T134" s="1183"/>
      <c r="U134" s="204"/>
    </row>
    <row r="135" spans="1:21" ht="13.2">
      <c r="A135" s="1133" t="s">
        <v>1872</v>
      </c>
      <c r="B135" s="1144"/>
      <c r="C135" s="1144"/>
      <c r="D135" s="1144"/>
      <c r="E135" s="1144"/>
      <c r="F135" s="1144"/>
      <c r="G135" s="1144"/>
      <c r="H135" s="1144"/>
      <c r="I135" s="1144"/>
      <c r="J135" s="1144"/>
      <c r="K135" s="1144"/>
      <c r="L135" s="1144"/>
      <c r="M135" s="1144"/>
      <c r="N135" s="1100"/>
      <c r="O135" s="1144"/>
      <c r="P135" s="1144"/>
      <c r="Q135" s="1144"/>
      <c r="R135" s="1144"/>
      <c r="S135" s="1144"/>
      <c r="T135" s="1183"/>
      <c r="U135" s="204"/>
    </row>
    <row r="136" spans="1:21" ht="12" customHeight="1">
      <c r="A136" s="1099"/>
      <c r="B136" s="1144"/>
      <c r="C136" s="1144"/>
      <c r="D136" s="1144"/>
      <c r="E136" s="1144"/>
      <c r="F136" s="1144"/>
      <c r="G136" s="1144"/>
      <c r="H136" s="1144"/>
      <c r="I136" s="1144"/>
      <c r="J136" s="1144"/>
      <c r="K136" s="1144"/>
      <c r="L136" s="1144"/>
      <c r="M136" s="1144"/>
      <c r="N136" s="1144"/>
      <c r="O136" s="1144"/>
      <c r="P136" s="1144"/>
      <c r="Q136" s="1144"/>
      <c r="R136" s="1144"/>
      <c r="S136" s="1144"/>
      <c r="T136" s="208"/>
      <c r="U136" s="209"/>
    </row>
    <row r="137" spans="1:21" ht="13.2">
      <c r="A137" s="1099"/>
      <c r="B137" s="1144"/>
      <c r="C137" s="1144"/>
      <c r="D137" s="1144"/>
      <c r="E137" s="1144"/>
      <c r="F137" s="1144"/>
      <c r="G137" s="1144"/>
      <c r="H137" s="1144"/>
      <c r="I137" s="1144"/>
      <c r="J137" s="1144"/>
      <c r="K137" s="1144"/>
      <c r="L137" s="1144"/>
      <c r="M137" s="1144"/>
      <c r="N137" s="1144"/>
      <c r="O137" s="1144"/>
      <c r="P137" s="1144"/>
      <c r="Q137" s="1144"/>
      <c r="R137" s="1144"/>
      <c r="S137" s="1144"/>
      <c r="T137" s="208"/>
      <c r="U137" s="209"/>
    </row>
    <row r="138" spans="1:21" ht="12" customHeight="1">
      <c r="A138" s="1794"/>
      <c r="B138" s="1795"/>
      <c r="C138" s="1795"/>
      <c r="D138" s="206"/>
      <c r="E138" s="1792"/>
      <c r="F138" s="1792"/>
      <c r="G138" s="1144"/>
      <c r="H138" s="1144"/>
      <c r="I138" s="1144"/>
      <c r="J138" s="1144"/>
      <c r="K138" s="1144"/>
      <c r="L138" s="1144"/>
      <c r="M138" s="1144"/>
      <c r="N138" s="1144"/>
      <c r="O138" s="1144"/>
      <c r="P138" s="1144"/>
      <c r="Q138" s="1144"/>
      <c r="R138" s="1144"/>
      <c r="S138" s="1144"/>
      <c r="T138" s="208"/>
      <c r="U138" s="209"/>
    </row>
    <row r="139" spans="1:21" ht="13.2">
      <c r="A139" s="1791" t="s">
        <v>1873</v>
      </c>
      <c r="B139" s="1791"/>
      <c r="C139" s="1791"/>
      <c r="D139" s="206"/>
      <c r="E139" s="1144" t="s">
        <v>1867</v>
      </c>
      <c r="F139" s="1144"/>
      <c r="G139" s="1144"/>
      <c r="H139" s="1144"/>
      <c r="I139" s="1144"/>
      <c r="J139" s="1144"/>
      <c r="K139" s="1144"/>
      <c r="L139" s="1144"/>
      <c r="M139" s="1144"/>
      <c r="N139" s="1144"/>
      <c r="O139" s="1144"/>
      <c r="P139" s="1144"/>
      <c r="Q139" s="1144"/>
      <c r="R139" s="1144"/>
      <c r="S139" s="1144"/>
      <c r="T139" s="208"/>
      <c r="U139" s="209"/>
    </row>
    <row r="140" spans="1:21" ht="13.2">
      <c r="A140" s="1099"/>
      <c r="B140" s="1144"/>
      <c r="C140" s="1144"/>
      <c r="D140" s="206"/>
      <c r="E140" s="1144"/>
      <c r="F140" s="1144"/>
      <c r="G140" s="1144"/>
      <c r="H140" s="1144"/>
      <c r="I140" s="1144"/>
      <c r="J140" s="1144"/>
      <c r="K140" s="1144"/>
      <c r="L140" s="1144"/>
      <c r="M140" s="1144"/>
      <c r="N140" s="1144"/>
      <c r="O140" s="1144"/>
      <c r="P140" s="1144"/>
      <c r="Q140" s="1144"/>
      <c r="R140" s="1144"/>
      <c r="S140" s="1144"/>
      <c r="T140" s="205"/>
      <c r="U140" s="207"/>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3" workbookViewId="0">
      <selection activeCell="D124" sqref="D124:I126"/>
    </sheetView>
  </sheetViews>
  <sheetFormatPr defaultColWidth="0" defaultRowHeight="12" zeroHeight="1"/>
  <cols>
    <col min="1" max="1" width="32.6640625" style="267" customWidth="1"/>
    <col min="2" max="3" width="12.33203125" style="263" customWidth="1"/>
    <col min="4" max="6" width="12.6640625" style="263" customWidth="1"/>
    <col min="7" max="9" width="12.33203125" style="263" customWidth="1"/>
    <col min="10" max="10" width="12.33203125" style="264" customWidth="1"/>
    <col min="11" max="11" width="8.6640625" style="265" hidden="1" customWidth="1"/>
    <col min="12" max="21" width="8.6640625" style="263" hidden="1" customWidth="1"/>
    <col min="22" max="23" width="0" style="263" hidden="1"/>
    <col min="24" max="256" width="8.6640625" style="263" hidden="1"/>
    <col min="257" max="257" width="32.6640625" style="263" hidden="1" customWidth="1"/>
    <col min="258" max="259" width="12.33203125" style="263" hidden="1" customWidth="1"/>
    <col min="260" max="260" width="12.6640625" style="263" hidden="1" customWidth="1"/>
    <col min="261" max="266" width="12.33203125" style="263" hidden="1" customWidth="1"/>
    <col min="267" max="277" width="8.6640625" style="263" hidden="1" customWidth="1"/>
    <col min="278" max="512" width="8.6640625" style="263" hidden="1"/>
    <col min="513" max="513" width="32.6640625" style="263" hidden="1" customWidth="1"/>
    <col min="514" max="515" width="12.33203125" style="263" hidden="1" customWidth="1"/>
    <col min="516" max="516" width="12.6640625" style="263" hidden="1" customWidth="1"/>
    <col min="517" max="522" width="12.33203125" style="263" hidden="1" customWidth="1"/>
    <col min="523" max="533" width="8.6640625" style="263" hidden="1" customWidth="1"/>
    <col min="534" max="768" width="8.6640625" style="263" hidden="1"/>
    <col min="769" max="769" width="32.6640625" style="263" hidden="1" customWidth="1"/>
    <col min="770" max="771" width="12.33203125" style="263" hidden="1" customWidth="1"/>
    <col min="772" max="772" width="12.6640625" style="263" hidden="1" customWidth="1"/>
    <col min="773" max="778" width="12.33203125" style="263" hidden="1" customWidth="1"/>
    <col min="779" max="789" width="8.6640625" style="263" hidden="1" customWidth="1"/>
    <col min="790" max="1024" width="8.6640625" style="263" hidden="1"/>
    <col min="1025" max="1025" width="32.6640625" style="263" hidden="1" customWidth="1"/>
    <col min="1026" max="1027" width="12.33203125" style="263" hidden="1" customWidth="1"/>
    <col min="1028" max="1028" width="12.6640625" style="263" hidden="1" customWidth="1"/>
    <col min="1029" max="1034" width="12.33203125" style="263" hidden="1" customWidth="1"/>
    <col min="1035" max="1045" width="8.6640625" style="263" hidden="1" customWidth="1"/>
    <col min="1046" max="1280" width="8.6640625" style="263" hidden="1"/>
    <col min="1281" max="1281" width="32.6640625" style="263" hidden="1" customWidth="1"/>
    <col min="1282" max="1283" width="12.33203125" style="263" hidden="1" customWidth="1"/>
    <col min="1284" max="1284" width="12.6640625" style="263" hidden="1" customWidth="1"/>
    <col min="1285" max="1290" width="12.33203125" style="263" hidden="1" customWidth="1"/>
    <col min="1291" max="1301" width="8.6640625" style="263" hidden="1" customWidth="1"/>
    <col min="1302" max="1536" width="8.6640625" style="263" hidden="1"/>
    <col min="1537" max="1537" width="32.6640625" style="263" hidden="1" customWidth="1"/>
    <col min="1538" max="1539" width="12.33203125" style="263" hidden="1" customWidth="1"/>
    <col min="1540" max="1540" width="12.6640625" style="263" hidden="1" customWidth="1"/>
    <col min="1541" max="1546" width="12.33203125" style="263" hidden="1" customWidth="1"/>
    <col min="1547" max="1557" width="8.6640625" style="263" hidden="1" customWidth="1"/>
    <col min="1558" max="1792" width="8.6640625" style="263" hidden="1"/>
    <col min="1793" max="1793" width="32.6640625" style="263" hidden="1" customWidth="1"/>
    <col min="1794" max="1795" width="12.33203125" style="263" hidden="1" customWidth="1"/>
    <col min="1796" max="1796" width="12.6640625" style="263" hidden="1" customWidth="1"/>
    <col min="1797" max="1802" width="12.33203125" style="263" hidden="1" customWidth="1"/>
    <col min="1803" max="1813" width="8.6640625" style="263" hidden="1" customWidth="1"/>
    <col min="1814" max="2048" width="8.6640625" style="263" hidden="1"/>
    <col min="2049" max="2049" width="32.6640625" style="263" hidden="1" customWidth="1"/>
    <col min="2050" max="2051" width="12.33203125" style="263" hidden="1" customWidth="1"/>
    <col min="2052" max="2052" width="12.6640625" style="263" hidden="1" customWidth="1"/>
    <col min="2053" max="2058" width="12.33203125" style="263" hidden="1" customWidth="1"/>
    <col min="2059" max="2069" width="8.6640625" style="263" hidden="1" customWidth="1"/>
    <col min="2070" max="2304" width="8.6640625" style="263" hidden="1"/>
    <col min="2305" max="2305" width="32.6640625" style="263" hidden="1" customWidth="1"/>
    <col min="2306" max="2307" width="12.33203125" style="263" hidden="1" customWidth="1"/>
    <col min="2308" max="2308" width="12.6640625" style="263" hidden="1" customWidth="1"/>
    <col min="2309" max="2314" width="12.33203125" style="263" hidden="1" customWidth="1"/>
    <col min="2315" max="2325" width="8.6640625" style="263" hidden="1" customWidth="1"/>
    <col min="2326" max="2560" width="8.6640625" style="263" hidden="1"/>
    <col min="2561" max="2561" width="32.6640625" style="263" hidden="1" customWidth="1"/>
    <col min="2562" max="2563" width="12.33203125" style="263" hidden="1" customWidth="1"/>
    <col min="2564" max="2564" width="12.6640625" style="263" hidden="1" customWidth="1"/>
    <col min="2565" max="2570" width="12.33203125" style="263" hidden="1" customWidth="1"/>
    <col min="2571" max="2581" width="8.6640625" style="263" hidden="1" customWidth="1"/>
    <col min="2582" max="2816" width="8.6640625" style="263" hidden="1"/>
    <col min="2817" max="2817" width="32.6640625" style="263" hidden="1" customWidth="1"/>
    <col min="2818" max="2819" width="12.33203125" style="263" hidden="1" customWidth="1"/>
    <col min="2820" max="2820" width="12.6640625" style="263" hidden="1" customWidth="1"/>
    <col min="2821" max="2826" width="12.33203125" style="263" hidden="1" customWidth="1"/>
    <col min="2827" max="2837" width="8.6640625" style="263" hidden="1" customWidth="1"/>
    <col min="2838" max="3072" width="8.6640625" style="263" hidden="1"/>
    <col min="3073" max="3073" width="32.6640625" style="263" hidden="1" customWidth="1"/>
    <col min="3074" max="3075" width="12.33203125" style="263" hidden="1" customWidth="1"/>
    <col min="3076" max="3076" width="12.6640625" style="263" hidden="1" customWidth="1"/>
    <col min="3077" max="3082" width="12.33203125" style="263" hidden="1" customWidth="1"/>
    <col min="3083" max="3093" width="8.6640625" style="263" hidden="1" customWidth="1"/>
    <col min="3094" max="3328" width="8.6640625" style="263" hidden="1"/>
    <col min="3329" max="3329" width="32.6640625" style="263" hidden="1" customWidth="1"/>
    <col min="3330" max="3331" width="12.33203125" style="263" hidden="1" customWidth="1"/>
    <col min="3332" max="3332" width="12.6640625" style="263" hidden="1" customWidth="1"/>
    <col min="3333" max="3338" width="12.33203125" style="263" hidden="1" customWidth="1"/>
    <col min="3339" max="3349" width="8.6640625" style="263" hidden="1" customWidth="1"/>
    <col min="3350" max="3584" width="8.6640625" style="263" hidden="1"/>
    <col min="3585" max="3585" width="32.6640625" style="263" hidden="1" customWidth="1"/>
    <col min="3586" max="3587" width="12.33203125" style="263" hidden="1" customWidth="1"/>
    <col min="3588" max="3588" width="12.6640625" style="263" hidden="1" customWidth="1"/>
    <col min="3589" max="3594" width="12.33203125" style="263" hidden="1" customWidth="1"/>
    <col min="3595" max="3605" width="8.6640625" style="263" hidden="1" customWidth="1"/>
    <col min="3606" max="3840" width="8.6640625" style="263" hidden="1"/>
    <col min="3841" max="3841" width="32.6640625" style="263" hidden="1" customWidth="1"/>
    <col min="3842" max="3843" width="12.33203125" style="263" hidden="1" customWidth="1"/>
    <col min="3844" max="3844" width="12.6640625" style="263" hidden="1" customWidth="1"/>
    <col min="3845" max="3850" width="12.33203125" style="263" hidden="1" customWidth="1"/>
    <col min="3851" max="3861" width="8.6640625" style="263" hidden="1" customWidth="1"/>
    <col min="3862" max="4096" width="8.6640625" style="263" hidden="1"/>
    <col min="4097" max="4097" width="32.6640625" style="263" hidden="1" customWidth="1"/>
    <col min="4098" max="4099" width="12.33203125" style="263" hidden="1" customWidth="1"/>
    <col min="4100" max="4100" width="12.6640625" style="263" hidden="1" customWidth="1"/>
    <col min="4101" max="4106" width="12.33203125" style="263" hidden="1" customWidth="1"/>
    <col min="4107" max="4117" width="8.6640625" style="263" hidden="1" customWidth="1"/>
    <col min="4118" max="4352" width="8.6640625" style="263" hidden="1"/>
    <col min="4353" max="4353" width="32.6640625" style="263" hidden="1" customWidth="1"/>
    <col min="4354" max="4355" width="12.33203125" style="263" hidden="1" customWidth="1"/>
    <col min="4356" max="4356" width="12.6640625" style="263" hidden="1" customWidth="1"/>
    <col min="4357" max="4362" width="12.33203125" style="263" hidden="1" customWidth="1"/>
    <col min="4363" max="4373" width="8.6640625" style="263" hidden="1" customWidth="1"/>
    <col min="4374" max="4608" width="8.6640625" style="263" hidden="1"/>
    <col min="4609" max="4609" width="32.6640625" style="263" hidden="1" customWidth="1"/>
    <col min="4610" max="4611" width="12.33203125" style="263" hidden="1" customWidth="1"/>
    <col min="4612" max="4612" width="12.6640625" style="263" hidden="1" customWidth="1"/>
    <col min="4613" max="4618" width="12.33203125" style="263" hidden="1" customWidth="1"/>
    <col min="4619" max="4629" width="8.6640625" style="263" hidden="1" customWidth="1"/>
    <col min="4630" max="4864" width="8.6640625" style="263" hidden="1"/>
    <col min="4865" max="4865" width="32.6640625" style="263" hidden="1" customWidth="1"/>
    <col min="4866" max="4867" width="12.33203125" style="263" hidden="1" customWidth="1"/>
    <col min="4868" max="4868" width="12.6640625" style="263" hidden="1" customWidth="1"/>
    <col min="4869" max="4874" width="12.33203125" style="263" hidden="1" customWidth="1"/>
    <col min="4875" max="4885" width="8.6640625" style="263" hidden="1" customWidth="1"/>
    <col min="4886" max="5120" width="8.6640625" style="263" hidden="1"/>
    <col min="5121" max="5121" width="32.6640625" style="263" hidden="1" customWidth="1"/>
    <col min="5122" max="5123" width="12.33203125" style="263" hidden="1" customWidth="1"/>
    <col min="5124" max="5124" width="12.6640625" style="263" hidden="1" customWidth="1"/>
    <col min="5125" max="5130" width="12.33203125" style="263" hidden="1" customWidth="1"/>
    <col min="5131" max="5141" width="8.6640625" style="263" hidden="1" customWidth="1"/>
    <col min="5142" max="5376" width="8.6640625" style="263" hidden="1"/>
    <col min="5377" max="5377" width="32.6640625" style="263" hidden="1" customWidth="1"/>
    <col min="5378" max="5379" width="12.33203125" style="263" hidden="1" customWidth="1"/>
    <col min="5380" max="5380" width="12.6640625" style="263" hidden="1" customWidth="1"/>
    <col min="5381" max="5386" width="12.33203125" style="263" hidden="1" customWidth="1"/>
    <col min="5387" max="5397" width="8.6640625" style="263" hidden="1" customWidth="1"/>
    <col min="5398" max="5632" width="8.6640625" style="263" hidden="1"/>
    <col min="5633" max="5633" width="32.6640625" style="263" hidden="1" customWidth="1"/>
    <col min="5634" max="5635" width="12.33203125" style="263" hidden="1" customWidth="1"/>
    <col min="5636" max="5636" width="12.6640625" style="263" hidden="1" customWidth="1"/>
    <col min="5637" max="5642" width="12.33203125" style="263" hidden="1" customWidth="1"/>
    <col min="5643" max="5653" width="8.6640625" style="263" hidden="1" customWidth="1"/>
    <col min="5654" max="5888" width="8.6640625" style="263" hidden="1"/>
    <col min="5889" max="5889" width="32.6640625" style="263" hidden="1" customWidth="1"/>
    <col min="5890" max="5891" width="12.33203125" style="263" hidden="1" customWidth="1"/>
    <col min="5892" max="5892" width="12.6640625" style="263" hidden="1" customWidth="1"/>
    <col min="5893" max="5898" width="12.33203125" style="263" hidden="1" customWidth="1"/>
    <col min="5899" max="5909" width="8.6640625" style="263" hidden="1" customWidth="1"/>
    <col min="5910" max="6144" width="8.6640625" style="263" hidden="1"/>
    <col min="6145" max="6145" width="32.6640625" style="263" hidden="1" customWidth="1"/>
    <col min="6146" max="6147" width="12.33203125" style="263" hidden="1" customWidth="1"/>
    <col min="6148" max="6148" width="12.6640625" style="263" hidden="1" customWidth="1"/>
    <col min="6149" max="6154" width="12.33203125" style="263" hidden="1" customWidth="1"/>
    <col min="6155" max="6165" width="8.6640625" style="263" hidden="1" customWidth="1"/>
    <col min="6166" max="6400" width="8.6640625" style="263" hidden="1"/>
    <col min="6401" max="6401" width="32.6640625" style="263" hidden="1" customWidth="1"/>
    <col min="6402" max="6403" width="12.33203125" style="263" hidden="1" customWidth="1"/>
    <col min="6404" max="6404" width="12.6640625" style="263" hidden="1" customWidth="1"/>
    <col min="6405" max="6410" width="12.33203125" style="263" hidden="1" customWidth="1"/>
    <col min="6411" max="6421" width="8.6640625" style="263" hidden="1" customWidth="1"/>
    <col min="6422" max="6656" width="8.6640625" style="263" hidden="1"/>
    <col min="6657" max="6657" width="32.6640625" style="263" hidden="1" customWidth="1"/>
    <col min="6658" max="6659" width="12.33203125" style="263" hidden="1" customWidth="1"/>
    <col min="6660" max="6660" width="12.6640625" style="263" hidden="1" customWidth="1"/>
    <col min="6661" max="6666" width="12.33203125" style="263" hidden="1" customWidth="1"/>
    <col min="6667" max="6677" width="8.6640625" style="263" hidden="1" customWidth="1"/>
    <col min="6678" max="6912" width="8.6640625" style="263" hidden="1"/>
    <col min="6913" max="6913" width="32.6640625" style="263" hidden="1" customWidth="1"/>
    <col min="6914" max="6915" width="12.33203125" style="263" hidden="1" customWidth="1"/>
    <col min="6916" max="6916" width="12.6640625" style="263" hidden="1" customWidth="1"/>
    <col min="6917" max="6922" width="12.33203125" style="263" hidden="1" customWidth="1"/>
    <col min="6923" max="6933" width="8.6640625" style="263" hidden="1" customWidth="1"/>
    <col min="6934" max="7168" width="8.6640625" style="263" hidden="1"/>
    <col min="7169" max="7169" width="32.6640625" style="263" hidden="1" customWidth="1"/>
    <col min="7170" max="7171" width="12.33203125" style="263" hidden="1" customWidth="1"/>
    <col min="7172" max="7172" width="12.6640625" style="263" hidden="1" customWidth="1"/>
    <col min="7173" max="7178" width="12.33203125" style="263" hidden="1" customWidth="1"/>
    <col min="7179" max="7189" width="8.6640625" style="263" hidden="1" customWidth="1"/>
    <col min="7190" max="7424" width="8.6640625" style="263" hidden="1"/>
    <col min="7425" max="7425" width="32.6640625" style="263" hidden="1" customWidth="1"/>
    <col min="7426" max="7427" width="12.33203125" style="263" hidden="1" customWidth="1"/>
    <col min="7428" max="7428" width="12.6640625" style="263" hidden="1" customWidth="1"/>
    <col min="7429" max="7434" width="12.33203125" style="263" hidden="1" customWidth="1"/>
    <col min="7435" max="7445" width="8.6640625" style="263" hidden="1" customWidth="1"/>
    <col min="7446" max="7680" width="8.6640625" style="263" hidden="1"/>
    <col min="7681" max="7681" width="32.6640625" style="263" hidden="1" customWidth="1"/>
    <col min="7682" max="7683" width="12.33203125" style="263" hidden="1" customWidth="1"/>
    <col min="7684" max="7684" width="12.6640625" style="263" hidden="1" customWidth="1"/>
    <col min="7685" max="7690" width="12.33203125" style="263" hidden="1" customWidth="1"/>
    <col min="7691" max="7701" width="8.6640625" style="263" hidden="1" customWidth="1"/>
    <col min="7702" max="7936" width="8.6640625" style="263" hidden="1"/>
    <col min="7937" max="7937" width="32.6640625" style="263" hidden="1" customWidth="1"/>
    <col min="7938" max="7939" width="12.33203125" style="263" hidden="1" customWidth="1"/>
    <col min="7940" max="7940" width="12.6640625" style="263" hidden="1" customWidth="1"/>
    <col min="7941" max="7946" width="12.33203125" style="263" hidden="1" customWidth="1"/>
    <col min="7947" max="7957" width="8.6640625" style="263" hidden="1" customWidth="1"/>
    <col min="7958" max="8192" width="8.6640625" style="263" hidden="1"/>
    <col min="8193" max="8193" width="32.6640625" style="263" hidden="1" customWidth="1"/>
    <col min="8194" max="8195" width="12.33203125" style="263" hidden="1" customWidth="1"/>
    <col min="8196" max="8196" width="12.6640625" style="263" hidden="1" customWidth="1"/>
    <col min="8197" max="8202" width="12.33203125" style="263" hidden="1" customWidth="1"/>
    <col min="8203" max="8213" width="8.6640625" style="263" hidden="1" customWidth="1"/>
    <col min="8214" max="8448" width="8.6640625" style="263" hidden="1"/>
    <col min="8449" max="8449" width="32.6640625" style="263" hidden="1" customWidth="1"/>
    <col min="8450" max="8451" width="12.33203125" style="263" hidden="1" customWidth="1"/>
    <col min="8452" max="8452" width="12.6640625" style="263" hidden="1" customWidth="1"/>
    <col min="8453" max="8458" width="12.33203125" style="263" hidden="1" customWidth="1"/>
    <col min="8459" max="8469" width="8.6640625" style="263" hidden="1" customWidth="1"/>
    <col min="8470" max="8704" width="8.6640625" style="263" hidden="1"/>
    <col min="8705" max="8705" width="32.6640625" style="263" hidden="1" customWidth="1"/>
    <col min="8706" max="8707" width="12.33203125" style="263" hidden="1" customWidth="1"/>
    <col min="8708" max="8708" width="12.6640625" style="263" hidden="1" customWidth="1"/>
    <col min="8709" max="8714" width="12.33203125" style="263" hidden="1" customWidth="1"/>
    <col min="8715" max="8725" width="8.6640625" style="263" hidden="1" customWidth="1"/>
    <col min="8726" max="8960" width="8.6640625" style="263" hidden="1"/>
    <col min="8961" max="8961" width="32.6640625" style="263" hidden="1" customWidth="1"/>
    <col min="8962" max="8963" width="12.33203125" style="263" hidden="1" customWidth="1"/>
    <col min="8964" max="8964" width="12.6640625" style="263" hidden="1" customWidth="1"/>
    <col min="8965" max="8970" width="12.33203125" style="263" hidden="1" customWidth="1"/>
    <col min="8971" max="8981" width="8.6640625" style="263" hidden="1" customWidth="1"/>
    <col min="8982" max="9216" width="8.6640625" style="263" hidden="1"/>
    <col min="9217" max="9217" width="32.6640625" style="263" hidden="1" customWidth="1"/>
    <col min="9218" max="9219" width="12.33203125" style="263" hidden="1" customWidth="1"/>
    <col min="9220" max="9220" width="12.6640625" style="263" hidden="1" customWidth="1"/>
    <col min="9221" max="9226" width="12.33203125" style="263" hidden="1" customWidth="1"/>
    <col min="9227" max="9237" width="8.6640625" style="263" hidden="1" customWidth="1"/>
    <col min="9238" max="9472" width="8.6640625" style="263" hidden="1"/>
    <col min="9473" max="9473" width="32.6640625" style="263" hidden="1" customWidth="1"/>
    <col min="9474" max="9475" width="12.33203125" style="263" hidden="1" customWidth="1"/>
    <col min="9476" max="9476" width="12.6640625" style="263" hidden="1" customWidth="1"/>
    <col min="9477" max="9482" width="12.33203125" style="263" hidden="1" customWidth="1"/>
    <col min="9483" max="9493" width="8.6640625" style="263" hidden="1" customWidth="1"/>
    <col min="9494" max="9728" width="8.6640625" style="263" hidden="1"/>
    <col min="9729" max="9729" width="32.6640625" style="263" hidden="1" customWidth="1"/>
    <col min="9730" max="9731" width="12.33203125" style="263" hidden="1" customWidth="1"/>
    <col min="9732" max="9732" width="12.6640625" style="263" hidden="1" customWidth="1"/>
    <col min="9733" max="9738" width="12.33203125" style="263" hidden="1" customWidth="1"/>
    <col min="9739" max="9749" width="8.6640625" style="263" hidden="1" customWidth="1"/>
    <col min="9750" max="9984" width="8.6640625" style="263" hidden="1"/>
    <col min="9985" max="9985" width="32.6640625" style="263" hidden="1" customWidth="1"/>
    <col min="9986" max="9987" width="12.33203125" style="263" hidden="1" customWidth="1"/>
    <col min="9988" max="9988" width="12.6640625" style="263" hidden="1" customWidth="1"/>
    <col min="9989" max="9994" width="12.33203125" style="263" hidden="1" customWidth="1"/>
    <col min="9995" max="10005" width="8.6640625" style="263" hidden="1" customWidth="1"/>
    <col min="10006" max="10240" width="8.6640625" style="263" hidden="1"/>
    <col min="10241" max="10241" width="32.6640625" style="263" hidden="1" customWidth="1"/>
    <col min="10242" max="10243" width="12.33203125" style="263" hidden="1" customWidth="1"/>
    <col min="10244" max="10244" width="12.6640625" style="263" hidden="1" customWidth="1"/>
    <col min="10245" max="10250" width="12.33203125" style="263" hidden="1" customWidth="1"/>
    <col min="10251" max="10261" width="8.6640625" style="263" hidden="1" customWidth="1"/>
    <col min="10262" max="10496" width="8.6640625" style="263" hidden="1"/>
    <col min="10497" max="10497" width="32.6640625" style="263" hidden="1" customWidth="1"/>
    <col min="10498" max="10499" width="12.33203125" style="263" hidden="1" customWidth="1"/>
    <col min="10500" max="10500" width="12.6640625" style="263" hidden="1" customWidth="1"/>
    <col min="10501" max="10506" width="12.33203125" style="263" hidden="1" customWidth="1"/>
    <col min="10507" max="10517" width="8.6640625" style="263" hidden="1" customWidth="1"/>
    <col min="10518" max="10752" width="8.6640625" style="263" hidden="1"/>
    <col min="10753" max="10753" width="32.6640625" style="263" hidden="1" customWidth="1"/>
    <col min="10754" max="10755" width="12.33203125" style="263" hidden="1" customWidth="1"/>
    <col min="10756" max="10756" width="12.6640625" style="263" hidden="1" customWidth="1"/>
    <col min="10757" max="10762" width="12.33203125" style="263" hidden="1" customWidth="1"/>
    <col min="10763" max="10773" width="8.6640625" style="263" hidden="1" customWidth="1"/>
    <col min="10774" max="11008" width="8.6640625" style="263" hidden="1"/>
    <col min="11009" max="11009" width="32.6640625" style="263" hidden="1" customWidth="1"/>
    <col min="11010" max="11011" width="12.33203125" style="263" hidden="1" customWidth="1"/>
    <col min="11012" max="11012" width="12.6640625" style="263" hidden="1" customWidth="1"/>
    <col min="11013" max="11018" width="12.33203125" style="263" hidden="1" customWidth="1"/>
    <col min="11019" max="11029" width="8.6640625" style="263" hidden="1" customWidth="1"/>
    <col min="11030" max="11264" width="8.6640625" style="263" hidden="1"/>
    <col min="11265" max="11265" width="32.6640625" style="263" hidden="1" customWidth="1"/>
    <col min="11266" max="11267" width="12.33203125" style="263" hidden="1" customWidth="1"/>
    <col min="11268" max="11268" width="12.6640625" style="263" hidden="1" customWidth="1"/>
    <col min="11269" max="11274" width="12.33203125" style="263" hidden="1" customWidth="1"/>
    <col min="11275" max="11285" width="8.6640625" style="263" hidden="1" customWidth="1"/>
    <col min="11286" max="11520" width="8.6640625" style="263" hidden="1"/>
    <col min="11521" max="11521" width="32.6640625" style="263" hidden="1" customWidth="1"/>
    <col min="11522" max="11523" width="12.33203125" style="263" hidden="1" customWidth="1"/>
    <col min="11524" max="11524" width="12.6640625" style="263" hidden="1" customWidth="1"/>
    <col min="11525" max="11530" width="12.33203125" style="263" hidden="1" customWidth="1"/>
    <col min="11531" max="11541" width="8.6640625" style="263" hidden="1" customWidth="1"/>
    <col min="11542" max="11776" width="8.6640625" style="263" hidden="1"/>
    <col min="11777" max="11777" width="32.6640625" style="263" hidden="1" customWidth="1"/>
    <col min="11778" max="11779" width="12.33203125" style="263" hidden="1" customWidth="1"/>
    <col min="11780" max="11780" width="12.6640625" style="263" hidden="1" customWidth="1"/>
    <col min="11781" max="11786" width="12.33203125" style="263" hidden="1" customWidth="1"/>
    <col min="11787" max="11797" width="8.6640625" style="263" hidden="1" customWidth="1"/>
    <col min="11798" max="12032" width="8.6640625" style="263" hidden="1"/>
    <col min="12033" max="12033" width="32.6640625" style="263" hidden="1" customWidth="1"/>
    <col min="12034" max="12035" width="12.33203125" style="263" hidden="1" customWidth="1"/>
    <col min="12036" max="12036" width="12.6640625" style="263" hidden="1" customWidth="1"/>
    <col min="12037" max="12042" width="12.33203125" style="263" hidden="1" customWidth="1"/>
    <col min="12043" max="12053" width="8.6640625" style="263" hidden="1" customWidth="1"/>
    <col min="12054" max="12288" width="8.6640625" style="263" hidden="1"/>
    <col min="12289" max="12289" width="32.6640625" style="263" hidden="1" customWidth="1"/>
    <col min="12290" max="12291" width="12.33203125" style="263" hidden="1" customWidth="1"/>
    <col min="12292" max="12292" width="12.6640625" style="263" hidden="1" customWidth="1"/>
    <col min="12293" max="12298" width="12.33203125" style="263" hidden="1" customWidth="1"/>
    <col min="12299" max="12309" width="8.6640625" style="263" hidden="1" customWidth="1"/>
    <col min="12310" max="12544" width="8.6640625" style="263" hidden="1"/>
    <col min="12545" max="12545" width="32.6640625" style="263" hidden="1" customWidth="1"/>
    <col min="12546" max="12547" width="12.33203125" style="263" hidden="1" customWidth="1"/>
    <col min="12548" max="12548" width="12.6640625" style="263" hidden="1" customWidth="1"/>
    <col min="12549" max="12554" width="12.33203125" style="263" hidden="1" customWidth="1"/>
    <col min="12555" max="12565" width="8.6640625" style="263" hidden="1" customWidth="1"/>
    <col min="12566" max="12800" width="8.6640625" style="263" hidden="1"/>
    <col min="12801" max="12801" width="32.6640625" style="263" hidden="1" customWidth="1"/>
    <col min="12802" max="12803" width="12.33203125" style="263" hidden="1" customWidth="1"/>
    <col min="12804" max="12804" width="12.6640625" style="263" hidden="1" customWidth="1"/>
    <col min="12805" max="12810" width="12.33203125" style="263" hidden="1" customWidth="1"/>
    <col min="12811" max="12821" width="8.6640625" style="263" hidden="1" customWidth="1"/>
    <col min="12822" max="13056" width="8.6640625" style="263" hidden="1"/>
    <col min="13057" max="13057" width="32.6640625" style="263" hidden="1" customWidth="1"/>
    <col min="13058" max="13059" width="12.33203125" style="263" hidden="1" customWidth="1"/>
    <col min="13060" max="13060" width="12.6640625" style="263" hidden="1" customWidth="1"/>
    <col min="13061" max="13066" width="12.33203125" style="263" hidden="1" customWidth="1"/>
    <col min="13067" max="13077" width="8.6640625" style="263" hidden="1" customWidth="1"/>
    <col min="13078" max="13312" width="8.6640625" style="263" hidden="1"/>
    <col min="13313" max="13313" width="32.6640625" style="263" hidden="1" customWidth="1"/>
    <col min="13314" max="13315" width="12.33203125" style="263" hidden="1" customWidth="1"/>
    <col min="13316" max="13316" width="12.6640625" style="263" hidden="1" customWidth="1"/>
    <col min="13317" max="13322" width="12.33203125" style="263" hidden="1" customWidth="1"/>
    <col min="13323" max="13333" width="8.6640625" style="263" hidden="1" customWidth="1"/>
    <col min="13334" max="13568" width="8.6640625" style="263" hidden="1"/>
    <col min="13569" max="13569" width="32.6640625" style="263" hidden="1" customWidth="1"/>
    <col min="13570" max="13571" width="12.33203125" style="263" hidden="1" customWidth="1"/>
    <col min="13572" max="13572" width="12.6640625" style="263" hidden="1" customWidth="1"/>
    <col min="13573" max="13578" width="12.33203125" style="263" hidden="1" customWidth="1"/>
    <col min="13579" max="13589" width="8.6640625" style="263" hidden="1" customWidth="1"/>
    <col min="13590" max="13824" width="8.6640625" style="263" hidden="1"/>
    <col min="13825" max="13825" width="32.6640625" style="263" hidden="1" customWidth="1"/>
    <col min="13826" max="13827" width="12.33203125" style="263" hidden="1" customWidth="1"/>
    <col min="13828" max="13828" width="12.6640625" style="263" hidden="1" customWidth="1"/>
    <col min="13829" max="13834" width="12.33203125" style="263" hidden="1" customWidth="1"/>
    <col min="13835" max="13845" width="8.6640625" style="263" hidden="1" customWidth="1"/>
    <col min="13846" max="14080" width="8.6640625" style="263" hidden="1"/>
    <col min="14081" max="14081" width="32.6640625" style="263" hidden="1" customWidth="1"/>
    <col min="14082" max="14083" width="12.33203125" style="263" hidden="1" customWidth="1"/>
    <col min="14084" max="14084" width="12.6640625" style="263" hidden="1" customWidth="1"/>
    <col min="14085" max="14090" width="12.33203125" style="263" hidden="1" customWidth="1"/>
    <col min="14091" max="14101" width="8.6640625" style="263" hidden="1" customWidth="1"/>
    <col min="14102" max="14336" width="8.6640625" style="263" hidden="1"/>
    <col min="14337" max="14337" width="32.6640625" style="263" hidden="1" customWidth="1"/>
    <col min="14338" max="14339" width="12.33203125" style="263" hidden="1" customWidth="1"/>
    <col min="14340" max="14340" width="12.6640625" style="263" hidden="1" customWidth="1"/>
    <col min="14341" max="14346" width="12.33203125" style="263" hidden="1" customWidth="1"/>
    <col min="14347" max="14357" width="8.6640625" style="263" hidden="1" customWidth="1"/>
    <col min="14358" max="14592" width="8.6640625" style="263" hidden="1"/>
    <col min="14593" max="14593" width="32.6640625" style="263" hidden="1" customWidth="1"/>
    <col min="14594" max="14595" width="12.33203125" style="263" hidden="1" customWidth="1"/>
    <col min="14596" max="14596" width="12.6640625" style="263" hidden="1" customWidth="1"/>
    <col min="14597" max="14602" width="12.33203125" style="263" hidden="1" customWidth="1"/>
    <col min="14603" max="14613" width="8.6640625" style="263" hidden="1" customWidth="1"/>
    <col min="14614" max="14848" width="8.6640625" style="263" hidden="1"/>
    <col min="14849" max="14849" width="32.6640625" style="263" hidden="1" customWidth="1"/>
    <col min="14850" max="14851" width="12.33203125" style="263" hidden="1" customWidth="1"/>
    <col min="14852" max="14852" width="12.6640625" style="263" hidden="1" customWidth="1"/>
    <col min="14853" max="14858" width="12.33203125" style="263" hidden="1" customWidth="1"/>
    <col min="14859" max="14869" width="8.6640625" style="263" hidden="1" customWidth="1"/>
    <col min="14870" max="15104" width="8.6640625" style="263" hidden="1"/>
    <col min="15105" max="15105" width="32.6640625" style="263" hidden="1" customWidth="1"/>
    <col min="15106" max="15107" width="12.33203125" style="263" hidden="1" customWidth="1"/>
    <col min="15108" max="15108" width="12.6640625" style="263" hidden="1" customWidth="1"/>
    <col min="15109" max="15114" width="12.33203125" style="263" hidden="1" customWidth="1"/>
    <col min="15115" max="15125" width="8.6640625" style="263" hidden="1" customWidth="1"/>
    <col min="15126" max="15360" width="8.6640625" style="263" hidden="1"/>
    <col min="15361" max="15361" width="32.6640625" style="263" hidden="1" customWidth="1"/>
    <col min="15362" max="15363" width="12.33203125" style="263" hidden="1" customWidth="1"/>
    <col min="15364" max="15364" width="12.6640625" style="263" hidden="1" customWidth="1"/>
    <col min="15365" max="15370" width="12.33203125" style="263" hidden="1" customWidth="1"/>
    <col min="15371" max="15381" width="8.6640625" style="263" hidden="1" customWidth="1"/>
    <col min="15382" max="15616" width="8.6640625" style="263" hidden="1"/>
    <col min="15617" max="15617" width="32.6640625" style="263" hidden="1" customWidth="1"/>
    <col min="15618" max="15619" width="12.33203125" style="263" hidden="1" customWidth="1"/>
    <col min="15620" max="15620" width="12.6640625" style="263" hidden="1" customWidth="1"/>
    <col min="15621" max="15626" width="12.33203125" style="263" hidden="1" customWidth="1"/>
    <col min="15627" max="15637" width="8.6640625" style="263" hidden="1" customWidth="1"/>
    <col min="15638" max="15872" width="8.6640625" style="263" hidden="1"/>
    <col min="15873" max="15873" width="32.6640625" style="263" hidden="1" customWidth="1"/>
    <col min="15874" max="15875" width="12.33203125" style="263" hidden="1" customWidth="1"/>
    <col min="15876" max="15876" width="12.6640625" style="263" hidden="1" customWidth="1"/>
    <col min="15877" max="15882" width="12.33203125" style="263" hidden="1" customWidth="1"/>
    <col min="15883" max="15893" width="8.6640625" style="263" hidden="1" customWidth="1"/>
    <col min="15894" max="16128" width="8.6640625" style="263" hidden="1"/>
    <col min="16129" max="16129" width="32.6640625" style="263" hidden="1" customWidth="1"/>
    <col min="16130" max="16131" width="12.33203125" style="263" hidden="1" customWidth="1"/>
    <col min="16132" max="16132" width="12.6640625" style="263" hidden="1" customWidth="1"/>
    <col min="16133" max="16138" width="12.33203125" style="263" hidden="1" customWidth="1"/>
    <col min="16139" max="16149" width="8.6640625" style="263" hidden="1" customWidth="1"/>
    <col min="16150" max="16384" width="8.6640625" style="263" hidden="1"/>
  </cols>
  <sheetData>
    <row r="1" spans="1:11" s="229" customFormat="1" ht="13.2">
      <c r="A1" s="1803" t="s">
        <v>1874</v>
      </c>
      <c r="B1" s="1804"/>
      <c r="C1" s="1804"/>
      <c r="D1" s="1804"/>
      <c r="E1" s="1804"/>
      <c r="F1" s="1804"/>
      <c r="G1" s="1804"/>
      <c r="H1" s="1804"/>
      <c r="I1" s="1804"/>
      <c r="J1" s="1805"/>
      <c r="K1" s="228"/>
    </row>
    <row r="2" spans="1:11" s="271" customFormat="1" ht="72">
      <c r="A2" s="268"/>
      <c r="B2" s="269" t="s">
        <v>1875</v>
      </c>
      <c r="C2" s="269" t="s">
        <v>1876</v>
      </c>
      <c r="D2" s="269" t="s">
        <v>1877</v>
      </c>
      <c r="E2" s="269" t="s">
        <v>1878</v>
      </c>
      <c r="F2" s="269" t="s">
        <v>1879</v>
      </c>
      <c r="G2" s="269" t="s">
        <v>1880</v>
      </c>
      <c r="H2" s="269" t="s">
        <v>1881</v>
      </c>
      <c r="I2" s="269" t="s">
        <v>1882</v>
      </c>
      <c r="J2" s="269" t="s">
        <v>1883</v>
      </c>
      <c r="K2" s="270"/>
    </row>
    <row r="3" spans="1:11" s="233" customFormat="1" ht="11.4">
      <c r="A3" s="230" t="s">
        <v>1755</v>
      </c>
      <c r="B3" s="231"/>
      <c r="C3" s="231"/>
      <c r="D3" s="231"/>
      <c r="E3" s="231"/>
      <c r="F3" s="231"/>
      <c r="G3" s="231"/>
      <c r="H3" s="231"/>
      <c r="I3" s="231"/>
      <c r="J3" s="231"/>
      <c r="K3" s="232"/>
    </row>
    <row r="4" spans="1:11" s="233" customFormat="1" ht="11.4">
      <c r="A4" s="237" t="s">
        <v>1756</v>
      </c>
      <c r="B4" s="234">
        <f>'Sources and Uses Budget'!C4</f>
        <v>0</v>
      </c>
      <c r="C4" s="235"/>
      <c r="D4" s="235"/>
      <c r="E4" s="236"/>
      <c r="F4" s="236"/>
      <c r="G4" s="236"/>
      <c r="H4" s="236"/>
      <c r="I4" s="236"/>
      <c r="J4" s="236"/>
      <c r="K4" s="232"/>
    </row>
    <row r="5" spans="1:11" s="233" customFormat="1" ht="11.4">
      <c r="A5" s="237" t="s">
        <v>690</v>
      </c>
      <c r="B5" s="234">
        <f>'Sources and Uses Budget'!C5</f>
        <v>100000</v>
      </c>
      <c r="C5" s="235">
        <f>B5</f>
        <v>100000</v>
      </c>
      <c r="D5" s="235"/>
      <c r="E5" s="236"/>
      <c r="F5" s="236"/>
      <c r="G5" s="236"/>
      <c r="H5" s="236"/>
      <c r="I5" s="236"/>
      <c r="J5" s="236"/>
      <c r="K5" s="232"/>
    </row>
    <row r="6" spans="1:11" s="233" customFormat="1" ht="11.4">
      <c r="A6" s="237" t="s">
        <v>1757</v>
      </c>
      <c r="B6" s="234">
        <f>'Sources and Uses Budget'!C6</f>
        <v>0</v>
      </c>
      <c r="C6" s="235"/>
      <c r="D6" s="235"/>
      <c r="E6" s="236"/>
      <c r="F6" s="236"/>
      <c r="G6" s="236"/>
      <c r="H6" s="236"/>
      <c r="I6" s="236"/>
      <c r="J6" s="236"/>
      <c r="K6" s="232"/>
    </row>
    <row r="7" spans="1:11" s="233" customFormat="1" ht="11.4">
      <c r="A7" s="237" t="s">
        <v>1758</v>
      </c>
      <c r="B7" s="234">
        <f>'Sources and Uses Budget'!C7</f>
        <v>0</v>
      </c>
      <c r="C7" s="235"/>
      <c r="D7" s="235"/>
      <c r="E7" s="236"/>
      <c r="F7" s="236"/>
      <c r="G7" s="236"/>
      <c r="H7" s="236"/>
      <c r="I7" s="236"/>
      <c r="J7" s="236"/>
      <c r="K7" s="232"/>
    </row>
    <row r="8" spans="1:11" s="233" customFormat="1">
      <c r="A8" s="238" t="s">
        <v>1759</v>
      </c>
      <c r="B8" s="234">
        <f>'Sources and Uses Budget'!C8</f>
        <v>100000</v>
      </c>
      <c r="C8" s="234">
        <f>SUM(C4:C7)</f>
        <v>100000</v>
      </c>
      <c r="D8" s="234">
        <f>SUM(D4:D7)</f>
        <v>0</v>
      </c>
      <c r="E8" s="236"/>
      <c r="F8" s="236"/>
      <c r="G8" s="236"/>
      <c r="H8" s="236"/>
      <c r="I8" s="236"/>
      <c r="J8" s="236"/>
      <c r="K8" s="232"/>
    </row>
    <row r="9" spans="1:11" s="233" customFormat="1" ht="11.4">
      <c r="A9" s="237" t="s">
        <v>1760</v>
      </c>
      <c r="B9" s="234">
        <f>'Sources and Uses Budget'!C9</f>
        <v>0</v>
      </c>
      <c r="C9" s="235"/>
      <c r="D9" s="235"/>
      <c r="E9" s="236"/>
      <c r="F9" s="236"/>
      <c r="G9" s="236"/>
      <c r="H9" s="234">
        <f>'Sources and Uses Budget'!T9</f>
        <v>0</v>
      </c>
      <c r="I9" s="235"/>
      <c r="J9" s="235"/>
      <c r="K9" s="232"/>
    </row>
    <row r="10" spans="1:11" s="233" customFormat="1" ht="11.4">
      <c r="A10" s="237" t="s">
        <v>1761</v>
      </c>
      <c r="B10" s="234">
        <f>'Sources and Uses Budget'!C10</f>
        <v>500000</v>
      </c>
      <c r="C10" s="235">
        <f>B10</f>
        <v>500000</v>
      </c>
      <c r="D10" s="235"/>
      <c r="E10" s="234">
        <f>'Sources and Uses Budget'!S10</f>
        <v>500000</v>
      </c>
      <c r="F10" s="235">
        <f>E10</f>
        <v>500000</v>
      </c>
      <c r="G10" s="235"/>
      <c r="H10" s="234">
        <f>'Sources and Uses Budget'!T10</f>
        <v>0</v>
      </c>
      <c r="I10" s="235"/>
      <c r="J10" s="235"/>
      <c r="K10" s="232"/>
    </row>
    <row r="11" spans="1:11" s="233" customFormat="1">
      <c r="A11" s="238" t="s">
        <v>1762</v>
      </c>
      <c r="B11" s="234">
        <f>'Sources and Uses Budget'!C11</f>
        <v>500000</v>
      </c>
      <c r="C11" s="234">
        <f>SUM(C9:C10)</f>
        <v>500000</v>
      </c>
      <c r="D11" s="234">
        <f>SUM(D9:D10)</f>
        <v>0</v>
      </c>
      <c r="E11" s="236"/>
      <c r="F11" s="236"/>
      <c r="G11" s="236"/>
      <c r="H11" s="234">
        <f>'Sources and Uses Budget'!T11</f>
        <v>0</v>
      </c>
      <c r="I11" s="234">
        <f>SUM(I9:I10)</f>
        <v>0</v>
      </c>
      <c r="J11" s="234">
        <f>SUM(J9:J10)</f>
        <v>0</v>
      </c>
      <c r="K11" s="232"/>
    </row>
    <row r="12" spans="1:11" s="233" customFormat="1">
      <c r="A12" s="238" t="s">
        <v>1763</v>
      </c>
      <c r="B12" s="234">
        <f>'Sources and Uses Budget'!C12</f>
        <v>600000</v>
      </c>
      <c r="C12" s="234">
        <f>SUM(C8+C11)</f>
        <v>600000</v>
      </c>
      <c r="D12" s="234">
        <f>SUM(D8+D11)</f>
        <v>0</v>
      </c>
      <c r="E12" s="236"/>
      <c r="F12" s="236"/>
      <c r="G12" s="236"/>
      <c r="H12" s="236"/>
      <c r="I12" s="236"/>
      <c r="J12" s="236"/>
      <c r="K12" s="232"/>
    </row>
    <row r="13" spans="1:11" s="233" customFormat="1" ht="11.4">
      <c r="A13" s="239" t="s">
        <v>1764</v>
      </c>
      <c r="B13" s="234">
        <f>'Sources and Uses Budget'!C13</f>
        <v>0</v>
      </c>
      <c r="C13" s="235"/>
      <c r="D13" s="235"/>
      <c r="E13" s="234">
        <f>'Sources and Uses Budget'!S13</f>
        <v>0</v>
      </c>
      <c r="F13" s="235"/>
      <c r="G13" s="235"/>
      <c r="H13" s="234">
        <f>'Sources and Uses Budget'!T13</f>
        <v>0</v>
      </c>
      <c r="I13" s="235"/>
      <c r="J13" s="235"/>
      <c r="K13" s="232"/>
    </row>
    <row r="14" spans="1:11" s="233" customFormat="1" ht="22.8">
      <c r="A14" s="237" t="s">
        <v>1884</v>
      </c>
      <c r="B14" s="234">
        <f>'Sources and Uses Budget'!C14</f>
        <v>0</v>
      </c>
      <c r="C14" s="235"/>
      <c r="D14" s="235"/>
      <c r="E14" s="234">
        <f>'Sources and Uses Budget'!S14</f>
        <v>0</v>
      </c>
      <c r="F14" s="235"/>
      <c r="G14" s="235"/>
      <c r="H14" s="234">
        <f>'Sources and Uses Budget'!T14</f>
        <v>0</v>
      </c>
      <c r="I14" s="235"/>
      <c r="J14" s="235"/>
      <c r="K14" s="232"/>
    </row>
    <row r="15" spans="1:11" s="233" customFormat="1" ht="11.4">
      <c r="A15" s="237" t="s">
        <v>1766</v>
      </c>
      <c r="B15" s="234">
        <f>'Sources and Uses Budget'!C15</f>
        <v>0</v>
      </c>
      <c r="C15" s="235"/>
      <c r="D15" s="235"/>
      <c r="E15" s="236">
        <f>'Sources and Uses Budget'!S15</f>
        <v>0</v>
      </c>
      <c r="F15" s="236"/>
      <c r="G15" s="236"/>
      <c r="H15" s="236">
        <f>'Sources and Uses Budget'!T15</f>
        <v>0</v>
      </c>
      <c r="I15" s="236"/>
      <c r="J15" s="236"/>
      <c r="K15" s="232"/>
    </row>
    <row r="16" spans="1:11" s="233" customFormat="1" ht="11.4">
      <c r="A16" s="230" t="s">
        <v>1767</v>
      </c>
      <c r="B16" s="231"/>
      <c r="C16" s="231"/>
      <c r="D16" s="231"/>
      <c r="E16" s="231"/>
      <c r="F16" s="231"/>
      <c r="G16" s="231"/>
      <c r="H16" s="231"/>
      <c r="I16" s="231"/>
      <c r="J16" s="231"/>
      <c r="K16" s="232"/>
    </row>
    <row r="17" spans="1:11" s="233" customFormat="1" ht="11.4">
      <c r="A17" s="237" t="s">
        <v>1768</v>
      </c>
      <c r="B17" s="234">
        <f>'Sources and Uses Budget'!C17</f>
        <v>0</v>
      </c>
      <c r="C17" s="235"/>
      <c r="D17" s="235"/>
      <c r="E17" s="234">
        <f>'Sources and Uses Budget'!S17</f>
        <v>0</v>
      </c>
      <c r="F17" s="235"/>
      <c r="G17" s="235"/>
      <c r="H17" s="234">
        <f>'Sources and Uses Budget'!T17</f>
        <v>0</v>
      </c>
      <c r="I17" s="235"/>
      <c r="J17" s="235"/>
      <c r="K17" s="232"/>
    </row>
    <row r="18" spans="1:11" s="233" customFormat="1" ht="11.4">
      <c r="A18" s="237" t="s">
        <v>1769</v>
      </c>
      <c r="B18" s="234">
        <f>'Sources and Uses Budget'!C18</f>
        <v>0</v>
      </c>
      <c r="C18" s="235"/>
      <c r="D18" s="235"/>
      <c r="E18" s="234">
        <f>'Sources and Uses Budget'!S18</f>
        <v>0</v>
      </c>
      <c r="F18" s="235"/>
      <c r="G18" s="235"/>
      <c r="H18" s="234">
        <f>'Sources and Uses Budget'!T18</f>
        <v>0</v>
      </c>
      <c r="I18" s="235"/>
      <c r="J18" s="235"/>
      <c r="K18" s="232"/>
    </row>
    <row r="19" spans="1:11" s="233" customFormat="1" ht="11.4">
      <c r="A19" s="237" t="s">
        <v>1770</v>
      </c>
      <c r="B19" s="234">
        <f>'Sources and Uses Budget'!C19</f>
        <v>0</v>
      </c>
      <c r="C19" s="235"/>
      <c r="D19" s="235"/>
      <c r="E19" s="234">
        <f>'Sources and Uses Budget'!S19</f>
        <v>0</v>
      </c>
      <c r="F19" s="235"/>
      <c r="G19" s="235"/>
      <c r="H19" s="234">
        <f>'Sources and Uses Budget'!T19</f>
        <v>0</v>
      </c>
      <c r="I19" s="235"/>
      <c r="J19" s="235"/>
      <c r="K19" s="232"/>
    </row>
    <row r="20" spans="1:11" s="233" customFormat="1" ht="11.4">
      <c r="A20" s="237" t="s">
        <v>1771</v>
      </c>
      <c r="B20" s="234">
        <f>'Sources and Uses Budget'!C20</f>
        <v>0</v>
      </c>
      <c r="C20" s="235"/>
      <c r="D20" s="235"/>
      <c r="E20" s="234">
        <f>'Sources and Uses Budget'!S20</f>
        <v>0</v>
      </c>
      <c r="F20" s="235"/>
      <c r="G20" s="235"/>
      <c r="H20" s="234">
        <f>'Sources and Uses Budget'!T20</f>
        <v>0</v>
      </c>
      <c r="I20" s="235"/>
      <c r="J20" s="235"/>
      <c r="K20" s="232"/>
    </row>
    <row r="21" spans="1:11" s="233" customFormat="1" ht="11.4">
      <c r="A21" s="237" t="s">
        <v>1772</v>
      </c>
      <c r="B21" s="234">
        <f>'Sources and Uses Budget'!C21</f>
        <v>0</v>
      </c>
      <c r="C21" s="235"/>
      <c r="D21" s="235"/>
      <c r="E21" s="234">
        <f>'Sources and Uses Budget'!S21</f>
        <v>0</v>
      </c>
      <c r="F21" s="235"/>
      <c r="G21" s="235"/>
      <c r="H21" s="234">
        <f>'Sources and Uses Budget'!T21</f>
        <v>0</v>
      </c>
      <c r="I21" s="235"/>
      <c r="J21" s="235"/>
      <c r="K21" s="232"/>
    </row>
    <row r="22" spans="1:11" s="233" customFormat="1" ht="11.4">
      <c r="A22" s="237" t="s">
        <v>1773</v>
      </c>
      <c r="B22" s="234">
        <f>'Sources and Uses Budget'!C22</f>
        <v>0</v>
      </c>
      <c r="C22" s="235"/>
      <c r="D22" s="235"/>
      <c r="E22" s="234">
        <f>'Sources and Uses Budget'!S22</f>
        <v>0</v>
      </c>
      <c r="F22" s="235"/>
      <c r="G22" s="235"/>
      <c r="H22" s="234">
        <f>'Sources and Uses Budget'!T22</f>
        <v>0</v>
      </c>
      <c r="I22" s="235"/>
      <c r="J22" s="235"/>
      <c r="K22" s="232"/>
    </row>
    <row r="23" spans="1:11" s="233" customFormat="1" ht="11.4">
      <c r="A23" s="237" t="s">
        <v>1774</v>
      </c>
      <c r="B23" s="234">
        <f>'Sources and Uses Budget'!C23</f>
        <v>0</v>
      </c>
      <c r="C23" s="235"/>
      <c r="D23" s="235"/>
      <c r="E23" s="234">
        <f>'Sources and Uses Budget'!S23</f>
        <v>0</v>
      </c>
      <c r="F23" s="235"/>
      <c r="G23" s="235"/>
      <c r="H23" s="234">
        <f>'Sources and Uses Budget'!T23</f>
        <v>0</v>
      </c>
      <c r="I23" s="235"/>
      <c r="J23" s="235"/>
      <c r="K23" s="232"/>
    </row>
    <row r="24" spans="1:11" s="233" customFormat="1" ht="11.4">
      <c r="A24" s="360" t="s">
        <v>1775</v>
      </c>
      <c r="B24" s="234">
        <f>'Sources and Uses Budget'!C24</f>
        <v>0</v>
      </c>
      <c r="C24" s="235"/>
      <c r="D24" s="235"/>
      <c r="E24" s="234">
        <f>'Sources and Uses Budget'!S24</f>
        <v>0</v>
      </c>
      <c r="F24" s="235"/>
      <c r="G24" s="235"/>
      <c r="H24" s="234">
        <f>'Sources and Uses Budget'!T24</f>
        <v>0</v>
      </c>
      <c r="I24" s="235"/>
      <c r="J24" s="235"/>
      <c r="K24" s="232"/>
    </row>
    <row r="25" spans="1:11" s="233" customFormat="1" ht="11.4">
      <c r="A25" s="237" t="str">
        <f>'Sources and Uses Budget'!$A25</f>
        <v>Other: (Specify)</v>
      </c>
      <c r="B25" s="234">
        <f>'Sources and Uses Budget'!C25</f>
        <v>0</v>
      </c>
      <c r="C25" s="235"/>
      <c r="D25" s="235"/>
      <c r="E25" s="234">
        <f>'Sources and Uses Budget'!S25</f>
        <v>0</v>
      </c>
      <c r="F25" s="235"/>
      <c r="G25" s="235"/>
      <c r="H25" s="234">
        <f>'Sources and Uses Budget'!T25</f>
        <v>0</v>
      </c>
      <c r="I25" s="235"/>
      <c r="J25" s="235"/>
      <c r="K25" s="232"/>
    </row>
    <row r="26" spans="1:11" s="233" customFormat="1">
      <c r="A26" s="238" t="s">
        <v>1777</v>
      </c>
      <c r="B26" s="234">
        <f>'Sources and Uses Budget'!C26</f>
        <v>0</v>
      </c>
      <c r="C26" s="234">
        <f>SUM(C17:C25)</f>
        <v>0</v>
      </c>
      <c r="D26" s="234">
        <f>SUM(D17:D25)</f>
        <v>0</v>
      </c>
      <c r="E26" s="234">
        <f>'Sources and Uses Budget'!S26</f>
        <v>0</v>
      </c>
      <c r="F26" s="240">
        <f>SUM(F17:F25)</f>
        <v>0</v>
      </c>
      <c r="G26" s="240">
        <f>SUM(G17:G25)</f>
        <v>0</v>
      </c>
      <c r="H26" s="234">
        <f>'Sources and Uses Budget'!T26</f>
        <v>0</v>
      </c>
      <c r="I26" s="240">
        <f>SUM(I17:I25)</f>
        <v>0</v>
      </c>
      <c r="J26" s="240">
        <f>SUM(J17:J25)</f>
        <v>0</v>
      </c>
      <c r="K26" s="232"/>
    </row>
    <row r="27" spans="1:11" s="233" customFormat="1">
      <c r="A27" s="238" t="s">
        <v>1778</v>
      </c>
      <c r="B27" s="234">
        <f>'Sources and Uses Budget'!C27</f>
        <v>0</v>
      </c>
      <c r="C27" s="235"/>
      <c r="D27" s="235"/>
      <c r="E27" s="234">
        <f>'Sources and Uses Budget'!S27</f>
        <v>0</v>
      </c>
      <c r="F27" s="235"/>
      <c r="G27" s="235"/>
      <c r="H27" s="234">
        <f>'Sources and Uses Budget'!T27</f>
        <v>0</v>
      </c>
      <c r="I27" s="235"/>
      <c r="J27" s="235"/>
      <c r="K27" s="232"/>
    </row>
    <row r="28" spans="1:11" s="233" customFormat="1" ht="11.4">
      <c r="A28" s="230" t="s">
        <v>1779</v>
      </c>
      <c r="B28" s="231"/>
      <c r="C28" s="231"/>
      <c r="D28" s="231"/>
      <c r="E28" s="231"/>
      <c r="F28" s="231"/>
      <c r="G28" s="231"/>
      <c r="H28" s="231"/>
      <c r="I28" s="231"/>
      <c r="J28" s="231"/>
      <c r="K28" s="232"/>
    </row>
    <row r="29" spans="1:11" s="233" customFormat="1" ht="11.4">
      <c r="A29" s="170" t="s">
        <v>1768</v>
      </c>
      <c r="B29" s="234">
        <f>'Sources and Uses Budget'!C29</f>
        <v>1000000</v>
      </c>
      <c r="C29" s="235">
        <f>B29</f>
        <v>1000000</v>
      </c>
      <c r="D29" s="235"/>
      <c r="E29" s="234">
        <f>'Sources and Uses Budget'!S29</f>
        <v>1000000</v>
      </c>
      <c r="F29" s="235">
        <f>E29</f>
        <v>1000000</v>
      </c>
      <c r="G29" s="235"/>
      <c r="H29" s="234">
        <f>'Sources and Uses Budget'!T29</f>
        <v>0</v>
      </c>
      <c r="I29" s="235"/>
      <c r="J29" s="235"/>
      <c r="K29" s="232"/>
    </row>
    <row r="30" spans="1:11" s="233" customFormat="1" ht="11.4">
      <c r="A30" s="170" t="s">
        <v>1769</v>
      </c>
      <c r="B30" s="234">
        <f>'Sources and Uses Budget'!C30</f>
        <v>41541855</v>
      </c>
      <c r="C30" s="235">
        <f t="shared" ref="C30:C35" si="0">B30</f>
        <v>41541855</v>
      </c>
      <c r="D30" s="235"/>
      <c r="E30" s="234">
        <f>'Sources and Uses Budget'!S30</f>
        <v>41541855</v>
      </c>
      <c r="F30" s="235">
        <f t="shared" ref="F30:F37" si="1">E30</f>
        <v>41541855</v>
      </c>
      <c r="G30" s="235"/>
      <c r="H30" s="234">
        <f>'Sources and Uses Budget'!T30</f>
        <v>0</v>
      </c>
      <c r="I30" s="235"/>
      <c r="J30" s="235"/>
      <c r="K30" s="232"/>
    </row>
    <row r="31" spans="1:11" s="233" customFormat="1" ht="11.4">
      <c r="A31" s="170" t="s">
        <v>1770</v>
      </c>
      <c r="B31" s="234">
        <f>'Sources and Uses Budget'!C31</f>
        <v>2582511</v>
      </c>
      <c r="C31" s="235">
        <f t="shared" si="0"/>
        <v>2582511</v>
      </c>
      <c r="D31" s="235"/>
      <c r="E31" s="234">
        <f>'Sources and Uses Budget'!S31</f>
        <v>2582511</v>
      </c>
      <c r="F31" s="235">
        <f t="shared" si="1"/>
        <v>2582511</v>
      </c>
      <c r="G31" s="235"/>
      <c r="H31" s="234">
        <f>'Sources and Uses Budget'!T31</f>
        <v>0</v>
      </c>
      <c r="I31" s="235"/>
      <c r="J31" s="235"/>
      <c r="K31" s="232"/>
    </row>
    <row r="32" spans="1:11" s="233" customFormat="1" ht="11.4">
      <c r="A32" s="170" t="s">
        <v>1771</v>
      </c>
      <c r="B32" s="234">
        <f>'Sources and Uses Budget'!C32</f>
        <v>1721674</v>
      </c>
      <c r="C32" s="235">
        <f t="shared" si="0"/>
        <v>1721674</v>
      </c>
      <c r="D32" s="235"/>
      <c r="E32" s="234">
        <f>'Sources and Uses Budget'!S32</f>
        <v>1721674</v>
      </c>
      <c r="F32" s="235">
        <f t="shared" si="1"/>
        <v>1721674</v>
      </c>
      <c r="G32" s="235"/>
      <c r="H32" s="234">
        <f>'Sources and Uses Budget'!T32</f>
        <v>0</v>
      </c>
      <c r="I32" s="235"/>
      <c r="J32" s="235"/>
      <c r="K32" s="232"/>
    </row>
    <row r="33" spans="1:11" s="233" customFormat="1" ht="11.4">
      <c r="A33" s="170" t="s">
        <v>1772</v>
      </c>
      <c r="B33" s="234">
        <f>'Sources and Uses Budget'!C33</f>
        <v>1721674</v>
      </c>
      <c r="C33" s="235">
        <f t="shared" si="0"/>
        <v>1721674</v>
      </c>
      <c r="D33" s="235"/>
      <c r="E33" s="234">
        <f>'Sources and Uses Budget'!S33</f>
        <v>1721674</v>
      </c>
      <c r="F33" s="235">
        <f t="shared" si="1"/>
        <v>1721674</v>
      </c>
      <c r="G33" s="235"/>
      <c r="H33" s="234">
        <f>'Sources and Uses Budget'!T33</f>
        <v>0</v>
      </c>
      <c r="I33" s="235"/>
      <c r="J33" s="235"/>
      <c r="K33" s="232"/>
    </row>
    <row r="34" spans="1:11" s="233" customFormat="1" ht="11.4">
      <c r="A34" s="170" t="s">
        <v>1773</v>
      </c>
      <c r="B34" s="234">
        <f>'Sources and Uses Budget'!C34</f>
        <v>0</v>
      </c>
      <c r="C34" s="235">
        <f t="shared" si="0"/>
        <v>0</v>
      </c>
      <c r="D34" s="235"/>
      <c r="E34" s="234">
        <f>'Sources and Uses Budget'!S34</f>
        <v>0</v>
      </c>
      <c r="F34" s="235">
        <f t="shared" si="1"/>
        <v>0</v>
      </c>
      <c r="G34" s="235"/>
      <c r="H34" s="234">
        <f>'Sources and Uses Budget'!T34</f>
        <v>0</v>
      </c>
      <c r="I34" s="235"/>
      <c r="J34" s="235"/>
      <c r="K34" s="232"/>
    </row>
    <row r="35" spans="1:11" s="233" customFormat="1" ht="11.4">
      <c r="A35" s="170" t="s">
        <v>1774</v>
      </c>
      <c r="B35" s="234">
        <f>'Sources and Uses Budget'!C35</f>
        <v>490677</v>
      </c>
      <c r="C35" s="235">
        <f t="shared" si="0"/>
        <v>490677</v>
      </c>
      <c r="D35" s="235"/>
      <c r="E35" s="234">
        <f>'Sources and Uses Budget'!S35</f>
        <v>490677</v>
      </c>
      <c r="F35" s="235">
        <f t="shared" si="1"/>
        <v>490677</v>
      </c>
      <c r="G35" s="235"/>
      <c r="H35" s="234">
        <f>'Sources and Uses Budget'!T35</f>
        <v>0</v>
      </c>
      <c r="I35" s="235"/>
      <c r="J35" s="235"/>
      <c r="K35" s="232"/>
    </row>
    <row r="36" spans="1:11" s="233" customFormat="1" ht="11.4">
      <c r="A36" s="360" t="s">
        <v>1775</v>
      </c>
      <c r="B36" s="234">
        <f>'Sources and Uses Budget'!C36</f>
        <v>0</v>
      </c>
      <c r="C36" s="235"/>
      <c r="D36" s="235"/>
      <c r="E36" s="234">
        <f>'Sources and Uses Budget'!S36</f>
        <v>0</v>
      </c>
      <c r="F36" s="235">
        <f t="shared" si="1"/>
        <v>0</v>
      </c>
      <c r="G36" s="235"/>
      <c r="H36" s="234">
        <f>'Sources and Uses Budget'!T36</f>
        <v>0</v>
      </c>
      <c r="I36" s="235"/>
      <c r="J36" s="235"/>
      <c r="K36" s="232"/>
    </row>
    <row r="37" spans="1:11" s="233" customFormat="1" ht="11.4">
      <c r="A37" s="237" t="str">
        <f>'Sources and Uses Budget'!$A37</f>
        <v>Other: (Specify)</v>
      </c>
      <c r="B37" s="234">
        <f>'Sources and Uses Budget'!C37</f>
        <v>0</v>
      </c>
      <c r="C37" s="235"/>
      <c r="D37" s="235"/>
      <c r="E37" s="234">
        <f>'Sources and Uses Budget'!S37</f>
        <v>0</v>
      </c>
      <c r="F37" s="235">
        <f t="shared" si="1"/>
        <v>0</v>
      </c>
      <c r="G37" s="235"/>
      <c r="H37" s="234">
        <f>'Sources and Uses Budget'!T37</f>
        <v>0</v>
      </c>
      <c r="I37" s="235"/>
      <c r="J37" s="235"/>
      <c r="K37" s="232"/>
    </row>
    <row r="38" spans="1:11" s="233" customFormat="1">
      <c r="A38" s="238" t="s">
        <v>1780</v>
      </c>
      <c r="B38" s="234">
        <f>'Sources and Uses Budget'!C38</f>
        <v>49058391</v>
      </c>
      <c r="C38" s="234">
        <f>SUM(C29:C37)</f>
        <v>49058391</v>
      </c>
      <c r="D38" s="234">
        <f>SUM(D29:D37)</f>
        <v>0</v>
      </c>
      <c r="E38" s="234">
        <f>'Sources and Uses Budget'!S38</f>
        <v>49058391</v>
      </c>
      <c r="F38" s="240">
        <f>SUM(F29:F37)</f>
        <v>49058391</v>
      </c>
      <c r="G38" s="240">
        <f>SUM(G29:G37)</f>
        <v>0</v>
      </c>
      <c r="H38" s="234">
        <f>'Sources and Uses Budget'!T38</f>
        <v>0</v>
      </c>
      <c r="I38" s="240">
        <f>SUM(I29:I37)</f>
        <v>0</v>
      </c>
      <c r="J38" s="240">
        <f>SUM(J29:J37)</f>
        <v>0</v>
      </c>
      <c r="K38" s="232"/>
    </row>
    <row r="39" spans="1:11" s="233" customFormat="1" ht="11.4">
      <c r="A39" s="230" t="s">
        <v>1781</v>
      </c>
      <c r="B39" s="231"/>
      <c r="C39" s="231"/>
      <c r="D39" s="231"/>
      <c r="E39" s="231"/>
      <c r="F39" s="231"/>
      <c r="G39" s="231"/>
      <c r="H39" s="231"/>
      <c r="I39" s="231"/>
      <c r="J39" s="231"/>
      <c r="K39" s="232"/>
    </row>
    <row r="40" spans="1:11" s="233" customFormat="1" ht="11.4">
      <c r="A40" s="237" t="s">
        <v>1782</v>
      </c>
      <c r="B40" s="234">
        <f>'Sources and Uses Budget'!C40</f>
        <v>2000000</v>
      </c>
      <c r="C40" s="235">
        <f>B40</f>
        <v>2000000</v>
      </c>
      <c r="D40" s="235"/>
      <c r="E40" s="234">
        <f>'Sources and Uses Budget'!S40</f>
        <v>2000000</v>
      </c>
      <c r="F40" s="235">
        <f>E40</f>
        <v>2000000</v>
      </c>
      <c r="G40" s="235"/>
      <c r="H40" s="234">
        <f>'Sources and Uses Budget'!T40</f>
        <v>0</v>
      </c>
      <c r="I40" s="235"/>
      <c r="J40" s="235"/>
      <c r="K40" s="232"/>
    </row>
    <row r="41" spans="1:11" s="233" customFormat="1" ht="11.4">
      <c r="A41" s="237" t="s">
        <v>1783</v>
      </c>
      <c r="B41" s="234">
        <f>'Sources and Uses Budget'!C41</f>
        <v>0</v>
      </c>
      <c r="C41" s="235"/>
      <c r="D41" s="235"/>
      <c r="E41" s="234">
        <f>'Sources and Uses Budget'!S41</f>
        <v>0</v>
      </c>
      <c r="F41" s="235"/>
      <c r="G41" s="235"/>
      <c r="H41" s="234">
        <f>'Sources and Uses Budget'!T41</f>
        <v>0</v>
      </c>
      <c r="I41" s="235"/>
      <c r="J41" s="235"/>
      <c r="K41" s="232"/>
    </row>
    <row r="42" spans="1:11" s="233" customFormat="1">
      <c r="A42" s="238" t="s">
        <v>1784</v>
      </c>
      <c r="B42" s="234">
        <f>'Sources and Uses Budget'!C42</f>
        <v>2000000</v>
      </c>
      <c r="C42" s="234">
        <f>SUM(C39:C41)</f>
        <v>2000000</v>
      </c>
      <c r="D42" s="234">
        <f>SUM(D39:D41)</f>
        <v>0</v>
      </c>
      <c r="E42" s="234">
        <f>'Sources and Uses Budget'!S42</f>
        <v>2000000</v>
      </c>
      <c r="F42" s="240">
        <f>SUM(F40:F41)</f>
        <v>2000000</v>
      </c>
      <c r="G42" s="240">
        <f>SUM(G40:G41)</f>
        <v>0</v>
      </c>
      <c r="H42" s="234">
        <f>'Sources and Uses Budget'!T42</f>
        <v>0</v>
      </c>
      <c r="I42" s="240">
        <f>SUM(I40:I41)</f>
        <v>0</v>
      </c>
      <c r="J42" s="240">
        <f>SUM(J40:J41)</f>
        <v>0</v>
      </c>
      <c r="K42" s="232"/>
    </row>
    <row r="43" spans="1:11" s="233" customFormat="1">
      <c r="A43" s="238" t="s">
        <v>1785</v>
      </c>
      <c r="B43" s="234">
        <f>'Sources and Uses Budget'!C43</f>
        <v>650000</v>
      </c>
      <c r="C43" s="235">
        <f>B43</f>
        <v>650000</v>
      </c>
      <c r="D43" s="235"/>
      <c r="E43" s="234">
        <f>'Sources and Uses Budget'!S43</f>
        <v>650000</v>
      </c>
      <c r="F43" s="235">
        <f>E43</f>
        <v>650000</v>
      </c>
      <c r="G43" s="235"/>
      <c r="H43" s="234">
        <f>'Sources and Uses Budget'!T43</f>
        <v>0</v>
      </c>
      <c r="I43" s="235"/>
      <c r="J43" s="235"/>
      <c r="K43" s="232"/>
    </row>
    <row r="44" spans="1:11" s="233" customFormat="1" ht="11.4">
      <c r="A44" s="230" t="s">
        <v>1786</v>
      </c>
      <c r="B44" s="231"/>
      <c r="C44" s="231"/>
      <c r="D44" s="231"/>
      <c r="E44" s="231"/>
      <c r="F44" s="231"/>
      <c r="G44" s="231"/>
      <c r="H44" s="231"/>
      <c r="I44" s="231"/>
      <c r="J44" s="231"/>
      <c r="K44" s="232"/>
    </row>
    <row r="45" spans="1:11" s="233" customFormat="1" ht="11.4">
      <c r="A45" s="237" t="s">
        <v>1787</v>
      </c>
      <c r="B45" s="234">
        <f>'Sources and Uses Budget'!C45</f>
        <v>4476800</v>
      </c>
      <c r="C45" s="235">
        <v>4476800</v>
      </c>
      <c r="D45" s="235"/>
      <c r="E45" s="234">
        <f>'Sources and Uses Budget'!S45</f>
        <v>2768194</v>
      </c>
      <c r="F45" s="235">
        <f>E45</f>
        <v>2768194</v>
      </c>
      <c r="G45" s="235"/>
      <c r="H45" s="234">
        <f>'Sources and Uses Budget'!T45</f>
        <v>0</v>
      </c>
      <c r="I45" s="235"/>
      <c r="J45" s="235"/>
      <c r="K45" s="232"/>
    </row>
    <row r="46" spans="1:11" s="233" customFormat="1" ht="11.4">
      <c r="A46" s="237" t="s">
        <v>1788</v>
      </c>
      <c r="B46" s="234">
        <f>'Sources and Uses Budget'!C46</f>
        <v>390885</v>
      </c>
      <c r="C46" s="235">
        <f t="shared" ref="C46:C53" si="2">B46</f>
        <v>390885</v>
      </c>
      <c r="D46" s="235"/>
      <c r="E46" s="234">
        <f>'Sources and Uses Budget'!S46</f>
        <v>293163</v>
      </c>
      <c r="F46" s="235">
        <f t="shared" ref="F46:F53" si="3">E46</f>
        <v>293163</v>
      </c>
      <c r="G46" s="235"/>
      <c r="H46" s="234">
        <f>'Sources and Uses Budget'!T46</f>
        <v>0</v>
      </c>
      <c r="I46" s="235"/>
      <c r="J46" s="235"/>
      <c r="K46" s="232"/>
    </row>
    <row r="47" spans="1:11" s="233" customFormat="1" ht="12" customHeight="1">
      <c r="A47" s="237" t="s">
        <v>1789</v>
      </c>
      <c r="B47" s="234">
        <f>'Sources and Uses Budget'!C47</f>
        <v>15000</v>
      </c>
      <c r="C47" s="235">
        <f t="shared" si="2"/>
        <v>15000</v>
      </c>
      <c r="D47" s="235"/>
      <c r="E47" s="234">
        <f>'Sources and Uses Budget'!S47</f>
        <v>11250</v>
      </c>
      <c r="F47" s="235">
        <f t="shared" si="3"/>
        <v>11250</v>
      </c>
      <c r="G47" s="235"/>
      <c r="H47" s="234">
        <f>'Sources and Uses Budget'!T47</f>
        <v>0</v>
      </c>
      <c r="I47" s="235"/>
      <c r="J47" s="235"/>
      <c r="K47" s="232"/>
    </row>
    <row r="48" spans="1:11" s="233" customFormat="1" ht="11.4">
      <c r="A48" s="237" t="s">
        <v>1790</v>
      </c>
      <c r="B48" s="234">
        <f>'Sources and Uses Budget'!C48</f>
        <v>441609</v>
      </c>
      <c r="C48" s="235">
        <f t="shared" si="2"/>
        <v>441609</v>
      </c>
      <c r="D48" s="235"/>
      <c r="E48" s="234">
        <f>'Sources and Uses Budget'!S48</f>
        <v>441609</v>
      </c>
      <c r="F48" s="235">
        <f t="shared" si="3"/>
        <v>441609</v>
      </c>
      <c r="G48" s="235"/>
      <c r="H48" s="234">
        <f>'Sources and Uses Budget'!T48</f>
        <v>0</v>
      </c>
      <c r="I48" s="235"/>
      <c r="J48" s="235"/>
      <c r="K48" s="232"/>
    </row>
    <row r="49" spans="1:11" s="233" customFormat="1" ht="11.4">
      <c r="A49" s="170" t="s">
        <v>1791</v>
      </c>
      <c r="B49" s="234">
        <f>'Sources and Uses Budget'!C49</f>
        <v>97721</v>
      </c>
      <c r="C49" s="235">
        <f t="shared" si="2"/>
        <v>97721</v>
      </c>
      <c r="D49" s="235"/>
      <c r="E49" s="234">
        <f>'Sources and Uses Budget'!S49</f>
        <v>97721</v>
      </c>
      <c r="F49" s="235">
        <f t="shared" si="3"/>
        <v>97721</v>
      </c>
      <c r="G49" s="235"/>
      <c r="H49" s="234">
        <f>'Sources and Uses Budget'!T49</f>
        <v>0</v>
      </c>
      <c r="I49" s="235"/>
      <c r="J49" s="235"/>
      <c r="K49" s="232"/>
    </row>
    <row r="50" spans="1:11" s="233" customFormat="1" ht="11.4">
      <c r="A50" s="237" t="s">
        <v>1792</v>
      </c>
      <c r="B50" s="234">
        <f>'Sources and Uses Budget'!C50</f>
        <v>100000</v>
      </c>
      <c r="C50" s="235">
        <f t="shared" si="2"/>
        <v>100000</v>
      </c>
      <c r="D50" s="235"/>
      <c r="E50" s="234">
        <f>'Sources and Uses Budget'!S50</f>
        <v>75000</v>
      </c>
      <c r="F50" s="235">
        <f t="shared" si="3"/>
        <v>75000</v>
      </c>
      <c r="G50" s="235"/>
      <c r="H50" s="234">
        <f>'Sources and Uses Budget'!T50</f>
        <v>0</v>
      </c>
      <c r="I50" s="235"/>
      <c r="J50" s="235"/>
      <c r="K50" s="232"/>
    </row>
    <row r="51" spans="1:11" s="233" customFormat="1" ht="11.4">
      <c r="A51" s="237" t="s">
        <v>1793</v>
      </c>
      <c r="B51" s="234">
        <f>'Sources and Uses Budget'!C51</f>
        <v>105000</v>
      </c>
      <c r="C51" s="235">
        <f t="shared" si="2"/>
        <v>105000</v>
      </c>
      <c r="D51" s="235"/>
      <c r="E51" s="234">
        <f>'Sources and Uses Budget'!S51</f>
        <v>105000</v>
      </c>
      <c r="F51" s="235">
        <f t="shared" si="3"/>
        <v>105000</v>
      </c>
      <c r="G51" s="235"/>
      <c r="H51" s="234">
        <f>'Sources and Uses Budget'!T51</f>
        <v>0</v>
      </c>
      <c r="I51" s="235"/>
      <c r="J51" s="235"/>
      <c r="K51" s="232"/>
    </row>
    <row r="52" spans="1:11" s="233" customFormat="1" ht="11.4">
      <c r="A52" s="237" t="s">
        <v>1794</v>
      </c>
      <c r="B52" s="234">
        <f>'Sources and Uses Budget'!C52</f>
        <v>750000</v>
      </c>
      <c r="C52" s="235">
        <f t="shared" si="2"/>
        <v>750000</v>
      </c>
      <c r="D52" s="235"/>
      <c r="E52" s="234">
        <f>'Sources and Uses Budget'!S52</f>
        <v>750000</v>
      </c>
      <c r="F52" s="235">
        <f t="shared" si="3"/>
        <v>750000</v>
      </c>
      <c r="G52" s="235"/>
      <c r="H52" s="234">
        <f>'Sources and Uses Budget'!T52</f>
        <v>0</v>
      </c>
      <c r="I52" s="235"/>
      <c r="J52" s="235"/>
      <c r="K52" s="232"/>
    </row>
    <row r="53" spans="1:11" s="233" customFormat="1" ht="11.4">
      <c r="A53" s="237" t="str">
        <f>'Sources and Uses Budget'!$A53</f>
        <v>Other: Employmrnt Reporting</v>
      </c>
      <c r="B53" s="234">
        <f>'Sources and Uses Budget'!C53</f>
        <v>25000</v>
      </c>
      <c r="C53" s="235">
        <f t="shared" si="2"/>
        <v>25000</v>
      </c>
      <c r="D53" s="235"/>
      <c r="E53" s="234">
        <f>'Sources and Uses Budget'!S53</f>
        <v>25000</v>
      </c>
      <c r="F53" s="235">
        <f t="shared" si="3"/>
        <v>25000</v>
      </c>
      <c r="G53" s="235"/>
      <c r="H53" s="234">
        <f>'Sources and Uses Budget'!T53</f>
        <v>0</v>
      </c>
      <c r="I53" s="235"/>
      <c r="J53" s="235"/>
      <c r="K53" s="232"/>
    </row>
    <row r="54" spans="1:11" s="242" customFormat="1">
      <c r="A54" s="238" t="s">
        <v>1796</v>
      </c>
      <c r="B54" s="234">
        <f>'Sources and Uses Budget'!C54</f>
        <v>6402015</v>
      </c>
      <c r="C54" s="240">
        <f>SUM(C45:C53)</f>
        <v>6402015</v>
      </c>
      <c r="D54" s="240">
        <f>SUM(D45:D53)</f>
        <v>0</v>
      </c>
      <c r="E54" s="234">
        <f>'Sources and Uses Budget'!S54</f>
        <v>4566937</v>
      </c>
      <c r="F54" s="240">
        <f>SUM(F45:F53)</f>
        <v>4566937</v>
      </c>
      <c r="G54" s="240">
        <f>SUM(G45:G53)</f>
        <v>0</v>
      </c>
      <c r="H54" s="234">
        <f>'Sources and Uses Budget'!T54</f>
        <v>0</v>
      </c>
      <c r="I54" s="240">
        <f>SUM(I45:I53)</f>
        <v>0</v>
      </c>
      <c r="J54" s="240">
        <f>SUM(J45:J53)</f>
        <v>0</v>
      </c>
      <c r="K54" s="241"/>
    </row>
    <row r="55" spans="1:11" s="233" customFormat="1" ht="11.4">
      <c r="A55" s="230" t="s">
        <v>1351</v>
      </c>
      <c r="B55" s="231"/>
      <c r="C55" s="231"/>
      <c r="D55" s="231"/>
      <c r="E55" s="231"/>
      <c r="F55" s="231"/>
      <c r="G55" s="231"/>
      <c r="H55" s="231"/>
      <c r="I55" s="231"/>
      <c r="J55" s="231"/>
      <c r="K55" s="232"/>
    </row>
    <row r="56" spans="1:11" s="233" customFormat="1" ht="11.4">
      <c r="A56" s="237" t="s">
        <v>1797</v>
      </c>
      <c r="B56" s="234">
        <f>'Sources and Uses Budget'!C56</f>
        <v>0</v>
      </c>
      <c r="C56" s="235"/>
      <c r="D56" s="235"/>
      <c r="E56" s="236"/>
      <c r="F56" s="236"/>
      <c r="G56" s="236"/>
      <c r="H56" s="236"/>
      <c r="I56" s="236"/>
      <c r="J56" s="236"/>
      <c r="K56" s="232"/>
    </row>
    <row r="57" spans="1:11" s="233" customFormat="1" ht="12" customHeight="1">
      <c r="A57" s="237" t="s">
        <v>1789</v>
      </c>
      <c r="B57" s="234">
        <f>'Sources and Uses Budget'!C57</f>
        <v>0</v>
      </c>
      <c r="C57" s="235"/>
      <c r="D57" s="235"/>
      <c r="E57" s="236"/>
      <c r="F57" s="236"/>
      <c r="G57" s="236"/>
      <c r="H57" s="236"/>
      <c r="I57" s="236"/>
      <c r="J57" s="236"/>
      <c r="K57" s="232"/>
    </row>
    <row r="58" spans="1:11" s="233" customFormat="1" ht="11.4">
      <c r="A58" s="237" t="s">
        <v>1792</v>
      </c>
      <c r="B58" s="234">
        <f>'Sources and Uses Budget'!C58</f>
        <v>10000</v>
      </c>
      <c r="C58" s="235">
        <f>B58</f>
        <v>10000</v>
      </c>
      <c r="D58" s="235"/>
      <c r="E58" s="236"/>
      <c r="F58" s="236"/>
      <c r="G58" s="236"/>
      <c r="H58" s="236"/>
      <c r="I58" s="236"/>
      <c r="J58" s="236"/>
      <c r="K58" s="232"/>
    </row>
    <row r="59" spans="1:11" s="233" customFormat="1" ht="11.4">
      <c r="A59" s="237" t="s">
        <v>1793</v>
      </c>
      <c r="B59" s="234">
        <f>'Sources and Uses Budget'!C59</f>
        <v>0</v>
      </c>
      <c r="C59" s="235"/>
      <c r="D59" s="235"/>
      <c r="E59" s="236"/>
      <c r="F59" s="236"/>
      <c r="G59" s="236"/>
      <c r="H59" s="236"/>
      <c r="I59" s="236"/>
      <c r="J59" s="236"/>
      <c r="K59" s="232"/>
    </row>
    <row r="60" spans="1:11" s="233" customFormat="1" ht="11.4">
      <c r="A60" s="237" t="s">
        <v>1794</v>
      </c>
      <c r="B60" s="234">
        <f>'Sources and Uses Budget'!C60</f>
        <v>0</v>
      </c>
      <c r="C60" s="235"/>
      <c r="D60" s="235"/>
      <c r="E60" s="236"/>
      <c r="F60" s="236"/>
      <c r="G60" s="236"/>
      <c r="H60" s="236"/>
      <c r="I60" s="236"/>
      <c r="J60" s="236"/>
      <c r="K60" s="232"/>
    </row>
    <row r="61" spans="1:11" s="233" customFormat="1" ht="11.4">
      <c r="A61" s="237" t="str">
        <f>'Sources and Uses Budget'!$A61</f>
        <v>Other: Legal for Perm Loan</v>
      </c>
      <c r="B61" s="234">
        <f>'Sources and Uses Budget'!C61</f>
        <v>15000</v>
      </c>
      <c r="C61" s="235">
        <f>B61</f>
        <v>15000</v>
      </c>
      <c r="D61" s="235"/>
      <c r="E61" s="236"/>
      <c r="F61" s="236"/>
      <c r="G61" s="236"/>
      <c r="H61" s="236"/>
      <c r="I61" s="236"/>
      <c r="J61" s="236"/>
      <c r="K61" s="232"/>
    </row>
    <row r="62" spans="1:11" s="233" customFormat="1" ht="13.95" customHeight="1">
      <c r="A62" s="238" t="s">
        <v>1799</v>
      </c>
      <c r="B62" s="234">
        <f>'Sources and Uses Budget'!C62</f>
        <v>25000</v>
      </c>
      <c r="C62" s="234">
        <f>SUM(C56:C61)</f>
        <v>25000</v>
      </c>
      <c r="D62" s="234">
        <f>SUM(D56:D61)</f>
        <v>0</v>
      </c>
      <c r="E62" s="236"/>
      <c r="F62" s="236"/>
      <c r="G62" s="236"/>
      <c r="H62" s="236"/>
      <c r="I62" s="236"/>
      <c r="J62" s="236"/>
      <c r="K62" s="232"/>
    </row>
    <row r="63" spans="1:11" s="233" customFormat="1" ht="11.4">
      <c r="A63" s="243" t="s">
        <v>1800</v>
      </c>
      <c r="B63" s="234">
        <f>'Sources and Uses Budget'!C63</f>
        <v>58735406</v>
      </c>
      <c r="C63" s="234">
        <f>SUM(C8+C11+C13+C14+C15+C26+C27+C38+C42+C43+C54+C62)</f>
        <v>58735406</v>
      </c>
      <c r="D63" s="234">
        <f>SUM(D8+D11+D13+D14+D15+D26+D27+D38+D42+D43+D54+D62)</f>
        <v>0</v>
      </c>
      <c r="E63" s="234">
        <f>'Sources and Uses Budget'!S63</f>
        <v>56775328</v>
      </c>
      <c r="F63" s="234">
        <f>SUM(F10+F13+F14+F15+F26+F27+F38+F42+F43+F54)</f>
        <v>56775328</v>
      </c>
      <c r="G63" s="234">
        <f>SUM(G10+G13+G14+G15+G26+G27+G38+G42+G43+G54)</f>
        <v>0</v>
      </c>
      <c r="H63" s="234">
        <f>'Sources and Uses Budget'!T63</f>
        <v>0</v>
      </c>
      <c r="I63" s="234">
        <f>SUM(I11+I13+I14+I15+I26+I27+I38+I42+I43+I54)</f>
        <v>0</v>
      </c>
      <c r="J63" s="234">
        <f>SUM(J11+J13+J14+J15+J26+J27+J38+J42+J43+J54)</f>
        <v>0</v>
      </c>
      <c r="K63" s="232"/>
    </row>
    <row r="64" spans="1:11" s="233" customFormat="1" ht="22.8">
      <c r="A64" s="82" t="s">
        <v>1801</v>
      </c>
      <c r="B64" s="231"/>
      <c r="C64" s="231"/>
      <c r="D64" s="231"/>
      <c r="E64" s="231"/>
      <c r="F64" s="231"/>
      <c r="G64" s="231"/>
      <c r="H64" s="231"/>
      <c r="I64" s="231"/>
      <c r="J64" s="231"/>
      <c r="K64" s="232"/>
    </row>
    <row r="65" spans="1:11" s="233" customFormat="1" ht="11.4">
      <c r="A65" s="170" t="s">
        <v>1802</v>
      </c>
      <c r="B65" s="234">
        <f>'Sources and Uses Budget'!C65</f>
        <v>100000</v>
      </c>
      <c r="C65" s="235">
        <f>B65</f>
        <v>100000</v>
      </c>
      <c r="D65" s="235"/>
      <c r="E65" s="234">
        <f>'Sources and Uses Budget'!S65</f>
        <v>100000</v>
      </c>
      <c r="F65" s="235">
        <f>E65</f>
        <v>100000</v>
      </c>
      <c r="G65" s="235"/>
      <c r="H65" s="234">
        <f>'Sources and Uses Budget'!T65</f>
        <v>0</v>
      </c>
      <c r="I65" s="235"/>
      <c r="J65" s="235"/>
      <c r="K65" s="232"/>
    </row>
    <row r="66" spans="1:11" s="233" customFormat="1" ht="22.8">
      <c r="A66" s="170" t="s">
        <v>1803</v>
      </c>
      <c r="B66" s="234">
        <f>'Sources and Uses Budget'!C66</f>
        <v>0</v>
      </c>
      <c r="C66" s="235"/>
      <c r="D66" s="235"/>
      <c r="E66" s="234">
        <f>'Sources and Uses Budget'!S66</f>
        <v>0</v>
      </c>
      <c r="F66" s="235"/>
      <c r="G66" s="235"/>
      <c r="H66" s="234">
        <f>'Sources and Uses Budget'!T66</f>
        <v>0</v>
      </c>
      <c r="I66" s="235"/>
      <c r="J66" s="235"/>
      <c r="K66" s="232"/>
    </row>
    <row r="67" spans="1:11" s="233" customFormat="1" ht="22.8">
      <c r="A67" s="170" t="s">
        <v>1804</v>
      </c>
      <c r="B67" s="234">
        <f>'Sources and Uses Budget'!C67</f>
        <v>0</v>
      </c>
      <c r="C67" s="235"/>
      <c r="D67" s="235"/>
      <c r="E67" s="234">
        <f>'Sources and Uses Budget'!S67</f>
        <v>0</v>
      </c>
      <c r="F67" s="235"/>
      <c r="G67" s="235"/>
      <c r="H67" s="234">
        <f>'Sources and Uses Budget'!T67</f>
        <v>0</v>
      </c>
      <c r="I67" s="235"/>
      <c r="J67" s="235"/>
      <c r="K67" s="232"/>
    </row>
    <row r="68" spans="1:11" s="233" customFormat="1" ht="11.4">
      <c r="A68" s="170" t="s">
        <v>1805</v>
      </c>
      <c r="B68" s="234">
        <f>'Sources and Uses Budget'!C68</f>
        <v>0</v>
      </c>
      <c r="C68" s="235"/>
      <c r="D68" s="235"/>
      <c r="E68" s="234">
        <f>'Sources and Uses Budget'!S68</f>
        <v>0</v>
      </c>
      <c r="F68" s="235"/>
      <c r="G68" s="235"/>
      <c r="H68" s="234">
        <f>'Sources and Uses Budget'!T68</f>
        <v>0</v>
      </c>
      <c r="I68" s="235"/>
      <c r="J68" s="235"/>
      <c r="K68" s="232"/>
    </row>
    <row r="69" spans="1:11" s="233" customFormat="1" ht="22.8">
      <c r="A69" s="237" t="str">
        <f>'Sources and Uses Budget'!$A69</f>
        <v>Other: Lender Legal+Investor Legal+Bond Issuer Legal+MGP Legal</v>
      </c>
      <c r="B69" s="234">
        <f>'Sources and Uses Budget'!C69</f>
        <v>225000</v>
      </c>
      <c r="C69" s="235">
        <f>B69</f>
        <v>225000</v>
      </c>
      <c r="D69" s="235"/>
      <c r="E69" s="234">
        <f>'Sources and Uses Budget'!S69</f>
        <v>75000</v>
      </c>
      <c r="F69" s="235">
        <f>E69</f>
        <v>75000</v>
      </c>
      <c r="G69" s="235"/>
      <c r="H69" s="234">
        <f>'Sources and Uses Budget'!T69</f>
        <v>0</v>
      </c>
      <c r="I69" s="235"/>
      <c r="J69" s="235"/>
      <c r="K69" s="232"/>
    </row>
    <row r="70" spans="1:11" s="233" customFormat="1">
      <c r="A70" s="238" t="s">
        <v>1885</v>
      </c>
      <c r="B70" s="234">
        <f>'Sources and Uses Budget'!C70</f>
        <v>325000</v>
      </c>
      <c r="C70" s="234">
        <f>SUM(C64:C69)</f>
        <v>325000</v>
      </c>
      <c r="D70" s="234">
        <f>SUM(D64:D69)</f>
        <v>0</v>
      </c>
      <c r="E70" s="234">
        <f>'Sources and Uses Budget'!S70</f>
        <v>175000</v>
      </c>
      <c r="F70" s="240">
        <f>SUM(F65:F69)</f>
        <v>175000</v>
      </c>
      <c r="G70" s="240">
        <f>SUM(G65:G69)</f>
        <v>0</v>
      </c>
      <c r="H70" s="234">
        <f>'Sources and Uses Budget'!T70</f>
        <v>0</v>
      </c>
      <c r="I70" s="240">
        <f>SUM(I65:I69)</f>
        <v>0</v>
      </c>
      <c r="J70" s="240">
        <f>SUM(J65:J69)</f>
        <v>0</v>
      </c>
      <c r="K70" s="232"/>
    </row>
    <row r="71" spans="1:11" s="233" customFormat="1" ht="11.4">
      <c r="A71" s="230" t="s">
        <v>1808</v>
      </c>
      <c r="B71" s="231"/>
      <c r="C71" s="231"/>
      <c r="D71" s="231"/>
      <c r="E71" s="231"/>
      <c r="F71" s="231"/>
      <c r="G71" s="231"/>
      <c r="H71" s="231"/>
      <c r="I71" s="231"/>
      <c r="J71" s="231"/>
      <c r="K71" s="232"/>
    </row>
    <row r="72" spans="1:11" s="233" customFormat="1" ht="11.4">
      <c r="A72" s="237" t="s">
        <v>1809</v>
      </c>
      <c r="B72" s="234">
        <f>'Sources and Uses Budget'!C72</f>
        <v>0</v>
      </c>
      <c r="C72" s="235">
        <f>B72</f>
        <v>0</v>
      </c>
      <c r="D72" s="235"/>
      <c r="E72" s="236"/>
      <c r="F72" s="236"/>
      <c r="G72" s="236"/>
      <c r="H72" s="236"/>
      <c r="I72" s="236"/>
      <c r="J72" s="236"/>
      <c r="K72" s="232"/>
    </row>
    <row r="73" spans="1:11" s="233" customFormat="1" ht="11.4">
      <c r="A73" s="237" t="s">
        <v>1810</v>
      </c>
      <c r="B73" s="234">
        <f>'Sources and Uses Budget'!C73</f>
        <v>0</v>
      </c>
      <c r="C73" s="235"/>
      <c r="D73" s="235"/>
      <c r="E73" s="236"/>
      <c r="F73" s="236"/>
      <c r="G73" s="236"/>
      <c r="H73" s="236"/>
      <c r="I73" s="236"/>
      <c r="J73" s="236"/>
      <c r="K73" s="232"/>
    </row>
    <row r="74" spans="1:11" s="233" customFormat="1" ht="11.4">
      <c r="A74" s="239" t="s">
        <v>1811</v>
      </c>
      <c r="B74" s="234">
        <f>'Sources and Uses Budget'!C74</f>
        <v>0</v>
      </c>
      <c r="C74" s="235"/>
      <c r="D74" s="235"/>
      <c r="E74" s="236"/>
      <c r="F74" s="236"/>
      <c r="G74" s="236"/>
      <c r="H74" s="236"/>
      <c r="I74" s="236"/>
      <c r="J74" s="236"/>
      <c r="K74" s="232"/>
    </row>
    <row r="75" spans="1:11" s="233" customFormat="1" ht="11.4">
      <c r="A75" s="237" t="s">
        <v>1812</v>
      </c>
      <c r="B75" s="234">
        <f>'Sources and Uses Budget'!C75</f>
        <v>693007</v>
      </c>
      <c r="C75" s="235">
        <f>B75</f>
        <v>693007</v>
      </c>
      <c r="D75" s="235"/>
      <c r="E75" s="236"/>
      <c r="F75" s="236"/>
      <c r="G75" s="236"/>
      <c r="H75" s="236"/>
      <c r="I75" s="236"/>
      <c r="J75" s="236"/>
      <c r="K75" s="232"/>
    </row>
    <row r="76" spans="1:11" s="233" customFormat="1" ht="11.4">
      <c r="A76" s="237" t="str">
        <f>'Sources and Uses Budget'!$A76</f>
        <v>Other: (Specify)</v>
      </c>
      <c r="B76" s="234">
        <f>'Sources and Uses Budget'!C76</f>
        <v>0</v>
      </c>
      <c r="C76" s="235"/>
      <c r="D76" s="235"/>
      <c r="E76" s="236"/>
      <c r="F76" s="236"/>
      <c r="G76" s="236"/>
      <c r="H76" s="236"/>
      <c r="I76" s="236"/>
      <c r="J76" s="236"/>
      <c r="K76" s="232"/>
    </row>
    <row r="77" spans="1:11" s="233" customFormat="1">
      <c r="A77" s="238" t="s">
        <v>1813</v>
      </c>
      <c r="B77" s="234">
        <f>'Sources and Uses Budget'!C77</f>
        <v>693007</v>
      </c>
      <c r="C77" s="234">
        <f>SUM(C72:C76)</f>
        <v>693007</v>
      </c>
      <c r="D77" s="234">
        <f>SUM(D72:D76)</f>
        <v>0</v>
      </c>
      <c r="E77" s="236"/>
      <c r="F77" s="236"/>
      <c r="G77" s="236"/>
      <c r="H77" s="236"/>
      <c r="I77" s="236"/>
      <c r="J77" s="236"/>
      <c r="K77" s="232"/>
    </row>
    <row r="78" spans="1:11" s="233" customFormat="1" ht="11.4">
      <c r="A78" s="230" t="s">
        <v>1814</v>
      </c>
      <c r="B78" s="231"/>
      <c r="C78" s="231"/>
      <c r="D78" s="231"/>
      <c r="E78" s="231"/>
      <c r="F78" s="231"/>
      <c r="G78" s="231"/>
      <c r="H78" s="231"/>
      <c r="I78" s="231"/>
      <c r="J78" s="231"/>
      <c r="K78" s="232"/>
    </row>
    <row r="79" spans="1:11" s="233" customFormat="1" ht="11.4">
      <c r="A79" s="237" t="s">
        <v>1815</v>
      </c>
      <c r="B79" s="234">
        <f>'Sources and Uses Budget'!C79</f>
        <v>2505000</v>
      </c>
      <c r="C79" s="235">
        <f>B79</f>
        <v>2505000</v>
      </c>
      <c r="D79" s="235"/>
      <c r="E79" s="234">
        <f>'Sources and Uses Budget'!S79</f>
        <v>2505000</v>
      </c>
      <c r="F79" s="235">
        <f>E79</f>
        <v>2505000</v>
      </c>
      <c r="G79" s="235"/>
      <c r="H79" s="234">
        <f>'Sources and Uses Budget'!T79</f>
        <v>0</v>
      </c>
      <c r="I79" s="235"/>
      <c r="J79" s="235"/>
      <c r="K79" s="232"/>
    </row>
    <row r="80" spans="1:11" s="233" customFormat="1" ht="11.4">
      <c r="A80" s="237" t="s">
        <v>1816</v>
      </c>
      <c r="B80" s="234">
        <f>'Sources and Uses Budget'!C80</f>
        <v>593840</v>
      </c>
      <c r="C80" s="235">
        <f>B80</f>
        <v>593840</v>
      </c>
      <c r="D80" s="235"/>
      <c r="E80" s="234">
        <f>'Sources and Uses Budget'!S80</f>
        <v>593840</v>
      </c>
      <c r="F80" s="235">
        <f>E80</f>
        <v>593840</v>
      </c>
      <c r="G80" s="235"/>
      <c r="H80" s="234">
        <f>'Sources and Uses Budget'!T80</f>
        <v>0</v>
      </c>
      <c r="I80" s="235"/>
      <c r="J80" s="235"/>
      <c r="K80" s="232"/>
    </row>
    <row r="81" spans="1:11" s="233" customFormat="1">
      <c r="A81" s="238" t="s">
        <v>1817</v>
      </c>
      <c r="B81" s="234">
        <f>'Sources and Uses Budget'!C81</f>
        <v>3098840</v>
      </c>
      <c r="C81" s="234">
        <f>SUM(C79:C80)</f>
        <v>3098840</v>
      </c>
      <c r="D81" s="234">
        <f>SUM(D79:D80)</f>
        <v>0</v>
      </c>
      <c r="E81" s="234">
        <f>'Sources and Uses Budget'!S81</f>
        <v>3098840</v>
      </c>
      <c r="F81" s="234">
        <f>SUM(F79:F80)</f>
        <v>3098840</v>
      </c>
      <c r="G81" s="234">
        <f>SUM(G79:G80)</f>
        <v>0</v>
      </c>
      <c r="H81" s="234">
        <f>'Sources and Uses Budget'!T81</f>
        <v>0</v>
      </c>
      <c r="I81" s="234">
        <f>SUM(I79:I80)</f>
        <v>0</v>
      </c>
      <c r="J81" s="234">
        <f>SUM(J79:J80)</f>
        <v>0</v>
      </c>
      <c r="K81" s="232"/>
    </row>
    <row r="82" spans="1:11" s="233" customFormat="1" ht="11.4">
      <c r="A82" s="230" t="s">
        <v>1818</v>
      </c>
      <c r="B82" s="231"/>
      <c r="C82" s="231"/>
      <c r="D82" s="231"/>
      <c r="E82" s="231"/>
      <c r="F82" s="231"/>
      <c r="G82" s="231"/>
      <c r="H82" s="231"/>
      <c r="I82" s="231"/>
      <c r="J82" s="231"/>
      <c r="K82" s="232"/>
    </row>
    <row r="83" spans="1:11" s="233" customFormat="1" ht="13.95" customHeight="1">
      <c r="A83" s="170" t="s">
        <v>1819</v>
      </c>
      <c r="B83" s="234">
        <f>'Sources and Uses Budget'!C83</f>
        <v>109775</v>
      </c>
      <c r="C83" s="235">
        <f>B83</f>
        <v>109775</v>
      </c>
      <c r="D83" s="235"/>
      <c r="E83" s="236"/>
      <c r="F83" s="236"/>
      <c r="G83" s="236"/>
      <c r="H83" s="236"/>
      <c r="I83" s="236"/>
      <c r="J83" s="236"/>
      <c r="K83" s="232"/>
    </row>
    <row r="84" spans="1:11" s="233" customFormat="1" ht="11.4">
      <c r="A84" s="170" t="s">
        <v>1820</v>
      </c>
      <c r="B84" s="234">
        <f>'Sources and Uses Budget'!C84</f>
        <v>50000</v>
      </c>
      <c r="C84" s="235">
        <f t="shared" ref="C84:C95" si="4">B84</f>
        <v>50000</v>
      </c>
      <c r="D84" s="235"/>
      <c r="E84" s="234">
        <f>'Sources and Uses Budget'!S84</f>
        <v>50000</v>
      </c>
      <c r="F84" s="235">
        <f>E84</f>
        <v>50000</v>
      </c>
      <c r="G84" s="235"/>
      <c r="H84" s="234">
        <f>'Sources and Uses Budget'!T84</f>
        <v>0</v>
      </c>
      <c r="I84" s="235"/>
      <c r="J84" s="235"/>
      <c r="K84" s="232"/>
    </row>
    <row r="85" spans="1:11" s="233" customFormat="1" ht="11.4">
      <c r="A85" s="170" t="s">
        <v>1821</v>
      </c>
      <c r="B85" s="234">
        <f>'Sources and Uses Budget'!C85</f>
        <v>1021813</v>
      </c>
      <c r="C85" s="235">
        <f t="shared" si="4"/>
        <v>1021813</v>
      </c>
      <c r="D85" s="235"/>
      <c r="E85" s="234">
        <f>'Sources and Uses Budget'!S85</f>
        <v>1021813</v>
      </c>
      <c r="F85" s="235">
        <f t="shared" ref="F85:F86" si="5">E85</f>
        <v>1021813</v>
      </c>
      <c r="G85" s="235"/>
      <c r="H85" s="234">
        <f>'Sources and Uses Budget'!T85</f>
        <v>0</v>
      </c>
      <c r="I85" s="235"/>
      <c r="J85" s="235"/>
      <c r="K85" s="232"/>
    </row>
    <row r="86" spans="1:11" s="233" customFormat="1" ht="11.4">
      <c r="A86" s="170" t="s">
        <v>1822</v>
      </c>
      <c r="B86" s="234">
        <f>'Sources and Uses Budget'!C86</f>
        <v>2478187</v>
      </c>
      <c r="C86" s="235">
        <f t="shared" si="4"/>
        <v>2478187</v>
      </c>
      <c r="D86" s="235"/>
      <c r="E86" s="234">
        <f>'Sources and Uses Budget'!S86</f>
        <v>2478187</v>
      </c>
      <c r="F86" s="235">
        <f t="shared" si="5"/>
        <v>2478187</v>
      </c>
      <c r="G86" s="235"/>
      <c r="H86" s="234">
        <f>'Sources and Uses Budget'!T86</f>
        <v>0</v>
      </c>
      <c r="I86" s="235"/>
      <c r="J86" s="235"/>
      <c r="K86" s="232"/>
    </row>
    <row r="87" spans="1:11" s="233" customFormat="1" ht="11.4">
      <c r="A87" s="170" t="s">
        <v>1823</v>
      </c>
      <c r="B87" s="234">
        <f>'Sources and Uses Budget'!C87</f>
        <v>0</v>
      </c>
      <c r="C87" s="235">
        <f t="shared" si="4"/>
        <v>0</v>
      </c>
      <c r="D87" s="235"/>
      <c r="E87" s="234">
        <f>'Sources and Uses Budget'!S87</f>
        <v>0</v>
      </c>
      <c r="F87" s="235"/>
      <c r="G87" s="235"/>
      <c r="H87" s="234">
        <f>'Sources and Uses Budget'!T87</f>
        <v>0</v>
      </c>
      <c r="I87" s="235"/>
      <c r="J87" s="235"/>
      <c r="K87" s="232"/>
    </row>
    <row r="88" spans="1:11" s="233" customFormat="1" ht="11.4">
      <c r="A88" s="170" t="s">
        <v>1824</v>
      </c>
      <c r="B88" s="234">
        <f>'Sources and Uses Budget'!C88</f>
        <v>150000</v>
      </c>
      <c r="C88" s="235">
        <f t="shared" si="4"/>
        <v>150000</v>
      </c>
      <c r="D88" s="235"/>
      <c r="E88" s="236"/>
      <c r="F88" s="236"/>
      <c r="G88" s="236"/>
      <c r="H88" s="236"/>
      <c r="I88" s="236"/>
      <c r="J88" s="236"/>
      <c r="K88" s="232"/>
    </row>
    <row r="89" spans="1:11" s="233" customFormat="1" ht="11.4">
      <c r="A89" s="170" t="s">
        <v>1825</v>
      </c>
      <c r="B89" s="234">
        <f>'Sources and Uses Budget'!C89</f>
        <v>150000</v>
      </c>
      <c r="C89" s="235">
        <f t="shared" si="4"/>
        <v>150000</v>
      </c>
      <c r="D89" s="235"/>
      <c r="E89" s="234">
        <f>'Sources and Uses Budget'!S89</f>
        <v>150000</v>
      </c>
      <c r="F89" s="235">
        <f>E89</f>
        <v>150000</v>
      </c>
      <c r="G89" s="235"/>
      <c r="H89" s="234">
        <f>'Sources and Uses Budget'!T89</f>
        <v>0</v>
      </c>
      <c r="I89" s="235"/>
      <c r="J89" s="235"/>
      <c r="K89" s="232"/>
    </row>
    <row r="90" spans="1:11" s="233" customFormat="1" ht="11.4">
      <c r="A90" s="170" t="s">
        <v>1826</v>
      </c>
      <c r="B90" s="234">
        <f>'Sources and Uses Budget'!C90</f>
        <v>15000</v>
      </c>
      <c r="C90" s="235">
        <f t="shared" si="4"/>
        <v>15000</v>
      </c>
      <c r="D90" s="235"/>
      <c r="E90" s="234">
        <f>'Sources and Uses Budget'!S90</f>
        <v>15000</v>
      </c>
      <c r="F90" s="235">
        <f t="shared" ref="F90:F95" si="6">E90</f>
        <v>15000</v>
      </c>
      <c r="G90" s="235"/>
      <c r="H90" s="234">
        <f>'Sources and Uses Budget'!T90</f>
        <v>0</v>
      </c>
      <c r="I90" s="235"/>
      <c r="J90" s="235"/>
      <c r="K90" s="232"/>
    </row>
    <row r="91" spans="1:11" s="233" customFormat="1" ht="11.4">
      <c r="A91" s="360" t="s">
        <v>1827</v>
      </c>
      <c r="B91" s="234">
        <f>'Sources and Uses Budget'!C91</f>
        <v>50000</v>
      </c>
      <c r="C91" s="235">
        <f t="shared" si="4"/>
        <v>50000</v>
      </c>
      <c r="D91" s="235"/>
      <c r="E91" s="234">
        <f>'Sources and Uses Budget'!S91</f>
        <v>50000</v>
      </c>
      <c r="F91" s="235">
        <f t="shared" si="6"/>
        <v>50000</v>
      </c>
      <c r="G91" s="235"/>
      <c r="H91" s="234">
        <f>'Sources and Uses Budget'!T91</f>
        <v>0</v>
      </c>
      <c r="I91" s="235"/>
      <c r="J91" s="235"/>
      <c r="K91" s="232"/>
    </row>
    <row r="92" spans="1:11" s="233" customFormat="1" ht="11.4">
      <c r="A92" s="360" t="s">
        <v>1828</v>
      </c>
      <c r="B92" s="234">
        <f>'Sources and Uses Budget'!C92</f>
        <v>20000</v>
      </c>
      <c r="C92" s="235">
        <f t="shared" si="4"/>
        <v>20000</v>
      </c>
      <c r="D92" s="235"/>
      <c r="E92" s="234">
        <f>'Sources and Uses Budget'!S92</f>
        <v>20000</v>
      </c>
      <c r="F92" s="235">
        <f t="shared" si="6"/>
        <v>20000</v>
      </c>
      <c r="G92" s="235"/>
      <c r="H92" s="234">
        <f>'Sources and Uses Budget'!T92</f>
        <v>0</v>
      </c>
      <c r="I92" s="235"/>
      <c r="J92" s="235"/>
      <c r="K92" s="232"/>
    </row>
    <row r="93" spans="1:11" s="233" customFormat="1" ht="11.4">
      <c r="A93" s="237" t="str">
        <f>'Sources and Uses Budget'!$A93</f>
        <v>Other:Relocation Cost+CDLAC Fee</v>
      </c>
      <c r="B93" s="234">
        <f>'Sources and Uses Budget'!C93</f>
        <v>113225</v>
      </c>
      <c r="C93" s="235">
        <f t="shared" si="4"/>
        <v>113225</v>
      </c>
      <c r="D93" s="235"/>
      <c r="E93" s="234">
        <f>'Sources and Uses Budget'!S93</f>
        <v>13226</v>
      </c>
      <c r="F93" s="235">
        <f t="shared" si="6"/>
        <v>13226</v>
      </c>
      <c r="G93" s="235"/>
      <c r="H93" s="234">
        <f>'Sources and Uses Budget'!T93</f>
        <v>0</v>
      </c>
      <c r="I93" s="235"/>
      <c r="J93" s="235"/>
      <c r="K93" s="232"/>
    </row>
    <row r="94" spans="1:11" s="233" customFormat="1" ht="11.4">
      <c r="A94" s="237" t="str">
        <f>'Sources and Uses Budget'!$A94</f>
        <v>Other:Prevailing Wage Monitoring</v>
      </c>
      <c r="B94" s="234">
        <f>'Sources and Uses Budget'!C94</f>
        <v>42000</v>
      </c>
      <c r="C94" s="235">
        <f t="shared" si="4"/>
        <v>42000</v>
      </c>
      <c r="D94" s="235"/>
      <c r="E94" s="234">
        <f>'Sources and Uses Budget'!S94</f>
        <v>42000</v>
      </c>
      <c r="F94" s="235">
        <f t="shared" si="6"/>
        <v>42000</v>
      </c>
      <c r="G94" s="235"/>
      <c r="H94" s="234">
        <f>'Sources and Uses Budget'!T94</f>
        <v>0</v>
      </c>
      <c r="I94" s="235"/>
      <c r="J94" s="235"/>
      <c r="K94" s="232"/>
    </row>
    <row r="95" spans="1:11" s="233" customFormat="1" ht="22.8">
      <c r="A95" s="237" t="str">
        <f>'Sources and Uses Budget'!$A95</f>
        <v>Other: Misc. Third Party Costs+Predev Loan Interest</v>
      </c>
      <c r="B95" s="234">
        <f>'Sources and Uses Budget'!C95</f>
        <v>450000</v>
      </c>
      <c r="C95" s="235">
        <f t="shared" si="4"/>
        <v>450000</v>
      </c>
      <c r="D95" s="235"/>
      <c r="E95" s="234">
        <f>'Sources and Uses Budget'!S95</f>
        <v>450000</v>
      </c>
      <c r="F95" s="235">
        <f t="shared" si="6"/>
        <v>450000</v>
      </c>
      <c r="G95" s="235"/>
      <c r="H95" s="234">
        <f>'Sources and Uses Budget'!T95</f>
        <v>0</v>
      </c>
      <c r="I95" s="235"/>
      <c r="J95" s="235"/>
      <c r="K95" s="232"/>
    </row>
    <row r="96" spans="1:11" s="233" customFormat="1">
      <c r="A96" s="238" t="s">
        <v>1832</v>
      </c>
      <c r="B96" s="234">
        <f>'Sources and Uses Budget'!C96</f>
        <v>4650000</v>
      </c>
      <c r="C96" s="234">
        <f>SUM(C83:C95)</f>
        <v>4650000</v>
      </c>
      <c r="D96" s="234">
        <f>SUM(D83:D95)</f>
        <v>0</v>
      </c>
      <c r="E96" s="234">
        <f>'Sources and Uses Budget'!S96</f>
        <v>4290226</v>
      </c>
      <c r="F96" s="240">
        <f>SUM(F84:F87,F89:F95)</f>
        <v>4290226</v>
      </c>
      <c r="G96" s="240">
        <f>SUM(G84:G87,G89:G95)</f>
        <v>0</v>
      </c>
      <c r="H96" s="234">
        <f>'Sources and Uses Budget'!T96</f>
        <v>0</v>
      </c>
      <c r="I96" s="234">
        <f>SUM(I84:I87,I89:I95)</f>
        <v>0</v>
      </c>
      <c r="J96" s="234">
        <f>SUM(J84:J87,J89:J95)</f>
        <v>0</v>
      </c>
      <c r="K96" s="232"/>
    </row>
    <row r="97" spans="1:11" s="233" customFormat="1">
      <c r="A97" s="238" t="s">
        <v>1886</v>
      </c>
      <c r="B97" s="234">
        <f>'Sources and Uses Budget'!C97</f>
        <v>67502253</v>
      </c>
      <c r="C97" s="234">
        <f>SUM(C63+C70+C77+C81+C96)</f>
        <v>67502253</v>
      </c>
      <c r="D97" s="234">
        <f>SUM(D63+D70+D77+D81+D96)</f>
        <v>0</v>
      </c>
      <c r="E97" s="234">
        <f>'Sources and Uses Budget'!S97</f>
        <v>64339394</v>
      </c>
      <c r="F97" s="240">
        <f>SUM(+F63+F70+F81+F96)</f>
        <v>64339394</v>
      </c>
      <c r="G97" s="240">
        <f>SUM(+G63+G70+G81+G96)</f>
        <v>0</v>
      </c>
      <c r="H97" s="234">
        <f>'Sources and Uses Budget'!T97</f>
        <v>0</v>
      </c>
      <c r="I97" s="240">
        <f>SUM(I63+I70+I81+I96)</f>
        <v>0</v>
      </c>
      <c r="J97" s="240">
        <f>SUM(J63+J70+J81+J96)</f>
        <v>0</v>
      </c>
      <c r="K97" s="232"/>
    </row>
    <row r="98" spans="1:11" s="233" customFormat="1" ht="11.4">
      <c r="A98" s="230" t="s">
        <v>1834</v>
      </c>
      <c r="B98" s="231"/>
      <c r="C98" s="231"/>
      <c r="D98" s="231"/>
      <c r="E98" s="231"/>
      <c r="F98" s="231"/>
      <c r="G98" s="231"/>
      <c r="H98" s="231"/>
      <c r="I98" s="231"/>
      <c r="J98" s="231"/>
      <c r="K98" s="232"/>
    </row>
    <row r="99" spans="1:11" s="233" customFormat="1" ht="11.4">
      <c r="A99" s="170" t="s">
        <v>1835</v>
      </c>
      <c r="B99" s="234">
        <f>'Sources and Uses Budget'!C99</f>
        <v>9650909</v>
      </c>
      <c r="C99" s="235">
        <f>B99</f>
        <v>9650909</v>
      </c>
      <c r="D99" s="235"/>
      <c r="E99" s="234">
        <f>'Sources and Uses Budget'!S99</f>
        <v>9650909</v>
      </c>
      <c r="F99" s="235">
        <f>E99</f>
        <v>9650909</v>
      </c>
      <c r="G99" s="235"/>
      <c r="H99" s="234">
        <f>'Sources and Uses Budget'!T99</f>
        <v>0</v>
      </c>
      <c r="I99" s="235"/>
      <c r="J99" s="235"/>
      <c r="K99" s="232"/>
    </row>
    <row r="100" spans="1:11" s="233" customFormat="1" ht="11.4">
      <c r="A100" s="170" t="s">
        <v>1836</v>
      </c>
      <c r="B100" s="234">
        <f>'Sources and Uses Budget'!C100</f>
        <v>0</v>
      </c>
      <c r="C100" s="235"/>
      <c r="D100" s="235"/>
      <c r="E100" s="234">
        <f>'Sources and Uses Budget'!S100</f>
        <v>0</v>
      </c>
      <c r="F100" s="235"/>
      <c r="G100" s="235"/>
      <c r="H100" s="234">
        <f>'Sources and Uses Budget'!T100</f>
        <v>0</v>
      </c>
      <c r="I100" s="235"/>
      <c r="J100" s="235"/>
      <c r="K100" s="232"/>
    </row>
    <row r="101" spans="1:11" s="233" customFormat="1" ht="11.4">
      <c r="A101" s="170" t="s">
        <v>1837</v>
      </c>
      <c r="B101" s="234">
        <f>'Sources and Uses Budget'!C101</f>
        <v>0</v>
      </c>
      <c r="C101" s="235"/>
      <c r="D101" s="235"/>
      <c r="E101" s="234">
        <f>'Sources and Uses Budget'!S101</f>
        <v>0</v>
      </c>
      <c r="F101" s="235"/>
      <c r="G101" s="235"/>
      <c r="H101" s="234">
        <f>'Sources and Uses Budget'!T101</f>
        <v>0</v>
      </c>
      <c r="I101" s="235"/>
      <c r="J101" s="235"/>
      <c r="K101" s="232"/>
    </row>
    <row r="102" spans="1:11" s="233" customFormat="1" ht="12" customHeight="1">
      <c r="A102" s="170" t="s">
        <v>1838</v>
      </c>
      <c r="B102" s="234">
        <f>'Sources and Uses Budget'!C102</f>
        <v>0</v>
      </c>
      <c r="C102" s="235"/>
      <c r="D102" s="235"/>
      <c r="E102" s="234">
        <f>'Sources and Uses Budget'!S102</f>
        <v>0</v>
      </c>
      <c r="F102" s="235"/>
      <c r="G102" s="235"/>
      <c r="H102" s="234">
        <f>'Sources and Uses Budget'!T102</f>
        <v>0</v>
      </c>
      <c r="I102" s="235"/>
      <c r="J102" s="235"/>
      <c r="K102" s="232"/>
    </row>
    <row r="103" spans="1:11" s="233" customFormat="1" ht="11.4">
      <c r="A103" s="237" t="str">
        <f>'Sources and Uses Budget'!$A103</f>
        <v>Other: (Specify)</v>
      </c>
      <c r="B103" s="234">
        <f>'Sources and Uses Budget'!C103</f>
        <v>0</v>
      </c>
      <c r="C103" s="235"/>
      <c r="D103" s="235"/>
      <c r="E103" s="234">
        <f>'Sources and Uses Budget'!S103</f>
        <v>0</v>
      </c>
      <c r="F103" s="235"/>
      <c r="G103" s="235"/>
      <c r="H103" s="234">
        <f>'Sources and Uses Budget'!T103</f>
        <v>0</v>
      </c>
      <c r="I103" s="235"/>
      <c r="J103" s="235"/>
      <c r="K103" s="232"/>
    </row>
    <row r="104" spans="1:11" s="233" customFormat="1">
      <c r="A104" s="238" t="s">
        <v>1839</v>
      </c>
      <c r="B104" s="234">
        <f>'Sources and Uses Budget'!C104</f>
        <v>9650909</v>
      </c>
      <c r="C104" s="234">
        <f>SUM(C99:C103)</f>
        <v>9650909</v>
      </c>
      <c r="D104" s="234">
        <f>SUM(D99:D103)</f>
        <v>0</v>
      </c>
      <c r="E104" s="234">
        <f>'Sources and Uses Budget'!S104</f>
        <v>9650909</v>
      </c>
      <c r="F104" s="240">
        <f>SUM(F99:F103)</f>
        <v>9650909</v>
      </c>
      <c r="G104" s="240">
        <f>SUM(G99:G103)</f>
        <v>0</v>
      </c>
      <c r="H104" s="234">
        <f>'Sources and Uses Budget'!T104</f>
        <v>0</v>
      </c>
      <c r="I104" s="240">
        <f>SUM(I99:I103)</f>
        <v>0</v>
      </c>
      <c r="J104" s="240">
        <f>SUM(J99:J103)</f>
        <v>0</v>
      </c>
      <c r="K104" s="232"/>
    </row>
    <row r="105" spans="1:11" s="233" customFormat="1">
      <c r="A105" s="238" t="s">
        <v>1887</v>
      </c>
      <c r="B105" s="234">
        <f>'Sources and Uses Budget'!C105</f>
        <v>77153162</v>
      </c>
      <c r="C105" s="240">
        <f>SUM(C97+C104)</f>
        <v>77153162</v>
      </c>
      <c r="D105" s="240">
        <f>SUM(D97+D104)</f>
        <v>0</v>
      </c>
      <c r="E105" s="234">
        <f>'Sources and Uses Budget'!S105</f>
        <v>73990303</v>
      </c>
      <c r="F105" s="240">
        <f>F97+F104</f>
        <v>73990303</v>
      </c>
      <c r="G105" s="240">
        <f>G97+G104</f>
        <v>0</v>
      </c>
      <c r="H105" s="234">
        <f>'Sources and Uses Budget'!T105</f>
        <v>0</v>
      </c>
      <c r="I105" s="240">
        <f>I97+I104</f>
        <v>0</v>
      </c>
      <c r="J105" s="240">
        <f>J97+J104</f>
        <v>0</v>
      </c>
      <c r="K105" s="232"/>
    </row>
    <row r="106" spans="1:11" s="233" customFormat="1">
      <c r="A106" s="244"/>
      <c r="B106" s="245"/>
      <c r="C106" s="245"/>
      <c r="D106" s="245"/>
      <c r="E106" s="234">
        <f>'Sources and Uses Budget'!S106</f>
        <v>0</v>
      </c>
      <c r="F106" s="235"/>
      <c r="G106" s="235"/>
      <c r="H106" s="234">
        <f>'Sources and Uses Budget'!T106</f>
        <v>0</v>
      </c>
      <c r="I106" s="235"/>
      <c r="J106" s="235"/>
      <c r="K106" s="232"/>
    </row>
    <row r="107" spans="1:11" s="233" customFormat="1">
      <c r="A107" s="246"/>
      <c r="B107" s="247"/>
      <c r="C107" s="245"/>
      <c r="D107" s="312" t="s">
        <v>1888</v>
      </c>
      <c r="E107" s="234">
        <f>'Sources and Uses Budget'!S107</f>
        <v>73990303</v>
      </c>
      <c r="F107" s="240">
        <f>F105+F106</f>
        <v>73990303</v>
      </c>
      <c r="G107" s="240">
        <f>G105+G106</f>
        <v>0</v>
      </c>
      <c r="H107" s="234">
        <f>'Sources and Uses Budget'!T107</f>
        <v>0</v>
      </c>
      <c r="I107" s="240">
        <f>I105+I106</f>
        <v>0</v>
      </c>
      <c r="J107" s="240">
        <f>J105+J106</f>
        <v>0</v>
      </c>
      <c r="K107" s="232"/>
    </row>
    <row r="108" spans="1:11" s="233" customFormat="1">
      <c r="A108" s="246"/>
      <c r="B108" s="248"/>
      <c r="C108" s="248"/>
      <c r="D108" s="248"/>
      <c r="J108" s="249"/>
      <c r="K108" s="232"/>
    </row>
    <row r="109" spans="1:11" s="233" customFormat="1">
      <c r="A109" s="246"/>
      <c r="B109" s="248"/>
      <c r="C109" s="248"/>
      <c r="D109" s="248"/>
      <c r="J109" s="249"/>
      <c r="K109" s="232"/>
    </row>
    <row r="110" spans="1:11" s="233" customFormat="1">
      <c r="A110" s="246"/>
      <c r="B110" s="248"/>
      <c r="C110" s="248"/>
      <c r="D110" s="248"/>
      <c r="J110" s="249"/>
      <c r="K110" s="232"/>
    </row>
    <row r="111" spans="1:11" s="233" customFormat="1" ht="13.2">
      <c r="A111" s="250"/>
      <c r="B111" s="248"/>
      <c r="C111" s="248"/>
      <c r="D111" s="248"/>
      <c r="J111" s="249"/>
      <c r="K111" s="232"/>
    </row>
    <row r="112" spans="1:11" s="233" customFormat="1" ht="13.2">
      <c r="A112" s="250"/>
      <c r="B112" s="248"/>
      <c r="C112" s="248"/>
      <c r="D112" s="248"/>
      <c r="J112" s="249"/>
      <c r="K112" s="232"/>
    </row>
    <row r="113" spans="1:11" s="233" customFormat="1" ht="15.6">
      <c r="A113" s="251"/>
      <c r="B113" s="248"/>
      <c r="C113" s="248"/>
      <c r="D113" s="248"/>
      <c r="J113" s="249"/>
      <c r="K113" s="232"/>
    </row>
    <row r="114" spans="1:11" s="233" customFormat="1" ht="13.2">
      <c r="A114" s="250"/>
      <c r="J114" s="249"/>
      <c r="K114" s="232"/>
    </row>
    <row r="115" spans="1:11" s="233" customFormat="1" ht="15.6">
      <c r="A115" s="251"/>
      <c r="J115" s="249"/>
      <c r="K115" s="232"/>
    </row>
    <row r="116" spans="1:11" s="233" customFormat="1" ht="15.6">
      <c r="A116" s="251"/>
      <c r="J116" s="249"/>
      <c r="K116" s="232"/>
    </row>
    <row r="117" spans="1:11" s="233" customFormat="1" ht="11.4">
      <c r="B117" s="248"/>
      <c r="C117" s="248"/>
      <c r="D117" s="248"/>
      <c r="J117" s="249"/>
      <c r="K117" s="232"/>
    </row>
    <row r="118" spans="1:11" s="233" customFormat="1" ht="11.4">
      <c r="J118" s="249"/>
      <c r="K118" s="232"/>
    </row>
    <row r="119" spans="1:11" s="233" customFormat="1" ht="11.4">
      <c r="J119" s="249"/>
      <c r="K119" s="232"/>
    </row>
    <row r="120" spans="1:11" s="233" customFormat="1" ht="11.4">
      <c r="J120" s="249"/>
      <c r="K120" s="232"/>
    </row>
    <row r="121" spans="1:11" s="233" customFormat="1" ht="15.6">
      <c r="A121" s="251"/>
      <c r="J121" s="249"/>
      <c r="K121" s="232"/>
    </row>
    <row r="122" spans="1:11" s="253" customFormat="1" ht="15.6">
      <c r="A122" s="252"/>
      <c r="J122" s="254"/>
      <c r="K122" s="255"/>
    </row>
    <row r="123" spans="1:11" s="233" customFormat="1" ht="11.4">
      <c r="A123" s="256"/>
      <c r="J123" s="249"/>
      <c r="K123" s="232"/>
    </row>
    <row r="124" spans="1:11" s="233" customFormat="1" ht="11.4">
      <c r="B124" s="257"/>
      <c r="D124" s="1801"/>
      <c r="E124" s="1276"/>
      <c r="F124" s="1276"/>
      <c r="G124" s="1276"/>
      <c r="H124" s="1276"/>
      <c r="I124" s="1276"/>
      <c r="J124" s="249"/>
      <c r="K124" s="232"/>
    </row>
    <row r="125" spans="1:11" s="233" customFormat="1" ht="13.2">
      <c r="A125" s="1135"/>
      <c r="B125" s="257"/>
      <c r="C125" s="1135"/>
      <c r="D125" s="1276"/>
      <c r="E125" s="1276"/>
      <c r="F125" s="1276"/>
      <c r="G125" s="1276"/>
      <c r="H125" s="1276"/>
      <c r="I125" s="1276"/>
      <c r="J125" s="249"/>
      <c r="K125" s="232"/>
    </row>
    <row r="126" spans="1:11" s="233" customFormat="1" ht="13.2">
      <c r="A126" s="1135"/>
      <c r="B126" s="257"/>
      <c r="C126" s="1135"/>
      <c r="D126" s="1276"/>
      <c r="E126" s="1276"/>
      <c r="F126" s="1276"/>
      <c r="G126" s="1276"/>
      <c r="H126" s="1276"/>
      <c r="I126" s="1276"/>
      <c r="J126" s="249"/>
      <c r="K126" s="232"/>
    </row>
    <row r="127" spans="1:11" s="233" customFormat="1" ht="13.2">
      <c r="A127" s="1135"/>
      <c r="B127" s="257"/>
      <c r="C127" s="1135"/>
      <c r="D127" s="258"/>
      <c r="E127" s="1135"/>
      <c r="F127" s="1135"/>
      <c r="G127" s="1135"/>
      <c r="J127" s="249"/>
      <c r="K127" s="232"/>
    </row>
    <row r="128" spans="1:11" s="233" customFormat="1" ht="13.2">
      <c r="A128" s="1135"/>
      <c r="B128" s="257"/>
      <c r="C128" s="1135"/>
      <c r="D128" s="258"/>
      <c r="E128" s="1135"/>
      <c r="F128" s="1135"/>
      <c r="G128" s="1135"/>
      <c r="J128" s="249"/>
      <c r="K128" s="232"/>
    </row>
    <row r="129" spans="1:11" s="233" customFormat="1" ht="13.2">
      <c r="A129" s="1135"/>
      <c r="B129" s="257"/>
      <c r="C129" s="1135"/>
      <c r="D129" s="1135"/>
      <c r="E129" s="1135"/>
      <c r="F129" s="1135"/>
      <c r="G129" s="1135"/>
      <c r="J129" s="249"/>
      <c r="K129" s="232"/>
    </row>
    <row r="130" spans="1:11" s="233" customFormat="1" ht="13.2">
      <c r="A130" s="1135"/>
      <c r="B130" s="257"/>
      <c r="C130" s="1135"/>
      <c r="D130" s="1135"/>
      <c r="E130" s="1135"/>
      <c r="F130" s="1135"/>
      <c r="G130" s="1135"/>
      <c r="J130" s="249"/>
      <c r="K130" s="232"/>
    </row>
    <row r="131" spans="1:11" s="233" customFormat="1" ht="13.2">
      <c r="A131" s="1135"/>
      <c r="B131" s="259"/>
      <c r="C131" s="1135"/>
      <c r="D131" s="1135"/>
      <c r="E131" s="1135"/>
      <c r="F131" s="1135"/>
      <c r="G131" s="1135"/>
      <c r="J131" s="249"/>
      <c r="K131" s="232"/>
    </row>
    <row r="132" spans="1:11" s="233" customFormat="1" ht="13.2">
      <c r="A132" s="260"/>
      <c r="B132" s="261"/>
      <c r="C132" s="1135"/>
      <c r="D132" s="262"/>
      <c r="E132" s="1135"/>
      <c r="F132" s="1135"/>
      <c r="G132" s="1135"/>
      <c r="J132" s="249"/>
      <c r="K132" s="232"/>
    </row>
    <row r="133" spans="1:11" s="233" customFormat="1" ht="13.2">
      <c r="A133" s="1184"/>
      <c r="B133" s="1135"/>
      <c r="C133" s="1135"/>
      <c r="D133" s="1135"/>
      <c r="E133" s="1135"/>
      <c r="F133" s="1135"/>
      <c r="G133" s="1135"/>
      <c r="J133" s="249"/>
      <c r="K133" s="232"/>
    </row>
    <row r="134" spans="1:11" s="233" customFormat="1" ht="13.2">
      <c r="A134" s="1184"/>
      <c r="B134" s="1135"/>
      <c r="C134" s="1135"/>
      <c r="D134" s="1135"/>
      <c r="E134" s="1135"/>
      <c r="F134" s="1135"/>
      <c r="G134" s="1135"/>
      <c r="J134" s="249"/>
      <c r="K134" s="232"/>
    </row>
    <row r="135" spans="1:11" s="233" customFormat="1" ht="13.2">
      <c r="A135" s="1127"/>
      <c r="B135" s="1135"/>
      <c r="C135" s="1135"/>
      <c r="D135" s="1135"/>
      <c r="E135" s="1135"/>
      <c r="F135" s="1135"/>
      <c r="G135" s="1135"/>
      <c r="J135" s="249"/>
      <c r="K135" s="232"/>
    </row>
    <row r="136" spans="1:11" s="233" customFormat="1" ht="13.2">
      <c r="A136" s="250"/>
      <c r="B136" s="1135"/>
      <c r="C136" s="1135"/>
      <c r="D136" s="1135"/>
      <c r="E136" s="1135"/>
      <c r="F136" s="1135"/>
      <c r="G136" s="1135"/>
      <c r="J136" s="249"/>
      <c r="K136" s="232"/>
    </row>
    <row r="137" spans="1:11" ht="13.2">
      <c r="A137" s="1184"/>
      <c r="B137" s="1135"/>
      <c r="C137" s="1135"/>
      <c r="D137" s="1135"/>
      <c r="E137" s="1135"/>
      <c r="F137" s="1135"/>
      <c r="G137" s="1135"/>
    </row>
    <row r="138" spans="1:11" ht="12" customHeight="1">
      <c r="A138" s="1184"/>
      <c r="B138" s="1135"/>
      <c r="C138" s="1135"/>
      <c r="D138" s="1135"/>
      <c r="E138" s="1135"/>
      <c r="F138" s="1135"/>
      <c r="G138" s="1135"/>
    </row>
    <row r="139" spans="1:11" ht="12" customHeight="1">
      <c r="A139" s="1802"/>
      <c r="B139" s="1276"/>
      <c r="C139" s="1276"/>
      <c r="D139" s="229"/>
      <c r="E139" s="1135"/>
      <c r="F139" s="1135"/>
      <c r="G139" s="1135"/>
    </row>
    <row r="140" spans="1:11" ht="12" customHeight="1">
      <c r="A140" s="1247"/>
      <c r="B140" s="1247"/>
      <c r="C140" s="1247"/>
      <c r="D140" s="229"/>
      <c r="E140" s="1135"/>
      <c r="F140" s="1135"/>
      <c r="G140" s="1135"/>
    </row>
    <row r="141" spans="1:11" ht="12" customHeight="1">
      <c r="A141" s="1184"/>
      <c r="B141" s="1135"/>
      <c r="C141" s="1135"/>
      <c r="D141" s="229"/>
      <c r="E141" s="1135"/>
      <c r="F141" s="1135"/>
      <c r="G141" s="1135"/>
      <c r="H141" s="264"/>
      <c r="I141" s="264"/>
    </row>
    <row r="142" spans="1:11" ht="12" customHeight="1">
      <c r="A142" s="266"/>
      <c r="B142" s="229"/>
      <c r="C142" s="229"/>
      <c r="D142" s="229"/>
      <c r="E142" s="1135"/>
      <c r="F142" s="1135"/>
      <c r="G142" s="1135"/>
      <c r="H142" s="264"/>
      <c r="I142" s="26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3" workbookViewId="0">
      <selection activeCell="AP4" sqref="AP4:AU4"/>
    </sheetView>
  </sheetViews>
  <sheetFormatPr defaultColWidth="2.6640625" defaultRowHeight="15.75" customHeight="1"/>
  <cols>
    <col min="1" max="8" width="2.6640625" style="967"/>
    <col min="9" max="9" width="7.6640625" style="967" customWidth="1"/>
    <col min="10" max="13" width="2.6640625" style="967"/>
    <col min="14" max="14" width="4.6640625" style="967" customWidth="1"/>
    <col min="15" max="19" width="2.6640625" style="967"/>
    <col min="20" max="20" width="3.6640625" style="967" customWidth="1"/>
    <col min="21" max="37" width="2.6640625" style="967"/>
    <col min="38" max="38" width="3" style="967" customWidth="1"/>
    <col min="39" max="45" width="2.6640625" style="967"/>
    <col min="46" max="46" width="4.6640625" style="967" customWidth="1"/>
    <col min="47" max="64" width="2.6640625" style="967"/>
    <col min="65" max="65" width="10.33203125" style="967" hidden="1" customWidth="1"/>
    <col min="66" max="66" width="5.6640625" style="1032" bestFit="1" customWidth="1"/>
    <col min="67" max="68" width="5.6640625" style="1032" customWidth="1"/>
    <col min="69" max="69" width="8" style="1032" customWidth="1"/>
    <col min="70" max="70" width="6" style="1032" customWidth="1"/>
    <col min="71" max="71" width="6.33203125" style="1032" customWidth="1"/>
    <col min="72" max="76" width="5.6640625" style="1032" customWidth="1"/>
    <col min="77" max="77" width="6.33203125" style="1032" bestFit="1" customWidth="1"/>
    <col min="78" max="78" width="5.6640625" style="967" bestFit="1" customWidth="1"/>
    <col min="79" max="16384" width="2.6640625" style="967"/>
  </cols>
  <sheetData>
    <row r="1" spans="1:65" ht="15.75" customHeight="1">
      <c r="A1" s="1814" t="s">
        <v>1889</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c r="AR1" s="1815"/>
      <c r="AS1" s="1815"/>
      <c r="AT1" s="1815"/>
      <c r="AU1" s="1815"/>
      <c r="AV1" s="1815"/>
      <c r="AW1" s="1815"/>
      <c r="AX1" s="1815"/>
      <c r="AY1" s="1815"/>
      <c r="AZ1" s="1815"/>
      <c r="BA1" s="1815"/>
      <c r="BB1" s="1815"/>
      <c r="BC1" s="1815"/>
      <c r="BD1" s="1815"/>
      <c r="BE1" s="1816"/>
    </row>
    <row r="2" spans="1:65" ht="15.75" customHeight="1">
      <c r="A2" s="1817" t="s">
        <v>1890</v>
      </c>
      <c r="B2" s="1818"/>
      <c r="C2" s="1818"/>
      <c r="D2" s="1818"/>
      <c r="E2" s="1818"/>
      <c r="F2" s="1818"/>
      <c r="G2" s="1818"/>
      <c r="H2" s="1818"/>
      <c r="I2" s="1818"/>
      <c r="J2" s="1818"/>
      <c r="K2" s="1818"/>
      <c r="L2" s="1818"/>
      <c r="M2" s="1818"/>
      <c r="N2" s="1818"/>
      <c r="O2" s="1818"/>
      <c r="P2" s="1818"/>
      <c r="Q2" s="1818"/>
      <c r="R2" s="1818"/>
      <c r="S2" s="1818"/>
      <c r="T2" s="1818"/>
      <c r="U2" s="1818"/>
      <c r="V2" s="1818"/>
      <c r="W2" s="1818"/>
      <c r="X2" s="1818"/>
      <c r="Y2" s="1818"/>
      <c r="Z2" s="1818"/>
      <c r="AA2" s="1818"/>
      <c r="AB2" s="1818"/>
      <c r="AC2" s="1818"/>
      <c r="AD2" s="1818"/>
      <c r="AE2" s="1818"/>
      <c r="AF2" s="1818"/>
      <c r="AG2" s="1818"/>
      <c r="AH2" s="1818"/>
      <c r="AI2" s="1818"/>
      <c r="AJ2" s="1818"/>
      <c r="AK2" s="1818"/>
      <c r="AL2" s="1818"/>
      <c r="AM2" s="1818"/>
      <c r="AN2" s="1818"/>
      <c r="AO2" s="1818"/>
      <c r="AP2" s="1818"/>
      <c r="AQ2" s="1818"/>
      <c r="AR2" s="1818"/>
      <c r="AS2" s="1818"/>
      <c r="AT2" s="1818"/>
      <c r="AU2" s="1818"/>
      <c r="AV2" s="1818"/>
      <c r="AW2" s="1818"/>
      <c r="AX2" s="1818"/>
      <c r="AY2" s="1818"/>
      <c r="AZ2" s="1818"/>
      <c r="BA2" s="1818"/>
      <c r="BB2" s="1818"/>
      <c r="BC2" s="1818"/>
      <c r="BD2" s="1818"/>
      <c r="BE2" s="1819"/>
      <c r="BF2" s="968"/>
    </row>
    <row r="3" spans="1:65" ht="15.75" customHeight="1" thickBot="1">
      <c r="A3" s="969"/>
      <c r="B3" s="970"/>
      <c r="C3" s="970"/>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1187"/>
    </row>
    <row r="4" spans="1:65" ht="15.75" customHeight="1" thickBot="1">
      <c r="A4" s="969"/>
      <c r="B4" s="971" t="s">
        <v>77</v>
      </c>
      <c r="C4" s="971"/>
      <c r="D4" s="971"/>
      <c r="E4" s="971"/>
      <c r="F4" s="971"/>
      <c r="G4" s="970"/>
      <c r="H4" s="970"/>
      <c r="I4" s="970"/>
      <c r="J4" s="970"/>
      <c r="K4" s="970"/>
      <c r="L4" s="1806" t="str">
        <f>IF(Application!H18="","",Application!H18)</f>
        <v xml:space="preserve">334 San Antonio Apartments </v>
      </c>
      <c r="M4" s="1807"/>
      <c r="N4" s="1807"/>
      <c r="O4" s="1807"/>
      <c r="P4" s="1807"/>
      <c r="Q4" s="1807"/>
      <c r="R4" s="1807"/>
      <c r="S4" s="1807"/>
      <c r="T4" s="1807"/>
      <c r="U4" s="1807"/>
      <c r="V4" s="1807"/>
      <c r="W4" s="1807"/>
      <c r="X4" s="1807"/>
      <c r="Y4" s="1807"/>
      <c r="Z4" s="1807"/>
      <c r="AA4" s="1807"/>
      <c r="AB4" s="1807"/>
      <c r="AC4" s="1808"/>
      <c r="AD4" s="970"/>
      <c r="AE4" s="970"/>
      <c r="AF4" s="1820" t="s">
        <v>1891</v>
      </c>
      <c r="AG4" s="1820"/>
      <c r="AH4" s="1820"/>
      <c r="AI4" s="1820"/>
      <c r="AJ4" s="1820"/>
      <c r="AK4" s="1820"/>
      <c r="AL4" s="1820"/>
      <c r="AM4" s="1820"/>
      <c r="AN4" s="1820"/>
      <c r="AO4" s="1820"/>
      <c r="AP4" s="1821"/>
      <c r="AQ4" s="1822"/>
      <c r="AR4" s="1822"/>
      <c r="AS4" s="1822"/>
      <c r="AT4" s="1822"/>
      <c r="AU4" s="1822"/>
      <c r="AV4" s="970"/>
      <c r="AW4" s="970"/>
      <c r="AX4" s="970"/>
      <c r="AY4" s="970"/>
      <c r="AZ4" s="970"/>
      <c r="BA4" s="970"/>
      <c r="BB4" s="970"/>
      <c r="BC4" s="970"/>
      <c r="BD4" s="970"/>
      <c r="BE4" s="1187"/>
    </row>
    <row r="5" spans="1:65" ht="15.75" customHeight="1" thickBot="1">
      <c r="A5" s="969"/>
      <c r="B5" s="970"/>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1820" t="s">
        <v>1892</v>
      </c>
      <c r="AG5" s="1820"/>
      <c r="AH5" s="1820"/>
      <c r="AI5" s="1820"/>
      <c r="AJ5" s="1820"/>
      <c r="AK5" s="1820"/>
      <c r="AL5" s="1820"/>
      <c r="AM5" s="1820"/>
      <c r="AN5" s="1820"/>
      <c r="AO5" s="1820"/>
      <c r="AP5" s="1821"/>
      <c r="AQ5" s="1822"/>
      <c r="AR5" s="1822"/>
      <c r="AS5" s="1822"/>
      <c r="AT5" s="1822"/>
      <c r="AU5" s="1822"/>
      <c r="AV5" s="970"/>
      <c r="AW5" s="970"/>
      <c r="AX5" s="970"/>
      <c r="AY5" s="970"/>
      <c r="AZ5" s="970"/>
      <c r="BA5" s="970"/>
      <c r="BB5" s="970"/>
      <c r="BC5" s="970"/>
      <c r="BD5" s="970"/>
      <c r="BE5" s="1187"/>
    </row>
    <row r="6" spans="1:65" ht="15.75" customHeight="1" thickBot="1">
      <c r="A6" s="969"/>
      <c r="B6" s="971" t="s">
        <v>1893</v>
      </c>
      <c r="C6" s="970"/>
      <c r="D6" s="970"/>
      <c r="E6" s="970"/>
      <c r="F6" s="970"/>
      <c r="G6" s="970"/>
      <c r="H6" s="970"/>
      <c r="I6" s="970"/>
      <c r="J6" s="970"/>
      <c r="K6" s="970"/>
      <c r="L6" s="1806" t="str">
        <f>IF(Application!H16="","",Application!H16)</f>
        <v>334 San Antonio LP</v>
      </c>
      <c r="M6" s="1807"/>
      <c r="N6" s="1807"/>
      <c r="O6" s="1807"/>
      <c r="P6" s="1807"/>
      <c r="Q6" s="1807"/>
      <c r="R6" s="1807"/>
      <c r="S6" s="1807"/>
      <c r="T6" s="1807"/>
      <c r="U6" s="1807"/>
      <c r="V6" s="1807"/>
      <c r="W6" s="1807"/>
      <c r="X6" s="1807"/>
      <c r="Y6" s="1807"/>
      <c r="Z6" s="1807"/>
      <c r="AA6" s="1807"/>
      <c r="AB6" s="1807"/>
      <c r="AC6" s="1808"/>
      <c r="AD6" s="970"/>
      <c r="AE6" s="970"/>
      <c r="AF6" s="1809" t="s">
        <v>1894</v>
      </c>
      <c r="AG6" s="1809"/>
      <c r="AH6" s="1809"/>
      <c r="AI6" s="1809"/>
      <c r="AJ6" s="1809"/>
      <c r="AK6" s="1809"/>
      <c r="AL6" s="1809"/>
      <c r="AM6" s="1809"/>
      <c r="AN6" s="1809"/>
      <c r="AO6" s="1809"/>
      <c r="AP6" s="1810"/>
      <c r="AQ6" s="1810"/>
      <c r="AR6" s="1810"/>
      <c r="AS6" s="1810"/>
      <c r="AT6" s="1810"/>
      <c r="AU6" s="1810"/>
      <c r="AV6" s="970"/>
      <c r="AW6" s="970"/>
      <c r="AX6" s="970"/>
      <c r="AY6" s="970"/>
      <c r="AZ6" s="970"/>
      <c r="BA6" s="970"/>
      <c r="BB6" s="970"/>
      <c r="BC6" s="970"/>
      <c r="BD6" s="970"/>
      <c r="BE6" s="1187"/>
    </row>
    <row r="7" spans="1:65" ht="15" thickBot="1">
      <c r="A7" s="969"/>
      <c r="B7" s="970"/>
      <c r="C7" s="970"/>
      <c r="D7" s="970"/>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1809" t="s">
        <v>1895</v>
      </c>
      <c r="AG7" s="1809"/>
      <c r="AH7" s="1809"/>
      <c r="AI7" s="1809"/>
      <c r="AJ7" s="1809"/>
      <c r="AK7" s="1809"/>
      <c r="AL7" s="1809"/>
      <c r="AM7" s="1809"/>
      <c r="AN7" s="1809"/>
      <c r="AO7" s="1809"/>
      <c r="AP7" s="1810"/>
      <c r="AQ7" s="1810"/>
      <c r="AR7" s="1810"/>
      <c r="AS7" s="1810"/>
      <c r="AT7" s="1810"/>
      <c r="AU7" s="1810"/>
      <c r="AV7" s="970"/>
      <c r="AW7" s="970"/>
      <c r="AX7" s="970"/>
      <c r="AY7" s="970"/>
      <c r="AZ7" s="970"/>
      <c r="BA7" s="970"/>
      <c r="BB7" s="970"/>
      <c r="BC7" s="970"/>
      <c r="BD7" s="970"/>
      <c r="BE7" s="1187"/>
    </row>
    <row r="8" spans="1:65" ht="15" thickBot="1">
      <c r="A8" s="969"/>
      <c r="B8" s="971" t="s">
        <v>1896</v>
      </c>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1811" t="str">
        <f>Application!T197</f>
        <v>No</v>
      </c>
      <c r="AC8" s="1812"/>
      <c r="AD8" s="1813"/>
      <c r="AE8" s="970"/>
      <c r="AF8" s="1809" t="s">
        <v>1897</v>
      </c>
      <c r="AG8" s="1809"/>
      <c r="AH8" s="1809"/>
      <c r="AI8" s="1809"/>
      <c r="AJ8" s="1809"/>
      <c r="AK8" s="1809"/>
      <c r="AL8" s="1809"/>
      <c r="AM8" s="1809"/>
      <c r="AN8" s="1809"/>
      <c r="AO8" s="1809"/>
      <c r="AP8" s="1810" t="s">
        <v>686</v>
      </c>
      <c r="AQ8" s="1810"/>
      <c r="AR8" s="1810"/>
      <c r="AS8" s="1810"/>
      <c r="AT8" s="1810"/>
      <c r="AU8" s="1810"/>
      <c r="AV8" s="970"/>
      <c r="AW8" s="970"/>
      <c r="AX8" s="970"/>
      <c r="AY8" s="970"/>
      <c r="AZ8" s="970"/>
      <c r="BA8" s="970"/>
      <c r="BB8" s="970"/>
      <c r="BC8" s="970"/>
      <c r="BD8" s="970"/>
      <c r="BE8" s="1187"/>
      <c r="BM8" s="967" t="s">
        <v>1898</v>
      </c>
    </row>
    <row r="9" spans="1:65" ht="14.4">
      <c r="A9" s="970"/>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1820" t="s">
        <v>1899</v>
      </c>
      <c r="AG9" s="1820"/>
      <c r="AH9" s="1820"/>
      <c r="AI9" s="1820"/>
      <c r="AJ9" s="1820"/>
      <c r="AK9" s="1820"/>
      <c r="AL9" s="1820"/>
      <c r="AM9" s="1820"/>
      <c r="AN9" s="1820"/>
      <c r="AO9" s="1820"/>
      <c r="AP9" s="1821"/>
      <c r="AQ9" s="1822"/>
      <c r="AR9" s="1822"/>
      <c r="AS9" s="1822"/>
      <c r="AT9" s="1822"/>
      <c r="AU9" s="1822"/>
      <c r="AV9" s="970"/>
      <c r="AW9" s="970"/>
      <c r="AX9" s="970"/>
      <c r="AY9" s="970"/>
      <c r="AZ9" s="970"/>
      <c r="BA9" s="970"/>
      <c r="BB9" s="970"/>
      <c r="BC9" s="970"/>
      <c r="BD9" s="970"/>
      <c r="BE9" s="1187"/>
      <c r="BM9" s="967" t="s">
        <v>1900</v>
      </c>
    </row>
    <row r="10" spans="1:65" ht="14.4">
      <c r="A10" s="969"/>
      <c r="B10" s="971" t="s">
        <v>1901</v>
      </c>
      <c r="C10" s="971"/>
      <c r="D10" s="971"/>
      <c r="E10" s="971"/>
      <c r="F10" s="971"/>
      <c r="G10" s="971"/>
      <c r="H10" s="971"/>
      <c r="I10" s="971"/>
      <c r="J10" s="971"/>
      <c r="K10" s="971"/>
      <c r="L10" s="971"/>
      <c r="M10" s="970"/>
      <c r="N10" s="1835">
        <f>Application!AO627</f>
        <v>19324895</v>
      </c>
      <c r="O10" s="1835"/>
      <c r="P10" s="1835"/>
      <c r="Q10" s="1835"/>
      <c r="R10" s="1835"/>
      <c r="S10" s="1835"/>
      <c r="T10" s="1835"/>
      <c r="U10" s="970"/>
      <c r="V10" s="970"/>
      <c r="W10" s="970"/>
      <c r="X10" s="972"/>
      <c r="Y10" s="972"/>
      <c r="Z10" s="972"/>
      <c r="AA10" s="972"/>
      <c r="AB10" s="972"/>
      <c r="AC10" s="972"/>
      <c r="AD10" s="972"/>
      <c r="AE10" s="972"/>
      <c r="AF10" s="1820" t="s">
        <v>1902</v>
      </c>
      <c r="AG10" s="1820"/>
      <c r="AH10" s="1820"/>
      <c r="AI10" s="1820"/>
      <c r="AJ10" s="1820"/>
      <c r="AK10" s="1820"/>
      <c r="AL10" s="1820"/>
      <c r="AM10" s="1820"/>
      <c r="AN10" s="1820"/>
      <c r="AO10" s="1820"/>
      <c r="AP10" s="1821"/>
      <c r="AQ10" s="1822"/>
      <c r="AR10" s="1822"/>
      <c r="AS10" s="1822"/>
      <c r="AT10" s="1822"/>
      <c r="AU10" s="1822"/>
      <c r="AV10" s="972"/>
      <c r="AW10" s="972"/>
      <c r="AX10" s="970"/>
      <c r="AY10" s="970"/>
      <c r="AZ10" s="970"/>
      <c r="BA10" s="970"/>
      <c r="BB10" s="970"/>
      <c r="BC10" s="970"/>
      <c r="BD10" s="970"/>
      <c r="BE10" s="1187"/>
      <c r="BM10" s="967" t="s">
        <v>1903</v>
      </c>
    </row>
    <row r="11" spans="1:65" ht="14.4">
      <c r="A11" s="969"/>
      <c r="B11" s="971" t="s">
        <v>1904</v>
      </c>
      <c r="C11" s="971"/>
      <c r="D11" s="971"/>
      <c r="E11" s="971"/>
      <c r="F11" s="971"/>
      <c r="G11" s="971"/>
      <c r="H11" s="971"/>
      <c r="I11" s="971"/>
      <c r="J11" s="971"/>
      <c r="K11" s="971"/>
      <c r="L11" s="971"/>
      <c r="M11" s="970"/>
      <c r="N11" s="1835">
        <f>Application!AA934</f>
        <v>0</v>
      </c>
      <c r="O11" s="1835"/>
      <c r="P11" s="1835"/>
      <c r="Q11" s="1835"/>
      <c r="R11" s="1835"/>
      <c r="S11" s="1835"/>
      <c r="T11" s="1835"/>
      <c r="U11" s="970"/>
      <c r="V11" s="970"/>
      <c r="W11" s="970"/>
      <c r="X11" s="972"/>
      <c r="Y11" s="972"/>
      <c r="Z11" s="972"/>
      <c r="AA11" s="972"/>
      <c r="AB11" s="972"/>
      <c r="AC11" s="972"/>
      <c r="AD11" s="972"/>
      <c r="AE11" s="972"/>
      <c r="AF11" s="1820" t="s">
        <v>1905</v>
      </c>
      <c r="AG11" s="1820"/>
      <c r="AH11" s="1820"/>
      <c r="AI11" s="1820"/>
      <c r="AJ11" s="1820"/>
      <c r="AK11" s="1820"/>
      <c r="AL11" s="1820"/>
      <c r="AM11" s="1820"/>
      <c r="AN11" s="1820"/>
      <c r="AO11" s="1820"/>
      <c r="AP11" s="1821"/>
      <c r="AQ11" s="1822"/>
      <c r="AR11" s="1822"/>
      <c r="AS11" s="1822"/>
      <c r="AT11" s="1822"/>
      <c r="AU11" s="1822"/>
      <c r="AV11" s="972"/>
      <c r="AW11" s="972"/>
      <c r="AX11" s="970"/>
      <c r="AY11" s="970"/>
      <c r="AZ11" s="970"/>
      <c r="BA11" s="970"/>
      <c r="BB11" s="970"/>
      <c r="BC11" s="970"/>
      <c r="BD11" s="970"/>
      <c r="BE11" s="1187"/>
      <c r="BM11" s="967" t="s">
        <v>686</v>
      </c>
    </row>
    <row r="12" spans="1:65" ht="15" thickBot="1">
      <c r="A12" s="970"/>
      <c r="B12" s="970"/>
      <c r="C12" s="970"/>
      <c r="D12" s="970"/>
      <c r="E12" s="970"/>
      <c r="F12" s="970"/>
      <c r="G12" s="970"/>
      <c r="H12" s="970"/>
      <c r="I12" s="970"/>
      <c r="J12" s="970"/>
      <c r="K12" s="970"/>
      <c r="L12" s="970"/>
      <c r="M12" s="970"/>
      <c r="N12" s="970"/>
      <c r="O12" s="970"/>
      <c r="P12" s="970"/>
      <c r="Q12" s="970"/>
      <c r="R12" s="970"/>
      <c r="S12" s="970"/>
      <c r="T12" s="970"/>
      <c r="U12" s="970"/>
      <c r="V12" s="970"/>
      <c r="W12" s="970"/>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c r="AU12" s="972"/>
      <c r="AV12" s="970"/>
      <c r="AW12" s="970"/>
      <c r="AX12" s="970"/>
      <c r="AY12" s="970"/>
      <c r="AZ12" s="970"/>
      <c r="BA12" s="970"/>
      <c r="BB12" s="970"/>
      <c r="BC12" s="970"/>
      <c r="BD12" s="970"/>
      <c r="BE12" s="973"/>
      <c r="BM12" s="967" t="s">
        <v>1906</v>
      </c>
    </row>
    <row r="13" spans="1:65" ht="15" thickBot="1">
      <c r="A13" s="970"/>
      <c r="B13" s="1823" t="s">
        <v>1907</v>
      </c>
      <c r="C13" s="1824"/>
      <c r="D13" s="1824"/>
      <c r="E13" s="1824"/>
      <c r="F13" s="1824"/>
      <c r="G13" s="1824"/>
      <c r="H13" s="1824"/>
      <c r="I13" s="1824"/>
      <c r="J13" s="1824"/>
      <c r="K13" s="1824"/>
      <c r="L13" s="1824"/>
      <c r="M13" s="1824"/>
      <c r="N13" s="1824"/>
      <c r="O13" s="1824"/>
      <c r="P13" s="1825"/>
      <c r="Q13" s="1826" t="s">
        <v>844</v>
      </c>
      <c r="R13" s="1827"/>
      <c r="S13" s="1827"/>
      <c r="T13" s="1828"/>
      <c r="U13" s="972"/>
      <c r="V13" s="970"/>
      <c r="W13" s="970"/>
      <c r="X13" s="970"/>
      <c r="Y13" s="970"/>
      <c r="Z13" s="970"/>
      <c r="AA13" s="1829" t="s">
        <v>1908</v>
      </c>
      <c r="AB13" s="1829"/>
      <c r="AC13" s="1829"/>
      <c r="AD13" s="1829"/>
      <c r="AE13" s="1829"/>
      <c r="AF13" s="1829"/>
      <c r="AG13" s="1829"/>
      <c r="AH13" s="1829"/>
      <c r="AI13" s="1829"/>
      <c r="AJ13" s="1829"/>
      <c r="AK13" s="1829"/>
      <c r="AL13" s="1829"/>
      <c r="AM13" s="1829"/>
      <c r="AN13" s="1829"/>
      <c r="AO13" s="1830">
        <f>Application!W473</f>
        <v>15</v>
      </c>
      <c r="AP13" s="1831"/>
      <c r="AQ13" s="1831"/>
      <c r="AR13" s="1831"/>
      <c r="AS13" s="1831"/>
      <c r="AT13" s="972"/>
      <c r="AU13" s="972"/>
      <c r="AV13" s="972"/>
      <c r="AW13" s="972"/>
      <c r="AX13" s="972"/>
      <c r="AY13" s="972"/>
      <c r="AZ13" s="972"/>
      <c r="BA13" s="972"/>
      <c r="BB13" s="972"/>
      <c r="BC13" s="972"/>
      <c r="BD13" s="972"/>
      <c r="BE13" s="973"/>
      <c r="BM13" s="967" t="s">
        <v>1909</v>
      </c>
    </row>
    <row r="14" spans="1:65" ht="15" thickBot="1">
      <c r="A14" s="970"/>
      <c r="B14" s="970"/>
      <c r="C14" s="970"/>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1832" t="s">
        <v>1910</v>
      </c>
      <c r="AB14" s="1832"/>
      <c r="AC14" s="1832"/>
      <c r="AD14" s="1832"/>
      <c r="AE14" s="1832"/>
      <c r="AF14" s="1832"/>
      <c r="AG14" s="1832"/>
      <c r="AH14" s="1832"/>
      <c r="AI14" s="1832"/>
      <c r="AJ14" s="1832"/>
      <c r="AK14" s="1832"/>
      <c r="AL14" s="1832"/>
      <c r="AM14" s="1832"/>
      <c r="AN14" s="1832"/>
      <c r="AO14" s="1833"/>
      <c r="AP14" s="1834"/>
      <c r="AQ14" s="1834"/>
      <c r="AR14" s="1834"/>
      <c r="AS14" s="1834"/>
      <c r="AT14" s="972"/>
      <c r="AU14" s="972"/>
      <c r="AV14" s="972"/>
      <c r="AW14" s="972"/>
      <c r="AX14" s="972"/>
      <c r="AY14" s="972"/>
      <c r="AZ14" s="972"/>
      <c r="BA14" s="972"/>
      <c r="BB14" s="972"/>
      <c r="BC14" s="972"/>
      <c r="BD14" s="972"/>
      <c r="BE14" s="973"/>
    </row>
    <row r="15" spans="1:65" ht="15" thickBot="1">
      <c r="A15" s="970"/>
      <c r="B15" s="1836" t="s">
        <v>1911</v>
      </c>
      <c r="C15" s="1837"/>
      <c r="D15" s="1837"/>
      <c r="E15" s="1837"/>
      <c r="F15" s="1837"/>
      <c r="G15" s="1837"/>
      <c r="H15" s="1837"/>
      <c r="I15" s="1837"/>
      <c r="J15" s="1837"/>
      <c r="K15" s="1837"/>
      <c r="L15" s="1837"/>
      <c r="M15" s="1837"/>
      <c r="N15" s="1837"/>
      <c r="O15" s="1837"/>
      <c r="P15" s="1837"/>
      <c r="Q15" s="1837"/>
      <c r="R15" s="1838"/>
      <c r="S15" s="1839" t="str">
        <f>IF(Application!AB214="","",Application!AB214)</f>
        <v/>
      </c>
      <c r="T15" s="1839"/>
      <c r="U15" s="1839"/>
      <c r="V15" s="1839"/>
      <c r="W15" s="1840"/>
      <c r="X15" s="972"/>
      <c r="Y15" s="970"/>
      <c r="Z15" s="970"/>
      <c r="AA15" s="1829" t="s">
        <v>1912</v>
      </c>
      <c r="AB15" s="1829"/>
      <c r="AC15" s="1829"/>
      <c r="AD15" s="1829"/>
      <c r="AE15" s="1829"/>
      <c r="AF15" s="1829"/>
      <c r="AG15" s="1829"/>
      <c r="AH15" s="1829"/>
      <c r="AI15" s="1829"/>
      <c r="AJ15" s="1829"/>
      <c r="AK15" s="1829"/>
      <c r="AL15" s="1829"/>
      <c r="AM15" s="1829"/>
      <c r="AN15" s="1829"/>
      <c r="AO15" s="1833"/>
      <c r="AP15" s="1834"/>
      <c r="AQ15" s="1834"/>
      <c r="AR15" s="1834"/>
      <c r="AS15" s="1834"/>
      <c r="AT15" s="972"/>
      <c r="AU15" s="972"/>
      <c r="AV15" s="972"/>
      <c r="AW15" s="972"/>
      <c r="AX15" s="972"/>
      <c r="AY15" s="972"/>
      <c r="AZ15" s="972"/>
      <c r="BA15" s="972"/>
      <c r="BB15" s="972"/>
      <c r="BC15" s="972"/>
      <c r="BD15" s="972"/>
      <c r="BE15" s="973"/>
    </row>
    <row r="16" spans="1:65" ht="15" thickBot="1">
      <c r="A16" s="969"/>
      <c r="B16" s="970"/>
      <c r="C16" s="970"/>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c r="AL16" s="970"/>
      <c r="AM16" s="970"/>
      <c r="AN16" s="970"/>
      <c r="AO16" s="970"/>
      <c r="AP16" s="970"/>
      <c r="AQ16" s="970"/>
      <c r="AR16" s="970"/>
      <c r="AS16" s="970"/>
      <c r="AT16" s="970"/>
      <c r="AU16" s="970"/>
      <c r="AV16" s="970"/>
      <c r="AW16" s="970"/>
      <c r="AX16" s="970"/>
      <c r="AY16" s="970"/>
      <c r="AZ16" s="970"/>
      <c r="BA16" s="970"/>
      <c r="BB16" s="970"/>
      <c r="BC16" s="970"/>
      <c r="BD16" s="970"/>
      <c r="BE16" s="973"/>
    </row>
    <row r="17" spans="1:58" ht="14.4">
      <c r="A17" s="970"/>
      <c r="B17" s="1841" t="s">
        <v>1913</v>
      </c>
      <c r="C17" s="1842"/>
      <c r="D17" s="1842"/>
      <c r="E17" s="1842"/>
      <c r="F17" s="1842"/>
      <c r="G17" s="1842"/>
      <c r="H17" s="1842"/>
      <c r="I17" s="1842"/>
      <c r="J17" s="1842"/>
      <c r="K17" s="1842"/>
      <c r="L17" s="1842"/>
      <c r="M17" s="1842"/>
      <c r="N17" s="1842"/>
      <c r="O17" s="1842"/>
      <c r="P17" s="1842"/>
      <c r="Q17" s="1842"/>
      <c r="R17" s="1842"/>
      <c r="S17" s="1842"/>
      <c r="T17" s="1842"/>
      <c r="U17" s="1842"/>
      <c r="V17" s="1842"/>
      <c r="W17" s="1842"/>
      <c r="X17" s="1842"/>
      <c r="Y17" s="1842"/>
      <c r="Z17" s="1842"/>
      <c r="AA17" s="1842"/>
      <c r="AB17" s="1842"/>
      <c r="AC17" s="1842"/>
      <c r="AD17" s="1842"/>
      <c r="AE17" s="1842"/>
      <c r="AF17" s="1842"/>
      <c r="AG17" s="1842"/>
      <c r="AH17" s="1842"/>
      <c r="AI17" s="1842"/>
      <c r="AJ17" s="1842"/>
      <c r="AK17" s="1842"/>
      <c r="AL17" s="1842"/>
      <c r="AM17" s="1842"/>
      <c r="AN17" s="1842"/>
      <c r="AO17" s="1842"/>
      <c r="AP17" s="1842"/>
      <c r="AQ17" s="1842"/>
      <c r="AR17" s="1842"/>
      <c r="AS17" s="1842"/>
      <c r="AT17" s="1842"/>
      <c r="AU17" s="1842"/>
      <c r="AV17" s="1842"/>
      <c r="AW17" s="1842"/>
      <c r="AX17" s="1842"/>
      <c r="AY17" s="1843"/>
      <c r="AZ17" s="970"/>
      <c r="BA17" s="970"/>
      <c r="BB17" s="970"/>
      <c r="BC17" s="970"/>
      <c r="BD17" s="970"/>
      <c r="BE17" s="973"/>
      <c r="BF17" s="968"/>
    </row>
    <row r="18" spans="1:58" ht="15.75" customHeight="1">
      <c r="A18" s="970"/>
      <c r="B18" s="1844" t="s">
        <v>1914</v>
      </c>
      <c r="C18" s="1845"/>
      <c r="D18" s="1845"/>
      <c r="E18" s="1845"/>
      <c r="F18" s="1845"/>
      <c r="G18" s="1845"/>
      <c r="H18" s="1845"/>
      <c r="I18" s="1846"/>
      <c r="J18" s="1847" t="s">
        <v>1915</v>
      </c>
      <c r="K18" s="1848"/>
      <c r="L18" s="1848"/>
      <c r="M18" s="1848"/>
      <c r="N18" s="1848"/>
      <c r="O18" s="1849"/>
      <c r="P18" s="1847" t="s">
        <v>830</v>
      </c>
      <c r="Q18" s="1848"/>
      <c r="R18" s="1848"/>
      <c r="S18" s="1848"/>
      <c r="T18" s="1848"/>
      <c r="U18" s="1849"/>
      <c r="V18" s="1847" t="s">
        <v>831</v>
      </c>
      <c r="W18" s="1848"/>
      <c r="X18" s="1848"/>
      <c r="Y18" s="1848"/>
      <c r="Z18" s="1848"/>
      <c r="AA18" s="1849"/>
      <c r="AB18" s="1847" t="s">
        <v>832</v>
      </c>
      <c r="AC18" s="1848"/>
      <c r="AD18" s="1848"/>
      <c r="AE18" s="1848"/>
      <c r="AF18" s="1848"/>
      <c r="AG18" s="1849"/>
      <c r="AH18" s="1847" t="s">
        <v>833</v>
      </c>
      <c r="AI18" s="1848"/>
      <c r="AJ18" s="1848"/>
      <c r="AK18" s="1848"/>
      <c r="AL18" s="1848"/>
      <c r="AM18" s="1849"/>
      <c r="AN18" s="1847" t="s">
        <v>834</v>
      </c>
      <c r="AO18" s="1848"/>
      <c r="AP18" s="1848"/>
      <c r="AQ18" s="1848"/>
      <c r="AR18" s="1848"/>
      <c r="AS18" s="1849"/>
      <c r="AT18" s="1847" t="s">
        <v>1916</v>
      </c>
      <c r="AU18" s="1848"/>
      <c r="AV18" s="1848"/>
      <c r="AW18" s="1848"/>
      <c r="AX18" s="1848"/>
      <c r="AY18" s="1850"/>
      <c r="AZ18" s="970"/>
      <c r="BA18" s="970"/>
      <c r="BB18" s="970"/>
      <c r="BC18" s="970"/>
      <c r="BD18" s="970"/>
      <c r="BE18" s="973"/>
    </row>
    <row r="19" spans="1:58" ht="14.4">
      <c r="A19" s="970"/>
      <c r="B19" s="1851">
        <v>0.3</v>
      </c>
      <c r="C19" s="1852"/>
      <c r="D19" s="1852"/>
      <c r="E19" s="1852"/>
      <c r="F19" s="1852"/>
      <c r="G19" s="1852"/>
      <c r="H19" s="1852"/>
      <c r="I19" s="1853"/>
      <c r="J19" s="1854">
        <f t="shared" ref="J19:J24" si="0">SUM(P19:AS19)</f>
        <v>11</v>
      </c>
      <c r="K19" s="1855"/>
      <c r="L19" s="1855"/>
      <c r="M19" s="1855"/>
      <c r="N19" s="1855"/>
      <c r="O19" s="1856"/>
      <c r="P19" s="1854" cm="1">
        <f t="array" ref="P19">SUMPRODUCT((Application!$B$718:$B$752 = 'CalHFA Addendum'!P$18)*(Application!$AC$718:$AC$752 = 'CalHFA Addendum'!$B19),Application!$G$718:$G$752)</f>
        <v>0</v>
      </c>
      <c r="Q19" s="1855"/>
      <c r="R19" s="1855"/>
      <c r="S19" s="1855"/>
      <c r="T19" s="1855"/>
      <c r="U19" s="1856"/>
      <c r="V19" s="1854" cm="1">
        <f t="array" ref="V19">SUMPRODUCT((Application!$B$714:$B$738 = 'CalHFA Addendum'!V$18)*(Application!$AC$714:$AC$738 = 'CalHFA Addendum'!$B19),Application!$G$714:$G$738)</f>
        <v>4</v>
      </c>
      <c r="W19" s="1855"/>
      <c r="X19" s="1855"/>
      <c r="Y19" s="1855"/>
      <c r="Z19" s="1855"/>
      <c r="AA19" s="1856"/>
      <c r="AB19" s="1854" cm="1">
        <f t="array" ref="AB19">SUMPRODUCT((Application!$B$714:$B$738 = 'CalHFA Addendum'!AB$18)*(Application!$AC$714:$AC$738 = 'CalHFA Addendum'!$B19),Application!$G$714:$G$738)</f>
        <v>3</v>
      </c>
      <c r="AC19" s="1855"/>
      <c r="AD19" s="1855"/>
      <c r="AE19" s="1855"/>
      <c r="AF19" s="1855"/>
      <c r="AG19" s="1856"/>
      <c r="AH19" s="1854" cm="1">
        <f t="array" ref="AH19">SUMPRODUCT((Application!$B$714:$B$738 = 'CalHFA Addendum'!AH$18)*(Application!$AC$714:$AC$738 = 'CalHFA Addendum'!$B19),Application!$G$714:$G$738)</f>
        <v>4</v>
      </c>
      <c r="AI19" s="1855"/>
      <c r="AJ19" s="1855"/>
      <c r="AK19" s="1855"/>
      <c r="AL19" s="1855"/>
      <c r="AM19" s="1856"/>
      <c r="AN19" s="1854" cm="1">
        <f t="array" ref="AN19">SUMPRODUCT((Application!$B$714:$B$738 = 'CalHFA Addendum'!AN$18)*(Application!$AC$714:$AC$738 = 'CalHFA Addendum'!$B19),Application!$G$714:$G$738)</f>
        <v>0</v>
      </c>
      <c r="AO19" s="1855"/>
      <c r="AP19" s="1855"/>
      <c r="AQ19" s="1855"/>
      <c r="AR19" s="1855"/>
      <c r="AS19" s="1856"/>
      <c r="AT19" s="1857">
        <f t="shared" ref="AT19:AT29" si="1">J19/$J$29</f>
        <v>0.11</v>
      </c>
      <c r="AU19" s="1858"/>
      <c r="AV19" s="1858"/>
      <c r="AW19" s="1858"/>
      <c r="AX19" s="1858"/>
      <c r="AY19" s="1859"/>
      <c r="AZ19" s="974"/>
      <c r="BA19" s="970"/>
      <c r="BB19" s="970"/>
      <c r="BC19" s="970"/>
      <c r="BD19" s="970"/>
      <c r="BE19" s="973"/>
    </row>
    <row r="20" spans="1:58" ht="15" customHeight="1">
      <c r="A20" s="970"/>
      <c r="B20" s="1851">
        <v>0.4</v>
      </c>
      <c r="C20" s="1852"/>
      <c r="D20" s="1852"/>
      <c r="E20" s="1852"/>
      <c r="F20" s="1852"/>
      <c r="G20" s="1852"/>
      <c r="H20" s="1852"/>
      <c r="I20" s="1853"/>
      <c r="J20" s="1854">
        <f t="shared" si="0"/>
        <v>0</v>
      </c>
      <c r="K20" s="1855"/>
      <c r="L20" s="1855"/>
      <c r="M20" s="1855"/>
      <c r="N20" s="1855"/>
      <c r="O20" s="1856"/>
      <c r="P20" s="1854" cm="1">
        <f t="array" ref="P20">SUMPRODUCT((Application!$B$718:$B$752 = 'CalHFA Addendum'!P$18)*(Application!$AC$718:$AC$752 = 'CalHFA Addendum'!$B20),Application!$G$718:$G$752)</f>
        <v>0</v>
      </c>
      <c r="Q20" s="1855"/>
      <c r="R20" s="1855"/>
      <c r="S20" s="1855"/>
      <c r="T20" s="1855"/>
      <c r="U20" s="1856"/>
      <c r="V20" s="1854" cm="1">
        <f t="array" ref="V20">SUMPRODUCT((Application!$B$714:$B$738 = 'CalHFA Addendum'!V$18)*(Application!$AC$714:$AC$738 = 'CalHFA Addendum'!$B20),Application!$G$714:$G$738)</f>
        <v>0</v>
      </c>
      <c r="W20" s="1855"/>
      <c r="X20" s="1855"/>
      <c r="Y20" s="1855"/>
      <c r="Z20" s="1855"/>
      <c r="AA20" s="1856"/>
      <c r="AB20" s="1854" cm="1">
        <f t="array" ref="AB20">SUMPRODUCT((Application!$B$714:$B$738 = 'CalHFA Addendum'!AB$18)*(Application!$AC$714:$AC$738 = 'CalHFA Addendum'!$B20),Application!$G$714:$G$738)</f>
        <v>0</v>
      </c>
      <c r="AC20" s="1855"/>
      <c r="AD20" s="1855"/>
      <c r="AE20" s="1855"/>
      <c r="AF20" s="1855"/>
      <c r="AG20" s="1856"/>
      <c r="AH20" s="1854" cm="1">
        <f t="array" ref="AH20">SUMPRODUCT((Application!$B$714:$B$738 = 'CalHFA Addendum'!AH$18)*(Application!$AC$714:$AC$738 = 'CalHFA Addendum'!$B20),Application!$G$714:$G$738)</f>
        <v>0</v>
      </c>
      <c r="AI20" s="1855"/>
      <c r="AJ20" s="1855"/>
      <c r="AK20" s="1855"/>
      <c r="AL20" s="1855"/>
      <c r="AM20" s="1856"/>
      <c r="AN20" s="1854" cm="1">
        <f t="array" ref="AN20">SUMPRODUCT((Application!$B$714:$B$738 = 'CalHFA Addendum'!AN$18)*(Application!$AC$714:$AC$738 = 'CalHFA Addendum'!$B20),Application!$G$714:$G$738)</f>
        <v>0</v>
      </c>
      <c r="AO20" s="1855"/>
      <c r="AP20" s="1855"/>
      <c r="AQ20" s="1855"/>
      <c r="AR20" s="1855"/>
      <c r="AS20" s="1856"/>
      <c r="AT20" s="1857">
        <f t="shared" si="1"/>
        <v>0</v>
      </c>
      <c r="AU20" s="1858"/>
      <c r="AV20" s="1858"/>
      <c r="AW20" s="1858"/>
      <c r="AX20" s="1858"/>
      <c r="AY20" s="1859"/>
      <c r="AZ20" s="970"/>
      <c r="BA20" s="970"/>
      <c r="BB20" s="970"/>
      <c r="BC20" s="970"/>
      <c r="BD20" s="970"/>
      <c r="BE20" s="973"/>
    </row>
    <row r="21" spans="1:58" ht="14.4">
      <c r="A21" s="970"/>
      <c r="B21" s="1851">
        <v>0.5</v>
      </c>
      <c r="C21" s="1852"/>
      <c r="D21" s="1852"/>
      <c r="E21" s="1852"/>
      <c r="F21" s="1852"/>
      <c r="G21" s="1852"/>
      <c r="H21" s="1852"/>
      <c r="I21" s="1853"/>
      <c r="J21" s="1854">
        <f t="shared" si="0"/>
        <v>11</v>
      </c>
      <c r="K21" s="1855"/>
      <c r="L21" s="1855"/>
      <c r="M21" s="1855"/>
      <c r="N21" s="1855"/>
      <c r="O21" s="1856"/>
      <c r="P21" s="1854" cm="1">
        <f t="array" ref="P21">SUMPRODUCT((Application!$B$714:$B$738 = 'CalHFA Addendum'!P$18)*(Application!$AC$714:$AC$738 = 'CalHFA Addendum'!$B21),Application!$G$714:$G$738)</f>
        <v>0</v>
      </c>
      <c r="Q21" s="1855"/>
      <c r="R21" s="1855"/>
      <c r="S21" s="1855"/>
      <c r="T21" s="1855"/>
      <c r="U21" s="1856"/>
      <c r="V21" s="1854" cm="1">
        <f t="array" ref="V21">SUMPRODUCT((Application!$B$714:$B$738 = 'CalHFA Addendum'!V$18)*(Application!$AC$714:$AC$738 = 'CalHFA Addendum'!$B21),Application!$G$714:$G$738)</f>
        <v>4</v>
      </c>
      <c r="W21" s="1855"/>
      <c r="X21" s="1855"/>
      <c r="Y21" s="1855"/>
      <c r="Z21" s="1855"/>
      <c r="AA21" s="1856"/>
      <c r="AB21" s="1854" cm="1">
        <f t="array" ref="AB21">SUMPRODUCT((Application!$B$714:$B$738 = 'CalHFA Addendum'!AB$18)*(Application!$AC$714:$AC$738 = 'CalHFA Addendum'!$B21),Application!$G$714:$G$738)</f>
        <v>3</v>
      </c>
      <c r="AC21" s="1855"/>
      <c r="AD21" s="1855"/>
      <c r="AE21" s="1855"/>
      <c r="AF21" s="1855"/>
      <c r="AG21" s="1856"/>
      <c r="AH21" s="1854" cm="1">
        <f t="array" ref="AH21">SUMPRODUCT((Application!$B$714:$B$738 = 'CalHFA Addendum'!AH$18)*(Application!$AC$714:$AC$738 = 'CalHFA Addendum'!$B21),Application!$G$714:$G$738)</f>
        <v>4</v>
      </c>
      <c r="AI21" s="1855"/>
      <c r="AJ21" s="1855"/>
      <c r="AK21" s="1855"/>
      <c r="AL21" s="1855"/>
      <c r="AM21" s="1856"/>
      <c r="AN21" s="1854" cm="1">
        <f t="array" ref="AN21">SUMPRODUCT((Application!$B$714:$B$738 = 'CalHFA Addendum'!AN$18)*(Application!$AC$714:$AC$738 = 'CalHFA Addendum'!$B21),Application!$G$714:$G$738)</f>
        <v>0</v>
      </c>
      <c r="AO21" s="1855"/>
      <c r="AP21" s="1855"/>
      <c r="AQ21" s="1855"/>
      <c r="AR21" s="1855"/>
      <c r="AS21" s="1856"/>
      <c r="AT21" s="1857">
        <f t="shared" si="1"/>
        <v>0.11</v>
      </c>
      <c r="AU21" s="1858"/>
      <c r="AV21" s="1858"/>
      <c r="AW21" s="1858"/>
      <c r="AX21" s="1858"/>
      <c r="AY21" s="1859"/>
      <c r="AZ21" s="970"/>
      <c r="BA21" s="970"/>
      <c r="BB21" s="970"/>
      <c r="BC21" s="970"/>
      <c r="BD21" s="970"/>
      <c r="BE21" s="973"/>
    </row>
    <row r="22" spans="1:58" ht="14.4">
      <c r="A22" s="970"/>
      <c r="B22" s="1851">
        <v>0.6</v>
      </c>
      <c r="C22" s="1852"/>
      <c r="D22" s="1852"/>
      <c r="E22" s="1852"/>
      <c r="F22" s="1852"/>
      <c r="G22" s="1852"/>
      <c r="H22" s="1852"/>
      <c r="I22" s="1853"/>
      <c r="J22" s="1854">
        <f t="shared" si="0"/>
        <v>33</v>
      </c>
      <c r="K22" s="1855"/>
      <c r="L22" s="1855"/>
      <c r="M22" s="1855"/>
      <c r="N22" s="1855"/>
      <c r="O22" s="1856"/>
      <c r="P22" s="1854" cm="1">
        <f t="array" ref="P22">SUMPRODUCT((Application!$B$714:$B$738 = 'CalHFA Addendum'!P$18)*(Application!$AC$714:$AC$738 = 'CalHFA Addendum'!$B22),Application!$G$714:$G$738)</f>
        <v>0</v>
      </c>
      <c r="Q22" s="1855"/>
      <c r="R22" s="1855"/>
      <c r="S22" s="1855"/>
      <c r="T22" s="1855"/>
      <c r="U22" s="1856"/>
      <c r="V22" s="1854" cm="1">
        <f t="array" ref="V22">SUMPRODUCT((Application!$B$714:$B$738 = 'CalHFA Addendum'!V$18)*(Application!$AC$714:$AC$738 = 'CalHFA Addendum'!$B22),Application!$G$714:$G$738)</f>
        <v>12</v>
      </c>
      <c r="W22" s="1855"/>
      <c r="X22" s="1855"/>
      <c r="Y22" s="1855"/>
      <c r="Z22" s="1855"/>
      <c r="AA22" s="1856"/>
      <c r="AB22" s="1854" cm="1">
        <f t="array" ref="AB22">SUMPRODUCT((Application!$B$714:$B$738 = 'CalHFA Addendum'!AB$18)*(Application!$AC$714:$AC$738 = 'CalHFA Addendum'!$B22),Application!$G$714:$G$738)</f>
        <v>10</v>
      </c>
      <c r="AC22" s="1855"/>
      <c r="AD22" s="1855"/>
      <c r="AE22" s="1855"/>
      <c r="AF22" s="1855"/>
      <c r="AG22" s="1856"/>
      <c r="AH22" s="1854" cm="1">
        <f t="array" ref="AH22">SUMPRODUCT((Application!$B$714:$B$738 = 'CalHFA Addendum'!AH$18)*(Application!$AC$714:$AC$738 = 'CalHFA Addendum'!$B22),Application!$G$714:$G$738)</f>
        <v>11</v>
      </c>
      <c r="AI22" s="1855"/>
      <c r="AJ22" s="1855"/>
      <c r="AK22" s="1855"/>
      <c r="AL22" s="1855"/>
      <c r="AM22" s="1856"/>
      <c r="AN22" s="1854" cm="1">
        <f t="array" ref="AN22">SUMPRODUCT((Application!$B$714:$B$738 = 'CalHFA Addendum'!AN$18)*(Application!$AC$714:$AC$738 = 'CalHFA Addendum'!$B22),Application!$G$714:$G$738)</f>
        <v>0</v>
      </c>
      <c r="AO22" s="1855"/>
      <c r="AP22" s="1855"/>
      <c r="AQ22" s="1855"/>
      <c r="AR22" s="1855"/>
      <c r="AS22" s="1856"/>
      <c r="AT22" s="1857">
        <f t="shared" si="1"/>
        <v>0.33</v>
      </c>
      <c r="AU22" s="1858"/>
      <c r="AV22" s="1858"/>
      <c r="AW22" s="1858"/>
      <c r="AX22" s="1858"/>
      <c r="AY22" s="1859"/>
      <c r="AZ22" s="970"/>
      <c r="BA22" s="970"/>
      <c r="BB22" s="970"/>
      <c r="BC22" s="970"/>
      <c r="BD22" s="970"/>
      <c r="BE22" s="973"/>
    </row>
    <row r="23" spans="1:58" ht="14.4">
      <c r="A23" s="970"/>
      <c r="B23" s="1851">
        <v>0.7</v>
      </c>
      <c r="C23" s="1852"/>
      <c r="D23" s="1852"/>
      <c r="E23" s="1852"/>
      <c r="F23" s="1852"/>
      <c r="G23" s="1852"/>
      <c r="H23" s="1852"/>
      <c r="I23" s="1853"/>
      <c r="J23" s="1854">
        <f t="shared" si="0"/>
        <v>44</v>
      </c>
      <c r="K23" s="1855"/>
      <c r="L23" s="1855"/>
      <c r="M23" s="1855"/>
      <c r="N23" s="1855"/>
      <c r="O23" s="1856"/>
      <c r="P23" s="1854" cm="1">
        <f t="array" ref="P23">SUMPRODUCT((Application!$B$714:$B$738 = 'CalHFA Addendum'!P$18)*(Application!$AC$714:$AC$738 = 'CalHFA Addendum'!$B23),Application!$G$714:$G$738)</f>
        <v>0</v>
      </c>
      <c r="Q23" s="1855"/>
      <c r="R23" s="1855"/>
      <c r="S23" s="1855"/>
      <c r="T23" s="1855"/>
      <c r="U23" s="1856"/>
      <c r="V23" s="1854" cm="1">
        <f t="array" ref="V23">SUMPRODUCT((Application!$B$714:$B$738 = 'CalHFA Addendum'!V$18)*(Application!$AC$714:$AC$738 = 'CalHFA Addendum'!$B23),Application!$G$714:$G$738)</f>
        <v>16</v>
      </c>
      <c r="W23" s="1855"/>
      <c r="X23" s="1855"/>
      <c r="Y23" s="1855"/>
      <c r="Z23" s="1855"/>
      <c r="AA23" s="1856"/>
      <c r="AB23" s="1854" cm="1">
        <f t="array" ref="AB23">SUMPRODUCT((Application!$B$714:$B$738 = 'CalHFA Addendum'!AB$18)*(Application!$AC$714:$AC$738 = 'CalHFA Addendum'!$B23),Application!$G$714:$G$738)</f>
        <v>12</v>
      </c>
      <c r="AC23" s="1855"/>
      <c r="AD23" s="1855"/>
      <c r="AE23" s="1855"/>
      <c r="AF23" s="1855"/>
      <c r="AG23" s="1856"/>
      <c r="AH23" s="1854" cm="1">
        <f t="array" ref="AH23">SUMPRODUCT((Application!$B$714:$B$738 = 'CalHFA Addendum'!AH$18)*(Application!$AC$714:$AC$738 = 'CalHFA Addendum'!$B23),Application!$G$714:$G$738)</f>
        <v>16</v>
      </c>
      <c r="AI23" s="1855"/>
      <c r="AJ23" s="1855"/>
      <c r="AK23" s="1855"/>
      <c r="AL23" s="1855"/>
      <c r="AM23" s="1856"/>
      <c r="AN23" s="1854" cm="1">
        <f t="array" ref="AN23">SUMPRODUCT((Application!$B$714:$B$738 = 'CalHFA Addendum'!AN$18)*(Application!$AC$714:$AC$738 = 'CalHFA Addendum'!$B23),Application!$G$714:$G$738)</f>
        <v>0</v>
      </c>
      <c r="AO23" s="1855"/>
      <c r="AP23" s="1855"/>
      <c r="AQ23" s="1855"/>
      <c r="AR23" s="1855"/>
      <c r="AS23" s="1856"/>
      <c r="AT23" s="1857">
        <f t="shared" si="1"/>
        <v>0.44</v>
      </c>
      <c r="AU23" s="1858"/>
      <c r="AV23" s="1858"/>
      <c r="AW23" s="1858"/>
      <c r="AX23" s="1858"/>
      <c r="AY23" s="1859"/>
      <c r="AZ23" s="970"/>
      <c r="BA23" s="970"/>
      <c r="BB23" s="970"/>
      <c r="BC23" s="970"/>
      <c r="BD23" s="970"/>
      <c r="BE23" s="973"/>
    </row>
    <row r="24" spans="1:58" ht="14.4">
      <c r="A24" s="970"/>
      <c r="B24" s="1851">
        <v>0.8</v>
      </c>
      <c r="C24" s="1852"/>
      <c r="D24" s="1852"/>
      <c r="E24" s="1852"/>
      <c r="F24" s="1852"/>
      <c r="G24" s="1852"/>
      <c r="H24" s="1852"/>
      <c r="I24" s="1853"/>
      <c r="J24" s="1854">
        <f t="shared" si="0"/>
        <v>0</v>
      </c>
      <c r="K24" s="1855"/>
      <c r="L24" s="1855"/>
      <c r="M24" s="1855"/>
      <c r="N24" s="1855"/>
      <c r="O24" s="1856"/>
      <c r="P24" s="1854" cm="1">
        <f t="array" ref="P24">SUMPRODUCT((Application!$B$714:$B$738 = 'CalHFA Addendum'!P$18)*(Application!$AC$714:$AC$738 = 'CalHFA Addendum'!$B24),Application!$G$714:$G$738)</f>
        <v>0</v>
      </c>
      <c r="Q24" s="1855"/>
      <c r="R24" s="1855"/>
      <c r="S24" s="1855"/>
      <c r="T24" s="1855"/>
      <c r="U24" s="1856"/>
      <c r="V24" s="1854" cm="1">
        <f t="array" ref="V24">SUMPRODUCT((Application!$B$714:$B$738 = 'CalHFA Addendum'!V$18)*(Application!$AC$714:$AC$738 = 'CalHFA Addendum'!$B24),Application!$G$714:$G$738)</f>
        <v>0</v>
      </c>
      <c r="W24" s="1855"/>
      <c r="X24" s="1855"/>
      <c r="Y24" s="1855"/>
      <c r="Z24" s="1855"/>
      <c r="AA24" s="1856"/>
      <c r="AB24" s="1854" cm="1">
        <f t="array" ref="AB24">SUMPRODUCT((Application!$B$714:$B$738 = 'CalHFA Addendum'!AB$18)*(Application!$AC$714:$AC$738 = 'CalHFA Addendum'!$B24),Application!$G$714:$G$738)</f>
        <v>0</v>
      </c>
      <c r="AC24" s="1855"/>
      <c r="AD24" s="1855"/>
      <c r="AE24" s="1855"/>
      <c r="AF24" s="1855"/>
      <c r="AG24" s="1856"/>
      <c r="AH24" s="1854" cm="1">
        <f t="array" ref="AH24">SUMPRODUCT((Application!$B$714:$B$738 = 'CalHFA Addendum'!AH$18)*(Application!$AC$714:$AC$738 = 'CalHFA Addendum'!$B24),Application!$G$714:$G$738)</f>
        <v>0</v>
      </c>
      <c r="AI24" s="1855"/>
      <c r="AJ24" s="1855"/>
      <c r="AK24" s="1855"/>
      <c r="AL24" s="1855"/>
      <c r="AM24" s="1856"/>
      <c r="AN24" s="1854" cm="1">
        <f t="array" ref="AN24">SUMPRODUCT((Application!$B$714:$B$738 = 'CalHFA Addendum'!AN$18)*(Application!$AC$714:$AC$738 = 'CalHFA Addendum'!$B24),Application!$G$714:$G$738)</f>
        <v>0</v>
      </c>
      <c r="AO24" s="1855"/>
      <c r="AP24" s="1855"/>
      <c r="AQ24" s="1855"/>
      <c r="AR24" s="1855"/>
      <c r="AS24" s="1856"/>
      <c r="AT24" s="1857">
        <f t="shared" si="1"/>
        <v>0</v>
      </c>
      <c r="AU24" s="1858"/>
      <c r="AV24" s="1858"/>
      <c r="AW24" s="1858"/>
      <c r="AX24" s="1858"/>
      <c r="AY24" s="1859"/>
      <c r="AZ24" s="970"/>
      <c r="BA24" s="970"/>
      <c r="BB24" s="970"/>
      <c r="BC24" s="970"/>
      <c r="BD24" s="970"/>
      <c r="BE24" s="973"/>
    </row>
    <row r="25" spans="1:58" ht="14.4">
      <c r="A25" s="970"/>
      <c r="B25" s="1851">
        <v>0.9</v>
      </c>
      <c r="C25" s="1852"/>
      <c r="D25" s="1852"/>
      <c r="E25" s="1852"/>
      <c r="F25" s="1852"/>
      <c r="G25" s="1852"/>
      <c r="H25" s="1852"/>
      <c r="I25" s="1853"/>
      <c r="J25" s="1860"/>
      <c r="K25" s="1861"/>
      <c r="L25" s="1861"/>
      <c r="M25" s="1861"/>
      <c r="N25" s="1861"/>
      <c r="O25" s="1862"/>
      <c r="P25" s="1860"/>
      <c r="Q25" s="1861"/>
      <c r="R25" s="1861"/>
      <c r="S25" s="1861"/>
      <c r="T25" s="1861"/>
      <c r="U25" s="1862"/>
      <c r="V25" s="1860"/>
      <c r="W25" s="1861"/>
      <c r="X25" s="1861"/>
      <c r="Y25" s="1861"/>
      <c r="Z25" s="1861"/>
      <c r="AA25" s="1862"/>
      <c r="AB25" s="1860"/>
      <c r="AC25" s="1861"/>
      <c r="AD25" s="1861"/>
      <c r="AE25" s="1861"/>
      <c r="AF25" s="1861"/>
      <c r="AG25" s="1862"/>
      <c r="AH25" s="1860"/>
      <c r="AI25" s="1861"/>
      <c r="AJ25" s="1861"/>
      <c r="AK25" s="1861"/>
      <c r="AL25" s="1861"/>
      <c r="AM25" s="1862"/>
      <c r="AN25" s="1860"/>
      <c r="AO25" s="1861"/>
      <c r="AP25" s="1861"/>
      <c r="AQ25" s="1861"/>
      <c r="AR25" s="1861"/>
      <c r="AS25" s="1862"/>
      <c r="AT25" s="1857">
        <f t="shared" si="1"/>
        <v>0</v>
      </c>
      <c r="AU25" s="1858"/>
      <c r="AV25" s="1858"/>
      <c r="AW25" s="1858"/>
      <c r="AX25" s="1858"/>
      <c r="AY25" s="1859"/>
      <c r="AZ25" s="970"/>
      <c r="BA25" s="970"/>
      <c r="BB25" s="970"/>
      <c r="BC25" s="970"/>
      <c r="BD25" s="970"/>
      <c r="BE25" s="973"/>
    </row>
    <row r="26" spans="1:58" ht="14.4">
      <c r="A26" s="970"/>
      <c r="B26" s="1851">
        <v>1</v>
      </c>
      <c r="C26" s="1852"/>
      <c r="D26" s="1852"/>
      <c r="E26" s="1852"/>
      <c r="F26" s="1852"/>
      <c r="G26" s="1852"/>
      <c r="H26" s="1852"/>
      <c r="I26" s="1853"/>
      <c r="J26" s="1860"/>
      <c r="K26" s="1861"/>
      <c r="L26" s="1861"/>
      <c r="M26" s="1861"/>
      <c r="N26" s="1861"/>
      <c r="O26" s="1862"/>
      <c r="P26" s="1860"/>
      <c r="Q26" s="1861"/>
      <c r="R26" s="1861"/>
      <c r="S26" s="1861"/>
      <c r="T26" s="1861"/>
      <c r="U26" s="1862"/>
      <c r="V26" s="1860"/>
      <c r="W26" s="1861"/>
      <c r="X26" s="1861"/>
      <c r="Y26" s="1861"/>
      <c r="Z26" s="1861"/>
      <c r="AA26" s="1862"/>
      <c r="AB26" s="1860"/>
      <c r="AC26" s="1861"/>
      <c r="AD26" s="1861"/>
      <c r="AE26" s="1861"/>
      <c r="AF26" s="1861"/>
      <c r="AG26" s="1862"/>
      <c r="AH26" s="1860"/>
      <c r="AI26" s="1861"/>
      <c r="AJ26" s="1861"/>
      <c r="AK26" s="1861"/>
      <c r="AL26" s="1861"/>
      <c r="AM26" s="1862"/>
      <c r="AN26" s="1860"/>
      <c r="AO26" s="1861"/>
      <c r="AP26" s="1861"/>
      <c r="AQ26" s="1861"/>
      <c r="AR26" s="1861"/>
      <c r="AS26" s="1862"/>
      <c r="AT26" s="1857">
        <f t="shared" si="1"/>
        <v>0</v>
      </c>
      <c r="AU26" s="1858"/>
      <c r="AV26" s="1858"/>
      <c r="AW26" s="1858"/>
      <c r="AX26" s="1858"/>
      <c r="AY26" s="1859"/>
      <c r="AZ26" s="970"/>
      <c r="BA26" s="970"/>
      <c r="BB26" s="970"/>
      <c r="BC26" s="970"/>
      <c r="BD26" s="970"/>
      <c r="BE26" s="973"/>
    </row>
    <row r="27" spans="1:58" ht="14.4">
      <c r="A27" s="970"/>
      <c r="B27" s="1851">
        <v>1.2</v>
      </c>
      <c r="C27" s="1852"/>
      <c r="D27" s="1852"/>
      <c r="E27" s="1852"/>
      <c r="F27" s="1852"/>
      <c r="G27" s="1852"/>
      <c r="H27" s="1852"/>
      <c r="I27" s="1853"/>
      <c r="J27" s="1860"/>
      <c r="K27" s="1861"/>
      <c r="L27" s="1861"/>
      <c r="M27" s="1861"/>
      <c r="N27" s="1861"/>
      <c r="O27" s="1862"/>
      <c r="P27" s="1860"/>
      <c r="Q27" s="1861"/>
      <c r="R27" s="1861"/>
      <c r="S27" s="1861"/>
      <c r="T27" s="1861"/>
      <c r="U27" s="1862"/>
      <c r="V27" s="1860"/>
      <c r="W27" s="1861"/>
      <c r="X27" s="1861"/>
      <c r="Y27" s="1861"/>
      <c r="Z27" s="1861"/>
      <c r="AA27" s="1862"/>
      <c r="AB27" s="1860"/>
      <c r="AC27" s="1861"/>
      <c r="AD27" s="1861"/>
      <c r="AE27" s="1861"/>
      <c r="AF27" s="1861"/>
      <c r="AG27" s="1862"/>
      <c r="AH27" s="1860"/>
      <c r="AI27" s="1861"/>
      <c r="AJ27" s="1861"/>
      <c r="AK27" s="1861"/>
      <c r="AL27" s="1861"/>
      <c r="AM27" s="1862"/>
      <c r="AN27" s="1860"/>
      <c r="AO27" s="1861"/>
      <c r="AP27" s="1861"/>
      <c r="AQ27" s="1861"/>
      <c r="AR27" s="1861"/>
      <c r="AS27" s="1862"/>
      <c r="AT27" s="1857">
        <f t="shared" si="1"/>
        <v>0</v>
      </c>
      <c r="AU27" s="1858"/>
      <c r="AV27" s="1858"/>
      <c r="AW27" s="1858"/>
      <c r="AX27" s="1858"/>
      <c r="AY27" s="1859"/>
      <c r="AZ27" s="970"/>
      <c r="BA27" s="970"/>
      <c r="BB27" s="970"/>
      <c r="BC27" s="970"/>
      <c r="BD27" s="970"/>
      <c r="BE27" s="973"/>
    </row>
    <row r="28" spans="1:58" ht="15" thickBot="1">
      <c r="A28" s="970"/>
      <c r="B28" s="1863" t="s">
        <v>1917</v>
      </c>
      <c r="C28" s="1864"/>
      <c r="D28" s="1864"/>
      <c r="E28" s="1864"/>
      <c r="F28" s="1864"/>
      <c r="G28" s="1864"/>
      <c r="H28" s="1864"/>
      <c r="I28" s="1865"/>
      <c r="J28" s="1866">
        <f>SUM(P28:AS28)</f>
        <v>1</v>
      </c>
      <c r="K28" s="1867"/>
      <c r="L28" s="1867"/>
      <c r="M28" s="1867"/>
      <c r="N28" s="1867"/>
      <c r="O28" s="1868"/>
      <c r="P28" s="1866">
        <f>_xlfn.IFNA(VLOOKUP(P$18,Application!$J$773:$S$776,6,FALSE), 0)</f>
        <v>0</v>
      </c>
      <c r="Q28" s="1867"/>
      <c r="R28" s="1867"/>
      <c r="S28" s="1867"/>
      <c r="T28" s="1867"/>
      <c r="U28" s="1868"/>
      <c r="V28" s="1866">
        <f>_xlfn.IFNA(VLOOKUP(V$18,Application!$J$773:$S$776,6,FALSE), 0)</f>
        <v>0</v>
      </c>
      <c r="W28" s="1867"/>
      <c r="X28" s="1867"/>
      <c r="Y28" s="1867"/>
      <c r="Z28" s="1867"/>
      <c r="AA28" s="1868"/>
      <c r="AB28" s="1866">
        <f>_xlfn.IFNA(VLOOKUP(AB$18,Application!$J$773:$S$776,6,FALSE), 0)</f>
        <v>0</v>
      </c>
      <c r="AC28" s="1867"/>
      <c r="AD28" s="1867"/>
      <c r="AE28" s="1867"/>
      <c r="AF28" s="1867"/>
      <c r="AG28" s="1868"/>
      <c r="AH28" s="1866">
        <f>_xlfn.IFNA(VLOOKUP(AH$18,Application!$J$773:$S$776,6,FALSE), 0)</f>
        <v>1</v>
      </c>
      <c r="AI28" s="1867"/>
      <c r="AJ28" s="1867"/>
      <c r="AK28" s="1867"/>
      <c r="AL28" s="1867"/>
      <c r="AM28" s="1868"/>
      <c r="AN28" s="1866">
        <f>_xlfn.IFNA(VLOOKUP(AN$18,Application!$J$773:$S$776,6,FALSE), 0)</f>
        <v>0</v>
      </c>
      <c r="AO28" s="1867"/>
      <c r="AP28" s="1867"/>
      <c r="AQ28" s="1867"/>
      <c r="AR28" s="1867"/>
      <c r="AS28" s="1868"/>
      <c r="AT28" s="1869">
        <f t="shared" si="1"/>
        <v>0.01</v>
      </c>
      <c r="AU28" s="1870"/>
      <c r="AV28" s="1870"/>
      <c r="AW28" s="1870"/>
      <c r="AX28" s="1870"/>
      <c r="AY28" s="1871"/>
      <c r="AZ28" s="970"/>
      <c r="BA28" s="970"/>
      <c r="BB28" s="970"/>
      <c r="BC28" s="970"/>
      <c r="BD28" s="970"/>
      <c r="BE28" s="973"/>
    </row>
    <row r="29" spans="1:58" ht="15" thickBot="1">
      <c r="A29" s="970"/>
      <c r="B29" s="1900" t="s">
        <v>1915</v>
      </c>
      <c r="C29" s="1873"/>
      <c r="D29" s="1873"/>
      <c r="E29" s="1873"/>
      <c r="F29" s="1873"/>
      <c r="G29" s="1873"/>
      <c r="H29" s="1873"/>
      <c r="I29" s="1874"/>
      <c r="J29" s="1872">
        <f>SUM(J19:O28)</f>
        <v>100</v>
      </c>
      <c r="K29" s="1873"/>
      <c r="L29" s="1873"/>
      <c r="M29" s="1873"/>
      <c r="N29" s="1873"/>
      <c r="O29" s="1874"/>
      <c r="P29" s="1872">
        <f>SUM(P19:U28)</f>
        <v>0</v>
      </c>
      <c r="Q29" s="1873"/>
      <c r="R29" s="1873"/>
      <c r="S29" s="1873"/>
      <c r="T29" s="1873"/>
      <c r="U29" s="1874"/>
      <c r="V29" s="1872">
        <f>SUM(V19:AA28)</f>
        <v>36</v>
      </c>
      <c r="W29" s="1873"/>
      <c r="X29" s="1873"/>
      <c r="Y29" s="1873"/>
      <c r="Z29" s="1873"/>
      <c r="AA29" s="1874"/>
      <c r="AB29" s="1872">
        <f>SUM(AB19:AG28)</f>
        <v>28</v>
      </c>
      <c r="AC29" s="1873"/>
      <c r="AD29" s="1873"/>
      <c r="AE29" s="1873"/>
      <c r="AF29" s="1873"/>
      <c r="AG29" s="1874"/>
      <c r="AH29" s="1872">
        <f>SUM(AH19:AM28)</f>
        <v>36</v>
      </c>
      <c r="AI29" s="1873"/>
      <c r="AJ29" s="1873"/>
      <c r="AK29" s="1873"/>
      <c r="AL29" s="1873"/>
      <c r="AM29" s="1874"/>
      <c r="AN29" s="1872">
        <f>SUM(AN19:AS28)</f>
        <v>0</v>
      </c>
      <c r="AO29" s="1873"/>
      <c r="AP29" s="1873"/>
      <c r="AQ29" s="1873"/>
      <c r="AR29" s="1873"/>
      <c r="AS29" s="1874"/>
      <c r="AT29" s="1875">
        <f t="shared" si="1"/>
        <v>1</v>
      </c>
      <c r="AU29" s="1876"/>
      <c r="AV29" s="1876"/>
      <c r="AW29" s="1876"/>
      <c r="AX29" s="1876"/>
      <c r="AY29" s="1877"/>
      <c r="AZ29" s="970"/>
      <c r="BA29" s="970"/>
      <c r="BB29" s="970"/>
      <c r="BC29" s="970"/>
      <c r="BD29" s="970"/>
      <c r="BE29" s="973"/>
    </row>
    <row r="30" spans="1:58" ht="15" thickBot="1">
      <c r="A30" s="969"/>
      <c r="B30" s="970"/>
      <c r="C30" s="970"/>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c r="BC30" s="970"/>
      <c r="BD30" s="970"/>
      <c r="BE30" s="973"/>
    </row>
    <row r="31" spans="1:58" ht="15" thickBot="1">
      <c r="A31" s="970"/>
      <c r="B31" s="1878" t="s">
        <v>1918</v>
      </c>
      <c r="C31" s="1879"/>
      <c r="D31" s="1879"/>
      <c r="E31" s="1879"/>
      <c r="F31" s="1879"/>
      <c r="G31" s="1879"/>
      <c r="H31" s="1879"/>
      <c r="I31" s="1879"/>
      <c r="J31" s="1879"/>
      <c r="K31" s="1879"/>
      <c r="L31" s="1879"/>
      <c r="M31" s="1879"/>
      <c r="N31" s="1879"/>
      <c r="O31" s="1879"/>
      <c r="P31" s="1879"/>
      <c r="Q31" s="1879"/>
      <c r="R31" s="1879"/>
      <c r="S31" s="1879"/>
      <c r="T31" s="1879"/>
      <c r="U31" s="1879"/>
      <c r="V31" s="1879"/>
      <c r="W31" s="1879"/>
      <c r="X31" s="1879"/>
      <c r="Y31" s="1879"/>
      <c r="Z31" s="1879"/>
      <c r="AA31" s="1879"/>
      <c r="AB31" s="1879"/>
      <c r="AC31" s="1879"/>
      <c r="AD31" s="1879"/>
      <c r="AE31" s="1879"/>
      <c r="AF31" s="1879"/>
      <c r="AG31" s="1879"/>
      <c r="AH31" s="1879"/>
      <c r="AI31" s="1879"/>
      <c r="AJ31" s="1879"/>
      <c r="AK31" s="1879"/>
      <c r="AL31" s="1879"/>
      <c r="AM31" s="1879"/>
      <c r="AN31" s="1879"/>
      <c r="AO31" s="1879"/>
      <c r="AP31" s="1879"/>
      <c r="AQ31" s="1879"/>
      <c r="AR31" s="1879"/>
      <c r="AS31" s="1879"/>
      <c r="AT31" s="1879"/>
      <c r="AU31" s="1879"/>
      <c r="AV31" s="1879"/>
      <c r="AW31" s="1879"/>
      <c r="AX31" s="1879"/>
      <c r="AY31" s="1879"/>
      <c r="AZ31" s="1879"/>
      <c r="BA31" s="1879"/>
      <c r="BB31" s="1879"/>
      <c r="BC31" s="1879"/>
      <c r="BD31" s="1880"/>
      <c r="BE31" s="973"/>
    </row>
    <row r="32" spans="1:58" ht="15" thickBot="1">
      <c r="A32" s="970"/>
      <c r="B32" s="1881" t="s">
        <v>1919</v>
      </c>
      <c r="C32" s="1882"/>
      <c r="D32" s="1882"/>
      <c r="E32" s="1882"/>
      <c r="F32" s="1882"/>
      <c r="G32" s="1882"/>
      <c r="H32" s="1882"/>
      <c r="I32" s="1882"/>
      <c r="J32" s="1885" t="s">
        <v>1920</v>
      </c>
      <c r="K32" s="1886"/>
      <c r="L32" s="1886"/>
      <c r="M32" s="1886"/>
      <c r="N32" s="1885" t="s">
        <v>1921</v>
      </c>
      <c r="O32" s="1886"/>
      <c r="P32" s="1886"/>
      <c r="Q32" s="1888"/>
      <c r="R32" s="1890" t="s">
        <v>1922</v>
      </c>
      <c r="S32" s="1891"/>
      <c r="T32" s="1891"/>
      <c r="U32" s="1891"/>
      <c r="V32" s="1891"/>
      <c r="W32" s="1891"/>
      <c r="X32" s="1891"/>
      <c r="Y32" s="1891"/>
      <c r="Z32" s="1891"/>
      <c r="AA32" s="1891"/>
      <c r="AB32" s="1891"/>
      <c r="AC32" s="1891"/>
      <c r="AD32" s="1891"/>
      <c r="AE32" s="1891"/>
      <c r="AF32" s="1891"/>
      <c r="AG32" s="1891"/>
      <c r="AH32" s="1891"/>
      <c r="AI32" s="1891"/>
      <c r="AJ32" s="1891"/>
      <c r="AK32" s="1891"/>
      <c r="AL32" s="1891"/>
      <c r="AM32" s="1891"/>
      <c r="AN32" s="1891"/>
      <c r="AO32" s="1891"/>
      <c r="AP32" s="1891"/>
      <c r="AQ32" s="1891"/>
      <c r="AR32" s="1891"/>
      <c r="AS32" s="1891"/>
      <c r="AT32" s="1891"/>
      <c r="AU32" s="1891"/>
      <c r="AV32" s="1891"/>
      <c r="AW32" s="1891"/>
      <c r="AX32" s="1891"/>
      <c r="AY32" s="1891"/>
      <c r="AZ32" s="1891"/>
      <c r="BA32" s="1891"/>
      <c r="BB32" s="1891"/>
      <c r="BC32" s="1891"/>
      <c r="BD32" s="1892"/>
      <c r="BE32" s="973"/>
    </row>
    <row r="33" spans="1:58" ht="15" customHeight="1">
      <c r="A33" s="970"/>
      <c r="B33" s="1883"/>
      <c r="C33" s="1884"/>
      <c r="D33" s="1884"/>
      <c r="E33" s="1884"/>
      <c r="F33" s="1884"/>
      <c r="G33" s="1884"/>
      <c r="H33" s="1884"/>
      <c r="I33" s="1884"/>
      <c r="J33" s="1887"/>
      <c r="K33" s="1887"/>
      <c r="L33" s="1887"/>
      <c r="M33" s="1887"/>
      <c r="N33" s="1887"/>
      <c r="O33" s="1887"/>
      <c r="P33" s="1887"/>
      <c r="Q33" s="1889"/>
      <c r="R33" s="1893" t="s">
        <v>1923</v>
      </c>
      <c r="S33" s="1894"/>
      <c r="T33" s="1894"/>
      <c r="U33" s="1894"/>
      <c r="V33" s="1894"/>
      <c r="W33" s="1894"/>
      <c r="X33" s="1894"/>
      <c r="Y33" s="1894"/>
      <c r="Z33" s="1894"/>
      <c r="AA33" s="1894"/>
      <c r="AB33" s="1894"/>
      <c r="AC33" s="1894"/>
      <c r="AD33" s="1894"/>
      <c r="AE33" s="1894"/>
      <c r="AF33" s="1894"/>
      <c r="AG33" s="1894"/>
      <c r="AH33" s="1894"/>
      <c r="AI33" s="1894"/>
      <c r="AJ33" s="1894"/>
      <c r="AK33" s="1894"/>
      <c r="AL33" s="1894"/>
      <c r="AM33" s="1894"/>
      <c r="AN33" s="1894"/>
      <c r="AO33" s="1894"/>
      <c r="AP33" s="1894"/>
      <c r="AQ33" s="1894"/>
      <c r="AR33" s="1894"/>
      <c r="AS33" s="1894"/>
      <c r="AT33" s="1894"/>
      <c r="AU33" s="1894"/>
      <c r="AV33" s="1894"/>
      <c r="AW33" s="1894"/>
      <c r="AX33" s="1894"/>
      <c r="AY33" s="1894"/>
      <c r="AZ33" s="1894"/>
      <c r="BA33" s="1894"/>
      <c r="BB33" s="1894"/>
      <c r="BC33" s="1894"/>
      <c r="BD33" s="1895"/>
      <c r="BE33" s="973"/>
    </row>
    <row r="34" spans="1:58" ht="15.75" customHeight="1" thickBot="1">
      <c r="A34" s="970"/>
      <c r="B34" s="1883"/>
      <c r="C34" s="1884"/>
      <c r="D34" s="1884"/>
      <c r="E34" s="1884"/>
      <c r="F34" s="1884"/>
      <c r="G34" s="1884"/>
      <c r="H34" s="1884"/>
      <c r="I34" s="1884"/>
      <c r="J34" s="1887"/>
      <c r="K34" s="1887"/>
      <c r="L34" s="1887"/>
      <c r="M34" s="1887"/>
      <c r="N34" s="1887"/>
      <c r="O34" s="1887"/>
      <c r="P34" s="1887"/>
      <c r="Q34" s="1889"/>
      <c r="R34" s="1896"/>
      <c r="S34" s="1897"/>
      <c r="T34" s="1897"/>
      <c r="U34" s="1897"/>
      <c r="V34" s="1897"/>
      <c r="W34" s="1897"/>
      <c r="X34" s="1897"/>
      <c r="Y34" s="1897"/>
      <c r="Z34" s="1897"/>
      <c r="AA34" s="1897"/>
      <c r="AB34" s="1897"/>
      <c r="AC34" s="1897"/>
      <c r="AD34" s="1897"/>
      <c r="AE34" s="1897"/>
      <c r="AF34" s="1897"/>
      <c r="AG34" s="1897"/>
      <c r="AH34" s="1897"/>
      <c r="AI34" s="1897"/>
      <c r="AJ34" s="1897"/>
      <c r="AK34" s="1897"/>
      <c r="AL34" s="1897"/>
      <c r="AM34" s="1897"/>
      <c r="AN34" s="1897"/>
      <c r="AO34" s="1897"/>
      <c r="AP34" s="1897"/>
      <c r="AQ34" s="1897"/>
      <c r="AR34" s="1897"/>
      <c r="AS34" s="1897"/>
      <c r="AT34" s="1897"/>
      <c r="AU34" s="1897"/>
      <c r="AV34" s="1897"/>
      <c r="AW34" s="1897"/>
      <c r="AX34" s="1897"/>
      <c r="AY34" s="1897"/>
      <c r="AZ34" s="1897"/>
      <c r="BA34" s="1897"/>
      <c r="BB34" s="1897"/>
      <c r="BC34" s="1897"/>
      <c r="BD34" s="1898"/>
      <c r="BE34" s="973"/>
    </row>
    <row r="35" spans="1:58" ht="15.75" customHeight="1">
      <c r="A35" s="970"/>
      <c r="B35" s="1883"/>
      <c r="C35" s="1884"/>
      <c r="D35" s="1884"/>
      <c r="E35" s="1884"/>
      <c r="F35" s="1884"/>
      <c r="G35" s="1884"/>
      <c r="H35" s="1884"/>
      <c r="I35" s="1884"/>
      <c r="J35" s="1887"/>
      <c r="K35" s="1887"/>
      <c r="L35" s="1887"/>
      <c r="M35" s="1887"/>
      <c r="N35" s="1887"/>
      <c r="O35" s="1887"/>
      <c r="P35" s="1887"/>
      <c r="Q35" s="1887"/>
      <c r="R35" s="1899">
        <v>0.3</v>
      </c>
      <c r="S35" s="1899"/>
      <c r="T35" s="1899"/>
      <c r="U35" s="1899"/>
      <c r="V35" s="1899">
        <v>0.4</v>
      </c>
      <c r="W35" s="1899"/>
      <c r="X35" s="1899"/>
      <c r="Y35" s="1899"/>
      <c r="Z35" s="1899">
        <v>0.5</v>
      </c>
      <c r="AA35" s="1899"/>
      <c r="AB35" s="1899"/>
      <c r="AC35" s="1899"/>
      <c r="AD35" s="1899">
        <v>0.6</v>
      </c>
      <c r="AE35" s="1899"/>
      <c r="AF35" s="1899"/>
      <c r="AG35" s="1899"/>
      <c r="AH35" s="1899">
        <v>0.7</v>
      </c>
      <c r="AI35" s="1899"/>
      <c r="AJ35" s="1899"/>
      <c r="AK35" s="1899"/>
      <c r="AL35" s="1904">
        <v>0.8</v>
      </c>
      <c r="AM35" s="1905"/>
      <c r="AN35" s="1905"/>
      <c r="AO35" s="1906"/>
      <c r="AP35" s="1907">
        <v>1.2</v>
      </c>
      <c r="AQ35" s="1908"/>
      <c r="AR35" s="1909"/>
      <c r="AS35" s="1901" t="s">
        <v>1924</v>
      </c>
      <c r="AT35" s="1902"/>
      <c r="AU35" s="1902"/>
      <c r="AV35" s="1902"/>
      <c r="AW35" s="1902"/>
      <c r="AX35" s="1910"/>
      <c r="AY35" s="1901" t="s">
        <v>1925</v>
      </c>
      <c r="AZ35" s="1902"/>
      <c r="BA35" s="1902"/>
      <c r="BB35" s="1902"/>
      <c r="BC35" s="1902"/>
      <c r="BD35" s="1903"/>
      <c r="BE35" s="973"/>
    </row>
    <row r="36" spans="1:58" ht="15.75" customHeight="1">
      <c r="A36" s="970"/>
      <c r="B36" s="1920" t="s">
        <v>1926</v>
      </c>
      <c r="C36" s="1921"/>
      <c r="D36" s="1921"/>
      <c r="E36" s="1921"/>
      <c r="F36" s="1921"/>
      <c r="G36" s="1921"/>
      <c r="H36" s="1921"/>
      <c r="I36" s="1921"/>
      <c r="J36" s="1922" t="s">
        <v>1927</v>
      </c>
      <c r="K36" s="1922"/>
      <c r="L36" s="1922"/>
      <c r="M36" s="1922"/>
      <c r="N36" s="1922">
        <v>55</v>
      </c>
      <c r="O36" s="1922"/>
      <c r="P36" s="1922"/>
      <c r="Q36" s="1922"/>
      <c r="R36" s="1923"/>
      <c r="S36" s="1923"/>
      <c r="T36" s="1923"/>
      <c r="U36" s="1923"/>
      <c r="V36" s="1923"/>
      <c r="W36" s="1923"/>
      <c r="X36" s="1923"/>
      <c r="Y36" s="1923"/>
      <c r="Z36" s="1923"/>
      <c r="AA36" s="1923"/>
      <c r="AB36" s="1923"/>
      <c r="AC36" s="1923"/>
      <c r="AD36" s="1923"/>
      <c r="AE36" s="1923"/>
      <c r="AF36" s="1923"/>
      <c r="AG36" s="1923"/>
      <c r="AH36" s="1923"/>
      <c r="AI36" s="1923"/>
      <c r="AJ36" s="1923"/>
      <c r="AK36" s="1923"/>
      <c r="AL36" s="1911"/>
      <c r="AM36" s="1912"/>
      <c r="AN36" s="1912"/>
      <c r="AO36" s="1913"/>
      <c r="AP36" s="1911"/>
      <c r="AQ36" s="1912"/>
      <c r="AR36" s="1913"/>
      <c r="AS36" s="1914">
        <f t="shared" ref="AS36:AS47" si="2">SUM(R36:AR36)</f>
        <v>0</v>
      </c>
      <c r="AT36" s="1915"/>
      <c r="AU36" s="1915"/>
      <c r="AV36" s="1915"/>
      <c r="AW36" s="1915"/>
      <c r="AX36" s="1916"/>
      <c r="AY36" s="1917">
        <f t="shared" ref="AY36:AY47" si="3">AS36/$J$29</f>
        <v>0</v>
      </c>
      <c r="AZ36" s="1918"/>
      <c r="BA36" s="1918"/>
      <c r="BB36" s="1918"/>
      <c r="BC36" s="1918"/>
      <c r="BD36" s="1919"/>
      <c r="BE36" s="973"/>
    </row>
    <row r="37" spans="1:58" ht="15.75" customHeight="1">
      <c r="A37" s="970"/>
      <c r="B37" s="1920" t="s">
        <v>1928</v>
      </c>
      <c r="C37" s="1921"/>
      <c r="D37" s="1921"/>
      <c r="E37" s="1921"/>
      <c r="F37" s="1921"/>
      <c r="G37" s="1921"/>
      <c r="H37" s="1921"/>
      <c r="I37" s="1921"/>
      <c r="J37" s="1922" t="s">
        <v>1929</v>
      </c>
      <c r="K37" s="1922"/>
      <c r="L37" s="1922"/>
      <c r="M37" s="1922"/>
      <c r="N37" s="1922">
        <v>55</v>
      </c>
      <c r="O37" s="1922"/>
      <c r="P37" s="1922"/>
      <c r="Q37" s="1922"/>
      <c r="R37" s="1923"/>
      <c r="S37" s="1923"/>
      <c r="T37" s="1923"/>
      <c r="U37" s="1923"/>
      <c r="V37" s="1923"/>
      <c r="W37" s="1923"/>
      <c r="X37" s="1923"/>
      <c r="Y37" s="1923"/>
      <c r="Z37" s="1923"/>
      <c r="AA37" s="1923"/>
      <c r="AB37" s="1923"/>
      <c r="AC37" s="1923"/>
      <c r="AD37" s="1923"/>
      <c r="AE37" s="1923"/>
      <c r="AF37" s="1923"/>
      <c r="AG37" s="1923"/>
      <c r="AH37" s="1923"/>
      <c r="AI37" s="1923"/>
      <c r="AJ37" s="1923"/>
      <c r="AK37" s="1923"/>
      <c r="AL37" s="1911"/>
      <c r="AM37" s="1912"/>
      <c r="AN37" s="1912"/>
      <c r="AO37" s="1913"/>
      <c r="AP37" s="1911"/>
      <c r="AQ37" s="1912"/>
      <c r="AR37" s="1913"/>
      <c r="AS37" s="1914">
        <f t="shared" si="2"/>
        <v>0</v>
      </c>
      <c r="AT37" s="1915"/>
      <c r="AU37" s="1915"/>
      <c r="AV37" s="1915"/>
      <c r="AW37" s="1915"/>
      <c r="AX37" s="1916"/>
      <c r="AY37" s="1917">
        <f t="shared" si="3"/>
        <v>0</v>
      </c>
      <c r="AZ37" s="1918"/>
      <c r="BA37" s="1918"/>
      <c r="BB37" s="1918"/>
      <c r="BC37" s="1918"/>
      <c r="BD37" s="1919"/>
      <c r="BE37" s="973"/>
    </row>
    <row r="38" spans="1:58" ht="15.75" customHeight="1">
      <c r="A38" s="970"/>
      <c r="B38" s="1920" t="s">
        <v>1930</v>
      </c>
      <c r="C38" s="1921"/>
      <c r="D38" s="1921"/>
      <c r="E38" s="1921"/>
      <c r="F38" s="1921"/>
      <c r="G38" s="1921"/>
      <c r="H38" s="1921"/>
      <c r="I38" s="1921"/>
      <c r="J38" s="1922" t="s">
        <v>1931</v>
      </c>
      <c r="K38" s="1922"/>
      <c r="L38" s="1922"/>
      <c r="M38" s="1922"/>
      <c r="N38" s="1922">
        <v>55</v>
      </c>
      <c r="O38" s="1922"/>
      <c r="P38" s="1922"/>
      <c r="Q38" s="1922"/>
      <c r="R38" s="1923"/>
      <c r="S38" s="1923"/>
      <c r="T38" s="1923"/>
      <c r="U38" s="1923"/>
      <c r="V38" s="1923"/>
      <c r="W38" s="1923"/>
      <c r="X38" s="1923"/>
      <c r="Y38" s="1923"/>
      <c r="Z38" s="1923"/>
      <c r="AA38" s="1923"/>
      <c r="AB38" s="1923"/>
      <c r="AC38" s="1923"/>
      <c r="AD38" s="1923"/>
      <c r="AE38" s="1923"/>
      <c r="AF38" s="1923"/>
      <c r="AG38" s="1923"/>
      <c r="AH38" s="1923"/>
      <c r="AI38" s="1923"/>
      <c r="AJ38" s="1923"/>
      <c r="AK38" s="1923"/>
      <c r="AL38" s="1911"/>
      <c r="AM38" s="1912"/>
      <c r="AN38" s="1912"/>
      <c r="AO38" s="1913"/>
      <c r="AP38" s="1911"/>
      <c r="AQ38" s="1912"/>
      <c r="AR38" s="1913"/>
      <c r="AS38" s="1914">
        <f t="shared" si="2"/>
        <v>0</v>
      </c>
      <c r="AT38" s="1915"/>
      <c r="AU38" s="1915"/>
      <c r="AV38" s="1915"/>
      <c r="AW38" s="1915"/>
      <c r="AX38" s="1916"/>
      <c r="AY38" s="1917">
        <f t="shared" si="3"/>
        <v>0</v>
      </c>
      <c r="AZ38" s="1918"/>
      <c r="BA38" s="1918"/>
      <c r="BB38" s="1918"/>
      <c r="BC38" s="1918"/>
      <c r="BD38" s="1919"/>
      <c r="BE38" s="973"/>
    </row>
    <row r="39" spans="1:58" ht="15.75" customHeight="1">
      <c r="A39" s="970"/>
      <c r="B39" s="1920" t="s">
        <v>1932</v>
      </c>
      <c r="C39" s="1921"/>
      <c r="D39" s="1921"/>
      <c r="E39" s="1921"/>
      <c r="F39" s="1921"/>
      <c r="G39" s="1921"/>
      <c r="H39" s="1921"/>
      <c r="I39" s="1921"/>
      <c r="J39" s="1922"/>
      <c r="K39" s="1922"/>
      <c r="L39" s="1922"/>
      <c r="M39" s="1922"/>
      <c r="N39" s="1922"/>
      <c r="O39" s="1922"/>
      <c r="P39" s="1922"/>
      <c r="Q39" s="1922"/>
      <c r="R39" s="1923"/>
      <c r="S39" s="1923"/>
      <c r="T39" s="1923"/>
      <c r="U39" s="1923"/>
      <c r="V39" s="1923"/>
      <c r="W39" s="1923"/>
      <c r="X39" s="1923"/>
      <c r="Y39" s="1923"/>
      <c r="Z39" s="1923"/>
      <c r="AA39" s="1923"/>
      <c r="AB39" s="1923"/>
      <c r="AC39" s="1923"/>
      <c r="AD39" s="1923"/>
      <c r="AE39" s="1923"/>
      <c r="AF39" s="1923"/>
      <c r="AG39" s="1923"/>
      <c r="AH39" s="1923"/>
      <c r="AI39" s="1923"/>
      <c r="AJ39" s="1923"/>
      <c r="AK39" s="1923"/>
      <c r="AL39" s="1911"/>
      <c r="AM39" s="1912"/>
      <c r="AN39" s="1912"/>
      <c r="AO39" s="1913"/>
      <c r="AP39" s="1911"/>
      <c r="AQ39" s="1912"/>
      <c r="AR39" s="1913"/>
      <c r="AS39" s="1914">
        <f t="shared" si="2"/>
        <v>0</v>
      </c>
      <c r="AT39" s="1915"/>
      <c r="AU39" s="1915"/>
      <c r="AV39" s="1915"/>
      <c r="AW39" s="1915"/>
      <c r="AX39" s="1916"/>
      <c r="AY39" s="1917">
        <f t="shared" si="3"/>
        <v>0</v>
      </c>
      <c r="AZ39" s="1918"/>
      <c r="BA39" s="1918"/>
      <c r="BB39" s="1918"/>
      <c r="BC39" s="1918"/>
      <c r="BD39" s="1919"/>
      <c r="BE39" s="973"/>
    </row>
    <row r="40" spans="1:58" ht="15.75" customHeight="1">
      <c r="A40" s="970"/>
      <c r="B40" s="1920" t="s">
        <v>1932</v>
      </c>
      <c r="C40" s="1921"/>
      <c r="D40" s="1921"/>
      <c r="E40" s="1921"/>
      <c r="F40" s="1921"/>
      <c r="G40" s="1921"/>
      <c r="H40" s="1921"/>
      <c r="I40" s="1921"/>
      <c r="J40" s="1922"/>
      <c r="K40" s="1922"/>
      <c r="L40" s="1922"/>
      <c r="M40" s="1922"/>
      <c r="N40" s="1922"/>
      <c r="O40" s="1922"/>
      <c r="P40" s="1922"/>
      <c r="Q40" s="1922"/>
      <c r="R40" s="1923"/>
      <c r="S40" s="1923"/>
      <c r="T40" s="1923"/>
      <c r="U40" s="1923"/>
      <c r="V40" s="1923"/>
      <c r="W40" s="1923"/>
      <c r="X40" s="1923"/>
      <c r="Y40" s="1923"/>
      <c r="Z40" s="1923"/>
      <c r="AA40" s="1923"/>
      <c r="AB40" s="1923"/>
      <c r="AC40" s="1923"/>
      <c r="AD40" s="1923"/>
      <c r="AE40" s="1923"/>
      <c r="AF40" s="1923"/>
      <c r="AG40" s="1923"/>
      <c r="AH40" s="1923"/>
      <c r="AI40" s="1923"/>
      <c r="AJ40" s="1923"/>
      <c r="AK40" s="1923"/>
      <c r="AL40" s="1911"/>
      <c r="AM40" s="1912"/>
      <c r="AN40" s="1912"/>
      <c r="AO40" s="1913"/>
      <c r="AP40" s="1911"/>
      <c r="AQ40" s="1912"/>
      <c r="AR40" s="1913"/>
      <c r="AS40" s="1914">
        <f t="shared" si="2"/>
        <v>0</v>
      </c>
      <c r="AT40" s="1915"/>
      <c r="AU40" s="1915"/>
      <c r="AV40" s="1915"/>
      <c r="AW40" s="1915"/>
      <c r="AX40" s="1916"/>
      <c r="AY40" s="1917">
        <f t="shared" si="3"/>
        <v>0</v>
      </c>
      <c r="AZ40" s="1918"/>
      <c r="BA40" s="1918"/>
      <c r="BB40" s="1918"/>
      <c r="BC40" s="1918"/>
      <c r="BD40" s="1919"/>
      <c r="BE40" s="973"/>
    </row>
    <row r="41" spans="1:58" ht="15.75" customHeight="1">
      <c r="A41" s="970"/>
      <c r="B41" s="1920" t="s">
        <v>1933</v>
      </c>
      <c r="C41" s="1921"/>
      <c r="D41" s="1921"/>
      <c r="E41" s="1921"/>
      <c r="F41" s="1921"/>
      <c r="G41" s="1921"/>
      <c r="H41" s="1921"/>
      <c r="I41" s="1921"/>
      <c r="J41" s="1922"/>
      <c r="K41" s="1922"/>
      <c r="L41" s="1922"/>
      <c r="M41" s="1922"/>
      <c r="N41" s="1922"/>
      <c r="O41" s="1922"/>
      <c r="P41" s="1922"/>
      <c r="Q41" s="1922"/>
      <c r="R41" s="1923"/>
      <c r="S41" s="1923"/>
      <c r="T41" s="1923"/>
      <c r="U41" s="1923"/>
      <c r="V41" s="1923"/>
      <c r="W41" s="1923"/>
      <c r="X41" s="1923"/>
      <c r="Y41" s="1923"/>
      <c r="Z41" s="1923"/>
      <c r="AA41" s="1923"/>
      <c r="AB41" s="1923"/>
      <c r="AC41" s="1923"/>
      <c r="AD41" s="1923"/>
      <c r="AE41" s="1923"/>
      <c r="AF41" s="1923"/>
      <c r="AG41" s="1923"/>
      <c r="AH41" s="1923"/>
      <c r="AI41" s="1923"/>
      <c r="AJ41" s="1923"/>
      <c r="AK41" s="1923"/>
      <c r="AL41" s="1911"/>
      <c r="AM41" s="1912"/>
      <c r="AN41" s="1912"/>
      <c r="AO41" s="1913"/>
      <c r="AP41" s="1911"/>
      <c r="AQ41" s="1912"/>
      <c r="AR41" s="1913"/>
      <c r="AS41" s="1914">
        <f t="shared" si="2"/>
        <v>0</v>
      </c>
      <c r="AT41" s="1915"/>
      <c r="AU41" s="1915"/>
      <c r="AV41" s="1915"/>
      <c r="AW41" s="1915"/>
      <c r="AX41" s="1916"/>
      <c r="AY41" s="1917">
        <f t="shared" si="3"/>
        <v>0</v>
      </c>
      <c r="AZ41" s="1918"/>
      <c r="BA41" s="1918"/>
      <c r="BB41" s="1918"/>
      <c r="BC41" s="1918"/>
      <c r="BD41" s="1919"/>
      <c r="BE41" s="973"/>
    </row>
    <row r="42" spans="1:58" ht="15.75" customHeight="1">
      <c r="A42" s="970"/>
      <c r="B42" s="1920" t="s">
        <v>1933</v>
      </c>
      <c r="C42" s="1921"/>
      <c r="D42" s="1921"/>
      <c r="E42" s="1921"/>
      <c r="F42" s="1921"/>
      <c r="G42" s="1921"/>
      <c r="H42" s="1921"/>
      <c r="I42" s="1921"/>
      <c r="J42" s="1922"/>
      <c r="K42" s="1922"/>
      <c r="L42" s="1922"/>
      <c r="M42" s="1922"/>
      <c r="N42" s="1922"/>
      <c r="O42" s="1922"/>
      <c r="P42" s="1922"/>
      <c r="Q42" s="1922"/>
      <c r="R42" s="1923"/>
      <c r="S42" s="1923"/>
      <c r="T42" s="1923"/>
      <c r="U42" s="1923"/>
      <c r="V42" s="1923"/>
      <c r="W42" s="1923"/>
      <c r="X42" s="1923"/>
      <c r="Y42" s="1923"/>
      <c r="Z42" s="1923"/>
      <c r="AA42" s="1923"/>
      <c r="AB42" s="1923"/>
      <c r="AC42" s="1923"/>
      <c r="AD42" s="1923"/>
      <c r="AE42" s="1923"/>
      <c r="AF42" s="1923"/>
      <c r="AG42" s="1923"/>
      <c r="AH42" s="1923"/>
      <c r="AI42" s="1923"/>
      <c r="AJ42" s="1923"/>
      <c r="AK42" s="1923"/>
      <c r="AL42" s="1911"/>
      <c r="AM42" s="1912"/>
      <c r="AN42" s="1912"/>
      <c r="AO42" s="1913"/>
      <c r="AP42" s="1911"/>
      <c r="AQ42" s="1912"/>
      <c r="AR42" s="1913"/>
      <c r="AS42" s="1914">
        <f t="shared" si="2"/>
        <v>0</v>
      </c>
      <c r="AT42" s="1915"/>
      <c r="AU42" s="1915"/>
      <c r="AV42" s="1915"/>
      <c r="AW42" s="1915"/>
      <c r="AX42" s="1916"/>
      <c r="AY42" s="1917">
        <f t="shared" si="3"/>
        <v>0</v>
      </c>
      <c r="AZ42" s="1918"/>
      <c r="BA42" s="1918"/>
      <c r="BB42" s="1918"/>
      <c r="BC42" s="1918"/>
      <c r="BD42" s="1919"/>
      <c r="BE42" s="973"/>
    </row>
    <row r="43" spans="1:58" ht="15.75" customHeight="1">
      <c r="A43" s="970"/>
      <c r="B43" s="1924" t="s">
        <v>1934</v>
      </c>
      <c r="C43" s="1925"/>
      <c r="D43" s="1925"/>
      <c r="E43" s="1925"/>
      <c r="F43" s="1925"/>
      <c r="G43" s="1925"/>
      <c r="H43" s="1925"/>
      <c r="I43" s="1925"/>
      <c r="J43" s="1922"/>
      <c r="K43" s="1922"/>
      <c r="L43" s="1922"/>
      <c r="M43" s="1922"/>
      <c r="N43" s="1922"/>
      <c r="O43" s="1922"/>
      <c r="P43" s="1922"/>
      <c r="Q43" s="1922"/>
      <c r="R43" s="1923"/>
      <c r="S43" s="1923"/>
      <c r="T43" s="1923"/>
      <c r="U43" s="1923"/>
      <c r="V43" s="1923"/>
      <c r="W43" s="1923"/>
      <c r="X43" s="1923"/>
      <c r="Y43" s="1923"/>
      <c r="Z43" s="1923"/>
      <c r="AA43" s="1923"/>
      <c r="AB43" s="1923"/>
      <c r="AC43" s="1923"/>
      <c r="AD43" s="1923"/>
      <c r="AE43" s="1923"/>
      <c r="AF43" s="1923"/>
      <c r="AG43" s="1923"/>
      <c r="AH43" s="1923"/>
      <c r="AI43" s="1923"/>
      <c r="AJ43" s="1923"/>
      <c r="AK43" s="1923"/>
      <c r="AL43" s="1911"/>
      <c r="AM43" s="1912"/>
      <c r="AN43" s="1912"/>
      <c r="AO43" s="1913"/>
      <c r="AP43" s="1911"/>
      <c r="AQ43" s="1912"/>
      <c r="AR43" s="1913"/>
      <c r="AS43" s="1914">
        <f t="shared" si="2"/>
        <v>0</v>
      </c>
      <c r="AT43" s="1915"/>
      <c r="AU43" s="1915"/>
      <c r="AV43" s="1915"/>
      <c r="AW43" s="1915"/>
      <c r="AX43" s="1916"/>
      <c r="AY43" s="1917">
        <f t="shared" si="3"/>
        <v>0</v>
      </c>
      <c r="AZ43" s="1918"/>
      <c r="BA43" s="1918"/>
      <c r="BB43" s="1918"/>
      <c r="BC43" s="1918"/>
      <c r="BD43" s="1919"/>
      <c r="BE43" s="973"/>
    </row>
    <row r="44" spans="1:58" ht="15.75" customHeight="1">
      <c r="A44" s="970"/>
      <c r="B44" s="1924" t="s">
        <v>1935</v>
      </c>
      <c r="C44" s="1925"/>
      <c r="D44" s="1925"/>
      <c r="E44" s="1925"/>
      <c r="F44" s="1925"/>
      <c r="G44" s="1925"/>
      <c r="H44" s="1925"/>
      <c r="I44" s="1925"/>
      <c r="J44" s="1922"/>
      <c r="K44" s="1922"/>
      <c r="L44" s="1922"/>
      <c r="M44" s="1922"/>
      <c r="N44" s="1922"/>
      <c r="O44" s="1922"/>
      <c r="P44" s="1922"/>
      <c r="Q44" s="1922"/>
      <c r="R44" s="1923"/>
      <c r="S44" s="1923"/>
      <c r="T44" s="1923"/>
      <c r="U44" s="1923"/>
      <c r="V44" s="1923"/>
      <c r="W44" s="1923"/>
      <c r="X44" s="1923"/>
      <c r="Y44" s="1923"/>
      <c r="Z44" s="1923"/>
      <c r="AA44" s="1923"/>
      <c r="AB44" s="1923"/>
      <c r="AC44" s="1923"/>
      <c r="AD44" s="1923"/>
      <c r="AE44" s="1923"/>
      <c r="AF44" s="1923"/>
      <c r="AG44" s="1923"/>
      <c r="AH44" s="1923"/>
      <c r="AI44" s="1923"/>
      <c r="AJ44" s="1923"/>
      <c r="AK44" s="1923"/>
      <c r="AL44" s="1911"/>
      <c r="AM44" s="1912"/>
      <c r="AN44" s="1912"/>
      <c r="AO44" s="1913"/>
      <c r="AP44" s="1911"/>
      <c r="AQ44" s="1912"/>
      <c r="AR44" s="1913"/>
      <c r="AS44" s="1914">
        <f t="shared" si="2"/>
        <v>0</v>
      </c>
      <c r="AT44" s="1915"/>
      <c r="AU44" s="1915"/>
      <c r="AV44" s="1915"/>
      <c r="AW44" s="1915"/>
      <c r="AX44" s="1916"/>
      <c r="AY44" s="1917">
        <f t="shared" si="3"/>
        <v>0</v>
      </c>
      <c r="AZ44" s="1918"/>
      <c r="BA44" s="1918"/>
      <c r="BB44" s="1918"/>
      <c r="BC44" s="1918"/>
      <c r="BD44" s="1919"/>
      <c r="BE44" s="973"/>
    </row>
    <row r="45" spans="1:58" ht="15.75" customHeight="1">
      <c r="A45" s="970"/>
      <c r="B45" s="1924" t="s">
        <v>1936</v>
      </c>
      <c r="C45" s="1925"/>
      <c r="D45" s="1925"/>
      <c r="E45" s="1925"/>
      <c r="F45" s="1925"/>
      <c r="G45" s="1925"/>
      <c r="H45" s="1925"/>
      <c r="I45" s="1925"/>
      <c r="J45" s="1922"/>
      <c r="K45" s="1922"/>
      <c r="L45" s="1922"/>
      <c r="M45" s="1922"/>
      <c r="N45" s="1922"/>
      <c r="O45" s="1922"/>
      <c r="P45" s="1922"/>
      <c r="Q45" s="1922"/>
      <c r="R45" s="1923"/>
      <c r="S45" s="1923"/>
      <c r="T45" s="1923"/>
      <c r="U45" s="1923"/>
      <c r="V45" s="1923"/>
      <c r="W45" s="1923"/>
      <c r="X45" s="1923"/>
      <c r="Y45" s="1923"/>
      <c r="Z45" s="1923"/>
      <c r="AA45" s="1923"/>
      <c r="AB45" s="1923"/>
      <c r="AC45" s="1923"/>
      <c r="AD45" s="1923"/>
      <c r="AE45" s="1923"/>
      <c r="AF45" s="1923"/>
      <c r="AG45" s="1923"/>
      <c r="AH45" s="1923"/>
      <c r="AI45" s="1923"/>
      <c r="AJ45" s="1923"/>
      <c r="AK45" s="1923"/>
      <c r="AL45" s="1911"/>
      <c r="AM45" s="1912"/>
      <c r="AN45" s="1912"/>
      <c r="AO45" s="1913"/>
      <c r="AP45" s="1911"/>
      <c r="AQ45" s="1912"/>
      <c r="AR45" s="1913"/>
      <c r="AS45" s="1914">
        <f t="shared" si="2"/>
        <v>0</v>
      </c>
      <c r="AT45" s="1915"/>
      <c r="AU45" s="1915"/>
      <c r="AV45" s="1915"/>
      <c r="AW45" s="1915"/>
      <c r="AX45" s="1916"/>
      <c r="AY45" s="1917">
        <f t="shared" si="3"/>
        <v>0</v>
      </c>
      <c r="AZ45" s="1918"/>
      <c r="BA45" s="1918"/>
      <c r="BB45" s="1918"/>
      <c r="BC45" s="1918"/>
      <c r="BD45" s="1919"/>
      <c r="BE45" s="973"/>
    </row>
    <row r="46" spans="1:58" ht="15.75" customHeight="1">
      <c r="A46" s="970"/>
      <c r="B46" s="1924" t="s">
        <v>1937</v>
      </c>
      <c r="C46" s="1925"/>
      <c r="D46" s="1925"/>
      <c r="E46" s="1925"/>
      <c r="F46" s="1925"/>
      <c r="G46" s="1925"/>
      <c r="H46" s="1925"/>
      <c r="I46" s="1925"/>
      <c r="J46" s="1922"/>
      <c r="K46" s="1922"/>
      <c r="L46" s="1922"/>
      <c r="M46" s="1922"/>
      <c r="N46" s="1922">
        <v>99</v>
      </c>
      <c r="O46" s="1922"/>
      <c r="P46" s="1922"/>
      <c r="Q46" s="1922"/>
      <c r="R46" s="1923"/>
      <c r="S46" s="1923"/>
      <c r="T46" s="1923"/>
      <c r="U46" s="1923"/>
      <c r="V46" s="1923"/>
      <c r="W46" s="1923"/>
      <c r="X46" s="1923"/>
      <c r="Y46" s="1923"/>
      <c r="Z46" s="1923"/>
      <c r="AA46" s="1923"/>
      <c r="AB46" s="1923"/>
      <c r="AC46" s="1923"/>
      <c r="AD46" s="1923"/>
      <c r="AE46" s="1923"/>
      <c r="AF46" s="1923"/>
      <c r="AG46" s="1923"/>
      <c r="AH46" s="1923"/>
      <c r="AI46" s="1923"/>
      <c r="AJ46" s="1923"/>
      <c r="AK46" s="1923"/>
      <c r="AL46" s="1911"/>
      <c r="AM46" s="1912"/>
      <c r="AN46" s="1912"/>
      <c r="AO46" s="1913"/>
      <c r="AP46" s="1911"/>
      <c r="AQ46" s="1912"/>
      <c r="AR46" s="1913"/>
      <c r="AS46" s="1914">
        <f t="shared" si="2"/>
        <v>0</v>
      </c>
      <c r="AT46" s="1915"/>
      <c r="AU46" s="1915"/>
      <c r="AV46" s="1915"/>
      <c r="AW46" s="1915"/>
      <c r="AX46" s="1916"/>
      <c r="AY46" s="1917">
        <f t="shared" si="3"/>
        <v>0</v>
      </c>
      <c r="AZ46" s="1918"/>
      <c r="BA46" s="1918"/>
      <c r="BB46" s="1918"/>
      <c r="BC46" s="1918"/>
      <c r="BD46" s="1919"/>
      <c r="BE46" s="973"/>
    </row>
    <row r="47" spans="1:58" ht="15.75" customHeight="1" thickBot="1">
      <c r="A47" s="970"/>
      <c r="B47" s="1926" t="s">
        <v>1053</v>
      </c>
      <c r="C47" s="1927"/>
      <c r="D47" s="1927"/>
      <c r="E47" s="1927"/>
      <c r="F47" s="1927"/>
      <c r="G47" s="1927"/>
      <c r="H47" s="1927"/>
      <c r="I47" s="1927"/>
      <c r="J47" s="1928"/>
      <c r="K47" s="1928"/>
      <c r="L47" s="1928"/>
      <c r="M47" s="1928"/>
      <c r="N47" s="1928"/>
      <c r="O47" s="1928"/>
      <c r="P47" s="1928"/>
      <c r="Q47" s="1928"/>
      <c r="R47" s="1929"/>
      <c r="S47" s="1929"/>
      <c r="T47" s="1929"/>
      <c r="U47" s="1929"/>
      <c r="V47" s="1929"/>
      <c r="W47" s="1929"/>
      <c r="X47" s="1929"/>
      <c r="Y47" s="1929"/>
      <c r="Z47" s="1929"/>
      <c r="AA47" s="1929"/>
      <c r="AB47" s="1929"/>
      <c r="AC47" s="1929"/>
      <c r="AD47" s="1929"/>
      <c r="AE47" s="1929"/>
      <c r="AF47" s="1929"/>
      <c r="AG47" s="1929"/>
      <c r="AH47" s="1929"/>
      <c r="AI47" s="1929"/>
      <c r="AJ47" s="1929"/>
      <c r="AK47" s="1929"/>
      <c r="AL47" s="1933"/>
      <c r="AM47" s="1934"/>
      <c r="AN47" s="1934"/>
      <c r="AO47" s="1935"/>
      <c r="AP47" s="1933"/>
      <c r="AQ47" s="1934"/>
      <c r="AR47" s="1935"/>
      <c r="AS47" s="1914">
        <f t="shared" si="2"/>
        <v>0</v>
      </c>
      <c r="AT47" s="1915"/>
      <c r="AU47" s="1915"/>
      <c r="AV47" s="1915"/>
      <c r="AW47" s="1915"/>
      <c r="AX47" s="1916"/>
      <c r="AY47" s="1930">
        <f t="shared" si="3"/>
        <v>0</v>
      </c>
      <c r="AZ47" s="1931"/>
      <c r="BA47" s="1931"/>
      <c r="BB47" s="1931"/>
      <c r="BC47" s="1931"/>
      <c r="BD47" s="1932"/>
      <c r="BE47" s="973"/>
    </row>
    <row r="48" spans="1:58" ht="15.75" customHeight="1">
      <c r="A48" s="970"/>
      <c r="B48" s="975" t="s">
        <v>1938</v>
      </c>
      <c r="C48" s="970"/>
      <c r="D48" s="970"/>
      <c r="E48" s="970"/>
      <c r="F48" s="970"/>
      <c r="G48" s="970"/>
      <c r="H48" s="970"/>
      <c r="I48" s="970"/>
      <c r="J48" s="970"/>
      <c r="K48" s="970"/>
      <c r="L48" s="970"/>
      <c r="M48" s="970"/>
      <c r="N48" s="970"/>
      <c r="O48" s="970"/>
      <c r="P48" s="970"/>
      <c r="Q48" s="970"/>
      <c r="R48" s="970"/>
      <c r="S48" s="970"/>
      <c r="T48" s="970"/>
      <c r="U48" s="970"/>
      <c r="V48" s="970"/>
      <c r="W48" s="970"/>
      <c r="X48" s="970"/>
      <c r="Y48" s="970"/>
      <c r="Z48" s="970"/>
      <c r="AA48" s="970"/>
      <c r="AB48" s="970"/>
      <c r="AC48" s="970"/>
      <c r="AD48" s="970"/>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970"/>
      <c r="BD48" s="970"/>
      <c r="BE48" s="973"/>
      <c r="BF48" s="968"/>
    </row>
    <row r="49" spans="1:77" ht="15.75" customHeight="1" thickBot="1">
      <c r="A49" s="970"/>
      <c r="B49" s="975" t="s">
        <v>1939</v>
      </c>
      <c r="C49" s="970"/>
      <c r="D49" s="970"/>
      <c r="E49" s="970"/>
      <c r="F49" s="970"/>
      <c r="G49" s="970"/>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0"/>
      <c r="AH49" s="970"/>
      <c r="AI49" s="970"/>
      <c r="AJ49" s="970"/>
      <c r="AK49" s="970"/>
      <c r="AL49" s="970"/>
      <c r="AM49" s="970"/>
      <c r="AN49" s="970"/>
      <c r="AO49" s="970"/>
      <c r="AP49" s="971"/>
      <c r="AQ49" s="971"/>
      <c r="AR49" s="971"/>
      <c r="AS49" s="971"/>
      <c r="AT49" s="971"/>
      <c r="AU49" s="971"/>
      <c r="AV49" s="971"/>
      <c r="AW49" s="971"/>
      <c r="AX49" s="970"/>
      <c r="AY49" s="970"/>
      <c r="AZ49" s="970"/>
      <c r="BA49" s="970"/>
      <c r="BB49" s="970"/>
      <c r="BC49" s="970"/>
      <c r="BD49" s="970"/>
      <c r="BE49" s="973"/>
      <c r="BF49" s="968"/>
    </row>
    <row r="50" spans="1:77" ht="15.75" customHeight="1">
      <c r="A50" s="970"/>
      <c r="B50" s="1936" t="s">
        <v>1940</v>
      </c>
      <c r="C50" s="1937"/>
      <c r="D50" s="1937"/>
      <c r="E50" s="1937"/>
      <c r="F50" s="1937"/>
      <c r="G50" s="1937"/>
      <c r="H50" s="1937"/>
      <c r="I50" s="1937"/>
      <c r="J50" s="1937"/>
      <c r="K50" s="1937"/>
      <c r="L50" s="1937"/>
      <c r="M50" s="1937"/>
      <c r="N50" s="1937"/>
      <c r="O50" s="1937"/>
      <c r="P50" s="1937"/>
      <c r="Q50" s="1937"/>
      <c r="R50" s="1937"/>
      <c r="S50" s="1937"/>
      <c r="T50" s="1937"/>
      <c r="U50" s="1937"/>
      <c r="V50" s="1937"/>
      <c r="W50" s="1937"/>
      <c r="X50" s="1937"/>
      <c r="Y50" s="1937"/>
      <c r="Z50" s="1937"/>
      <c r="AA50" s="1937"/>
      <c r="AB50" s="1937"/>
      <c r="AC50" s="1937"/>
      <c r="AD50" s="1937"/>
      <c r="AE50" s="1937"/>
      <c r="AF50" s="1937"/>
      <c r="AG50" s="1937"/>
      <c r="AH50" s="1937"/>
      <c r="AI50" s="1937"/>
      <c r="AJ50" s="1937"/>
      <c r="AK50" s="1937"/>
      <c r="AL50" s="1937"/>
      <c r="AM50" s="1937"/>
      <c r="AN50" s="1937"/>
      <c r="AO50" s="1938"/>
      <c r="AP50" s="971"/>
      <c r="AQ50" s="971"/>
      <c r="AR50" s="971"/>
      <c r="AS50" s="971"/>
      <c r="AT50" s="971"/>
      <c r="AU50" s="971"/>
      <c r="AV50" s="971"/>
      <c r="AW50" s="971"/>
      <c r="AX50" s="970"/>
      <c r="AY50" s="970"/>
      <c r="AZ50" s="970"/>
      <c r="BA50" s="970"/>
      <c r="BB50" s="970"/>
      <c r="BC50" s="970"/>
      <c r="BD50" s="970"/>
      <c r="BE50" s="973"/>
    </row>
    <row r="51" spans="1:77" ht="33.75" customHeight="1">
      <c r="A51" s="970"/>
      <c r="B51" s="1939" t="s">
        <v>1941</v>
      </c>
      <c r="C51" s="1940"/>
      <c r="D51" s="1940"/>
      <c r="E51" s="1940"/>
      <c r="F51" s="1940"/>
      <c r="G51" s="1940"/>
      <c r="H51" s="1940"/>
      <c r="I51" s="1940"/>
      <c r="J51" s="1940" t="s">
        <v>1942</v>
      </c>
      <c r="K51" s="1940"/>
      <c r="L51" s="1940"/>
      <c r="M51" s="1940"/>
      <c r="N51" s="1940"/>
      <c r="O51" s="1940"/>
      <c r="P51" s="1940"/>
      <c r="Q51" s="1940"/>
      <c r="R51" s="1941" t="s">
        <v>1943</v>
      </c>
      <c r="S51" s="1941"/>
      <c r="T51" s="1941"/>
      <c r="U51" s="1941"/>
      <c r="V51" s="1941"/>
      <c r="W51" s="1941"/>
      <c r="X51" s="1941"/>
      <c r="Y51" s="1941"/>
      <c r="Z51" s="1941" t="s">
        <v>1944</v>
      </c>
      <c r="AA51" s="1941"/>
      <c r="AB51" s="1941"/>
      <c r="AC51" s="1941"/>
      <c r="AD51" s="1941"/>
      <c r="AE51" s="1941"/>
      <c r="AF51" s="1941"/>
      <c r="AG51" s="1941"/>
      <c r="AH51" s="1941" t="s">
        <v>1945</v>
      </c>
      <c r="AI51" s="1941"/>
      <c r="AJ51" s="1941"/>
      <c r="AK51" s="1941"/>
      <c r="AL51" s="1941"/>
      <c r="AM51" s="1941"/>
      <c r="AN51" s="1941"/>
      <c r="AO51" s="1942"/>
      <c r="AP51" s="971"/>
      <c r="AQ51" s="971"/>
      <c r="AR51" s="971"/>
      <c r="AS51" s="971"/>
      <c r="AT51" s="971"/>
      <c r="AU51" s="971"/>
      <c r="AV51" s="971"/>
      <c r="AW51" s="971"/>
      <c r="AX51" s="974"/>
      <c r="AY51" s="970"/>
      <c r="AZ51" s="970"/>
      <c r="BA51" s="970"/>
      <c r="BB51" s="970"/>
      <c r="BC51" s="970"/>
      <c r="BD51" s="970"/>
      <c r="BE51" s="973"/>
    </row>
    <row r="52" spans="1:77" ht="15.75" customHeight="1">
      <c r="A52" s="970"/>
      <c r="B52" s="1924" t="s">
        <v>1946</v>
      </c>
      <c r="C52" s="1925"/>
      <c r="D52" s="1925"/>
      <c r="E52" s="1925"/>
      <c r="F52" s="1925"/>
      <c r="G52" s="1925"/>
      <c r="H52" s="1925"/>
      <c r="I52" s="1925"/>
      <c r="J52" s="1943">
        <v>0</v>
      </c>
      <c r="K52" s="1943"/>
      <c r="L52" s="1943"/>
      <c r="M52" s="1943"/>
      <c r="N52" s="1943"/>
      <c r="O52" s="1943"/>
      <c r="P52" s="1943"/>
      <c r="Q52" s="1943"/>
      <c r="R52" s="1944">
        <v>0</v>
      </c>
      <c r="S52" s="1944"/>
      <c r="T52" s="1944"/>
      <c r="U52" s="1944"/>
      <c r="V52" s="1944"/>
      <c r="W52" s="1944"/>
      <c r="X52" s="1944"/>
      <c r="Y52" s="1944"/>
      <c r="Z52" s="1945">
        <v>0</v>
      </c>
      <c r="AA52" s="1945"/>
      <c r="AB52" s="1945"/>
      <c r="AC52" s="1945"/>
      <c r="AD52" s="1945"/>
      <c r="AE52" s="1945"/>
      <c r="AF52" s="1945"/>
      <c r="AG52" s="1945"/>
      <c r="AH52" s="1946"/>
      <c r="AI52" s="1946"/>
      <c r="AJ52" s="1946"/>
      <c r="AK52" s="1946"/>
      <c r="AL52" s="1946"/>
      <c r="AM52" s="1946"/>
      <c r="AN52" s="1946"/>
      <c r="AO52" s="1947"/>
      <c r="AP52" s="971"/>
      <c r="AQ52" s="971"/>
      <c r="AR52" s="971"/>
      <c r="AS52" s="971"/>
      <c r="AT52" s="971"/>
      <c r="AU52" s="971"/>
      <c r="AV52" s="971"/>
      <c r="AW52" s="971"/>
      <c r="AX52" s="974"/>
      <c r="AY52" s="970"/>
      <c r="AZ52" s="970"/>
      <c r="BA52" s="970"/>
      <c r="BB52" s="970"/>
      <c r="BC52" s="970"/>
      <c r="BD52" s="970"/>
      <c r="BE52" s="973"/>
    </row>
    <row r="53" spans="1:77" ht="15.75" customHeight="1">
      <c r="A53" s="970"/>
      <c r="B53" s="1924" t="s">
        <v>1947</v>
      </c>
      <c r="C53" s="1925"/>
      <c r="D53" s="1925"/>
      <c r="E53" s="1925"/>
      <c r="F53" s="1925"/>
      <c r="G53" s="1925"/>
      <c r="H53" s="1925"/>
      <c r="I53" s="1925"/>
      <c r="J53" s="1943">
        <v>0</v>
      </c>
      <c r="K53" s="1943"/>
      <c r="L53" s="1943"/>
      <c r="M53" s="1943"/>
      <c r="N53" s="1943"/>
      <c r="O53" s="1943"/>
      <c r="P53" s="1943"/>
      <c r="Q53" s="1943"/>
      <c r="R53" s="1944">
        <v>0</v>
      </c>
      <c r="S53" s="1944"/>
      <c r="T53" s="1944"/>
      <c r="U53" s="1944"/>
      <c r="V53" s="1944"/>
      <c r="W53" s="1944"/>
      <c r="X53" s="1944"/>
      <c r="Y53" s="1944"/>
      <c r="Z53" s="1945">
        <v>0</v>
      </c>
      <c r="AA53" s="1945"/>
      <c r="AB53" s="1945"/>
      <c r="AC53" s="1945"/>
      <c r="AD53" s="1945"/>
      <c r="AE53" s="1945"/>
      <c r="AF53" s="1945"/>
      <c r="AG53" s="1945"/>
      <c r="AH53" s="1946"/>
      <c r="AI53" s="1946"/>
      <c r="AJ53" s="1946"/>
      <c r="AK53" s="1946"/>
      <c r="AL53" s="1946"/>
      <c r="AM53" s="1946"/>
      <c r="AN53" s="1946"/>
      <c r="AO53" s="1947"/>
      <c r="AP53" s="971"/>
      <c r="AQ53" s="971"/>
      <c r="AR53" s="971"/>
      <c r="AS53" s="971"/>
      <c r="AT53" s="971"/>
      <c r="AU53" s="971"/>
      <c r="AV53" s="971"/>
      <c r="AW53" s="971"/>
      <c r="AX53" s="970"/>
      <c r="AY53" s="970"/>
      <c r="AZ53" s="970"/>
      <c r="BA53" s="970"/>
      <c r="BB53" s="970"/>
      <c r="BC53" s="970"/>
      <c r="BD53" s="970"/>
      <c r="BE53" s="973"/>
    </row>
    <row r="54" spans="1:77" ht="15.75" customHeight="1">
      <c r="A54" s="970"/>
      <c r="B54" s="1924"/>
      <c r="C54" s="1925"/>
      <c r="D54" s="1925"/>
      <c r="E54" s="1925"/>
      <c r="F54" s="1925"/>
      <c r="G54" s="1925"/>
      <c r="H54" s="1925"/>
      <c r="I54" s="1925"/>
      <c r="J54" s="1943"/>
      <c r="K54" s="1943"/>
      <c r="L54" s="1943"/>
      <c r="M54" s="1943"/>
      <c r="N54" s="1943"/>
      <c r="O54" s="1943"/>
      <c r="P54" s="1943"/>
      <c r="Q54" s="1943"/>
      <c r="R54" s="1944"/>
      <c r="S54" s="1944"/>
      <c r="T54" s="1944"/>
      <c r="U54" s="1944"/>
      <c r="V54" s="1944"/>
      <c r="W54" s="1944"/>
      <c r="X54" s="1944"/>
      <c r="Y54" s="1944"/>
      <c r="Z54" s="1945"/>
      <c r="AA54" s="1945"/>
      <c r="AB54" s="1945"/>
      <c r="AC54" s="1945"/>
      <c r="AD54" s="1945"/>
      <c r="AE54" s="1945"/>
      <c r="AF54" s="1945"/>
      <c r="AG54" s="1945"/>
      <c r="AH54" s="1946"/>
      <c r="AI54" s="1946"/>
      <c r="AJ54" s="1946"/>
      <c r="AK54" s="1946"/>
      <c r="AL54" s="1946"/>
      <c r="AM54" s="1946"/>
      <c r="AN54" s="1946"/>
      <c r="AO54" s="1947"/>
      <c r="AP54" s="971"/>
      <c r="AQ54" s="971"/>
      <c r="AR54" s="971"/>
      <c r="AS54" s="971"/>
      <c r="AT54" s="971"/>
      <c r="AU54" s="971"/>
      <c r="AV54" s="971"/>
      <c r="AW54" s="971"/>
      <c r="AX54" s="970"/>
      <c r="AY54" s="970"/>
      <c r="AZ54" s="970"/>
      <c r="BA54" s="970"/>
      <c r="BB54" s="970"/>
      <c r="BC54" s="970"/>
      <c r="BD54" s="970"/>
      <c r="BE54" s="973"/>
    </row>
    <row r="55" spans="1:77" ht="15.75" customHeight="1">
      <c r="A55" s="970"/>
      <c r="B55" s="1924"/>
      <c r="C55" s="1925"/>
      <c r="D55" s="1925"/>
      <c r="E55" s="1925"/>
      <c r="F55" s="1925"/>
      <c r="G55" s="1925"/>
      <c r="H55" s="1925"/>
      <c r="I55" s="1925"/>
      <c r="J55" s="1943"/>
      <c r="K55" s="1943"/>
      <c r="L55" s="1943"/>
      <c r="M55" s="1943"/>
      <c r="N55" s="1943"/>
      <c r="O55" s="1943"/>
      <c r="P55" s="1943"/>
      <c r="Q55" s="1943"/>
      <c r="R55" s="1944"/>
      <c r="S55" s="1944"/>
      <c r="T55" s="1944"/>
      <c r="U55" s="1944"/>
      <c r="V55" s="1944"/>
      <c r="W55" s="1944"/>
      <c r="X55" s="1944"/>
      <c r="Y55" s="1944"/>
      <c r="Z55" s="1945"/>
      <c r="AA55" s="1945"/>
      <c r="AB55" s="1945"/>
      <c r="AC55" s="1945"/>
      <c r="AD55" s="1945"/>
      <c r="AE55" s="1945"/>
      <c r="AF55" s="1945"/>
      <c r="AG55" s="1945"/>
      <c r="AH55" s="1946"/>
      <c r="AI55" s="1946"/>
      <c r="AJ55" s="1946"/>
      <c r="AK55" s="1946"/>
      <c r="AL55" s="1946"/>
      <c r="AM55" s="1946"/>
      <c r="AN55" s="1946"/>
      <c r="AO55" s="1947"/>
      <c r="AP55" s="971"/>
      <c r="AQ55" s="971"/>
      <c r="AR55" s="971"/>
      <c r="AS55" s="971"/>
      <c r="AT55" s="971" t="s">
        <v>254</v>
      </c>
      <c r="AU55" s="971"/>
      <c r="AV55" s="971"/>
      <c r="AW55" s="971"/>
      <c r="AX55" s="970"/>
      <c r="AY55" s="970"/>
      <c r="AZ55" s="970"/>
      <c r="BA55" s="970"/>
      <c r="BB55" s="970"/>
      <c r="BC55" s="970"/>
      <c r="BD55" s="970"/>
      <c r="BE55" s="973"/>
    </row>
    <row r="56" spans="1:77" ht="15.75" customHeight="1">
      <c r="A56" s="970"/>
      <c r="B56" s="1924"/>
      <c r="C56" s="1925"/>
      <c r="D56" s="1925"/>
      <c r="E56" s="1925"/>
      <c r="F56" s="1925"/>
      <c r="G56" s="1925"/>
      <c r="H56" s="1925"/>
      <c r="I56" s="1925"/>
      <c r="J56" s="1943"/>
      <c r="K56" s="1943"/>
      <c r="L56" s="1943"/>
      <c r="M56" s="1943"/>
      <c r="N56" s="1943"/>
      <c r="O56" s="1943"/>
      <c r="P56" s="1943"/>
      <c r="Q56" s="1943"/>
      <c r="R56" s="1944"/>
      <c r="S56" s="1944"/>
      <c r="T56" s="1944"/>
      <c r="U56" s="1944"/>
      <c r="V56" s="1944"/>
      <c r="W56" s="1944"/>
      <c r="X56" s="1944"/>
      <c r="Y56" s="1944"/>
      <c r="Z56" s="1945"/>
      <c r="AA56" s="1945"/>
      <c r="AB56" s="1945"/>
      <c r="AC56" s="1945"/>
      <c r="AD56" s="1945"/>
      <c r="AE56" s="1945"/>
      <c r="AF56" s="1945"/>
      <c r="AG56" s="1945"/>
      <c r="AH56" s="1946"/>
      <c r="AI56" s="1946"/>
      <c r="AJ56" s="1946"/>
      <c r="AK56" s="1946"/>
      <c r="AL56" s="1946"/>
      <c r="AM56" s="1946"/>
      <c r="AN56" s="1946"/>
      <c r="AO56" s="1947"/>
      <c r="AP56" s="971"/>
      <c r="AQ56" s="971"/>
      <c r="AR56" s="971"/>
      <c r="AS56" s="971"/>
      <c r="AT56" s="971"/>
      <c r="AU56" s="971"/>
      <c r="AV56" s="971"/>
      <c r="AW56" s="971"/>
      <c r="AX56" s="970"/>
      <c r="AY56" s="970"/>
      <c r="AZ56" s="970"/>
      <c r="BA56" s="970"/>
      <c r="BB56" s="970"/>
      <c r="BC56" s="970"/>
      <c r="BD56" s="970"/>
      <c r="BE56" s="973"/>
    </row>
    <row r="57" spans="1:77" s="977" customFormat="1" ht="15.75" customHeight="1" thickBot="1">
      <c r="A57" s="971"/>
      <c r="B57" s="1957" t="s">
        <v>1915</v>
      </c>
      <c r="C57" s="1958"/>
      <c r="D57" s="1958"/>
      <c r="E57" s="1958"/>
      <c r="F57" s="1958"/>
      <c r="G57" s="1958"/>
      <c r="H57" s="1958"/>
      <c r="I57" s="1958"/>
      <c r="J57" s="1958"/>
      <c r="K57" s="1958"/>
      <c r="L57" s="1958"/>
      <c r="M57" s="1958"/>
      <c r="N57" s="1958"/>
      <c r="O57" s="1958"/>
      <c r="P57" s="1958"/>
      <c r="Q57" s="1958"/>
      <c r="R57" s="1959">
        <f>SUM(R52:Y56)</f>
        <v>0</v>
      </c>
      <c r="S57" s="1959"/>
      <c r="T57" s="1959"/>
      <c r="U57" s="1959"/>
      <c r="V57" s="1959"/>
      <c r="W57" s="1959"/>
      <c r="X57" s="1959"/>
      <c r="Y57" s="1959"/>
      <c r="Z57" s="1960">
        <f>SUM(Z52:AG56)</f>
        <v>0</v>
      </c>
      <c r="AA57" s="1960"/>
      <c r="AB57" s="1960"/>
      <c r="AC57" s="1960"/>
      <c r="AD57" s="1960"/>
      <c r="AE57" s="1960"/>
      <c r="AF57" s="1960"/>
      <c r="AG57" s="1960"/>
      <c r="AH57" s="1961"/>
      <c r="AI57" s="1961"/>
      <c r="AJ57" s="1961"/>
      <c r="AK57" s="1961"/>
      <c r="AL57" s="1961"/>
      <c r="AM57" s="1961"/>
      <c r="AN57" s="1961"/>
      <c r="AO57" s="1962"/>
      <c r="AP57" s="971"/>
      <c r="AQ57" s="971"/>
      <c r="AR57" s="971"/>
      <c r="AS57" s="971"/>
      <c r="AT57" s="971"/>
      <c r="AU57" s="971"/>
      <c r="AV57" s="971"/>
      <c r="AW57" s="971"/>
      <c r="AX57" s="971"/>
      <c r="AY57" s="971"/>
      <c r="AZ57" s="971"/>
      <c r="BA57" s="971"/>
      <c r="BB57" s="971"/>
      <c r="BC57" s="971"/>
      <c r="BD57" s="971"/>
      <c r="BE57" s="976"/>
      <c r="BN57" s="1033"/>
      <c r="BO57" s="1033"/>
      <c r="BP57" s="1033"/>
      <c r="BQ57" s="1033"/>
      <c r="BR57" s="1033"/>
      <c r="BS57" s="1033"/>
      <c r="BT57" s="1033"/>
      <c r="BU57" s="1033"/>
      <c r="BV57" s="1033"/>
      <c r="BW57" s="1033"/>
      <c r="BX57" s="1033"/>
      <c r="BY57" s="1033"/>
    </row>
    <row r="58" spans="1:77" ht="15.75" customHeight="1" thickBot="1">
      <c r="A58" s="970"/>
      <c r="B58" s="970"/>
      <c r="C58" s="970"/>
      <c r="D58" s="970"/>
      <c r="E58" s="970"/>
      <c r="F58" s="970"/>
      <c r="G58" s="970"/>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c r="AL58" s="970"/>
      <c r="AM58" s="970"/>
      <c r="AN58" s="970"/>
      <c r="AO58" s="970"/>
      <c r="AP58" s="970"/>
      <c r="AQ58" s="970"/>
      <c r="AR58" s="970"/>
      <c r="AS58" s="970"/>
      <c r="AT58" s="970"/>
      <c r="AU58" s="970"/>
      <c r="AV58" s="970"/>
      <c r="AW58" s="970"/>
      <c r="AX58" s="970"/>
      <c r="AY58" s="970"/>
      <c r="AZ58" s="970"/>
      <c r="BA58" s="970"/>
      <c r="BB58" s="970"/>
      <c r="BC58" s="970"/>
      <c r="BD58" s="970"/>
      <c r="BE58" s="973"/>
    </row>
    <row r="59" spans="1:77" ht="15.75" customHeight="1">
      <c r="A59" s="970"/>
      <c r="B59" s="1948" t="s">
        <v>1941</v>
      </c>
      <c r="C59" s="1949"/>
      <c r="D59" s="1949"/>
      <c r="E59" s="1949"/>
      <c r="F59" s="1949"/>
      <c r="G59" s="1949"/>
      <c r="H59" s="1949"/>
      <c r="I59" s="1950"/>
      <c r="J59" s="1842" t="s">
        <v>1948</v>
      </c>
      <c r="K59" s="1842"/>
      <c r="L59" s="1842"/>
      <c r="M59" s="1842"/>
      <c r="N59" s="1842"/>
      <c r="O59" s="1842"/>
      <c r="P59" s="1842"/>
      <c r="Q59" s="1842"/>
      <c r="R59" s="1842"/>
      <c r="S59" s="1842"/>
      <c r="T59" s="1842"/>
      <c r="U59" s="1842"/>
      <c r="V59" s="1842"/>
      <c r="W59" s="1842"/>
      <c r="X59" s="1842"/>
      <c r="Y59" s="1842"/>
      <c r="Z59" s="1842"/>
      <c r="AA59" s="1842"/>
      <c r="AB59" s="1842"/>
      <c r="AC59" s="1842"/>
      <c r="AD59" s="1842"/>
      <c r="AE59" s="1842"/>
      <c r="AF59" s="1842"/>
      <c r="AG59" s="1842"/>
      <c r="AH59" s="1842"/>
      <c r="AI59" s="1842"/>
      <c r="AJ59" s="1842"/>
      <c r="AK59" s="1842"/>
      <c r="AL59" s="1842"/>
      <c r="AM59" s="1842"/>
      <c r="AN59" s="1842"/>
      <c r="AO59" s="1842"/>
      <c r="AP59" s="1842"/>
      <c r="AQ59" s="1842"/>
      <c r="AR59" s="1842"/>
      <c r="AS59" s="1842"/>
      <c r="AT59" s="1842"/>
      <c r="AU59" s="1842"/>
      <c r="AV59" s="1842"/>
      <c r="AW59" s="1843"/>
      <c r="AX59" s="970"/>
      <c r="AY59" s="970"/>
      <c r="AZ59" s="970"/>
      <c r="BA59" s="970"/>
      <c r="BB59" s="970"/>
      <c r="BC59" s="970"/>
      <c r="BD59" s="970"/>
      <c r="BE59" s="973"/>
    </row>
    <row r="60" spans="1:77" ht="15.75" customHeight="1">
      <c r="A60" s="970"/>
      <c r="B60" s="1951" t="str">
        <f>IF(B52="", "", B52)</f>
        <v>Services Company 1</v>
      </c>
      <c r="C60" s="1952"/>
      <c r="D60" s="1952"/>
      <c r="E60" s="1952"/>
      <c r="F60" s="1952"/>
      <c r="G60" s="1952"/>
      <c r="H60" s="1952"/>
      <c r="I60" s="1953"/>
      <c r="J60" s="1954"/>
      <c r="K60" s="1955"/>
      <c r="L60" s="1955"/>
      <c r="M60" s="1955"/>
      <c r="N60" s="1955"/>
      <c r="O60" s="1955"/>
      <c r="P60" s="1955"/>
      <c r="Q60" s="1955"/>
      <c r="R60" s="1955"/>
      <c r="S60" s="1955"/>
      <c r="T60" s="1955"/>
      <c r="U60" s="1955"/>
      <c r="V60" s="1955"/>
      <c r="W60" s="1955"/>
      <c r="X60" s="1955"/>
      <c r="Y60" s="1955"/>
      <c r="Z60" s="1955"/>
      <c r="AA60" s="1955"/>
      <c r="AB60" s="1955"/>
      <c r="AC60" s="1955"/>
      <c r="AD60" s="1955"/>
      <c r="AE60" s="1955"/>
      <c r="AF60" s="1955"/>
      <c r="AG60" s="1955"/>
      <c r="AH60" s="1955"/>
      <c r="AI60" s="1955"/>
      <c r="AJ60" s="1955"/>
      <c r="AK60" s="1955"/>
      <c r="AL60" s="1955"/>
      <c r="AM60" s="1955"/>
      <c r="AN60" s="1955"/>
      <c r="AO60" s="1955"/>
      <c r="AP60" s="1955"/>
      <c r="AQ60" s="1955"/>
      <c r="AR60" s="1955"/>
      <c r="AS60" s="1955"/>
      <c r="AT60" s="1955"/>
      <c r="AU60" s="1955"/>
      <c r="AV60" s="1955"/>
      <c r="AW60" s="1956"/>
      <c r="AX60" s="970"/>
      <c r="AY60" s="970"/>
      <c r="AZ60" s="970"/>
      <c r="BA60" s="970"/>
      <c r="BB60" s="970"/>
      <c r="BC60" s="970"/>
      <c r="BD60" s="970"/>
      <c r="BE60" s="973"/>
    </row>
    <row r="61" spans="1:77" ht="15.75" customHeight="1">
      <c r="A61" s="970"/>
      <c r="B61" s="1951" t="str">
        <f>IF(B53="", "", B53)</f>
        <v>Services Company 2</v>
      </c>
      <c r="C61" s="1952"/>
      <c r="D61" s="1952"/>
      <c r="E61" s="1952"/>
      <c r="F61" s="1952"/>
      <c r="G61" s="1952"/>
      <c r="H61" s="1952"/>
      <c r="I61" s="1953"/>
      <c r="J61" s="1954"/>
      <c r="K61" s="1955"/>
      <c r="L61" s="1955"/>
      <c r="M61" s="1955"/>
      <c r="N61" s="1955"/>
      <c r="O61" s="1955"/>
      <c r="P61" s="1955"/>
      <c r="Q61" s="1955"/>
      <c r="R61" s="1955"/>
      <c r="S61" s="1955"/>
      <c r="T61" s="1955"/>
      <c r="U61" s="1955"/>
      <c r="V61" s="1955"/>
      <c r="W61" s="1955"/>
      <c r="X61" s="1955"/>
      <c r="Y61" s="1955"/>
      <c r="Z61" s="1955"/>
      <c r="AA61" s="1955"/>
      <c r="AB61" s="1955"/>
      <c r="AC61" s="1955"/>
      <c r="AD61" s="1955"/>
      <c r="AE61" s="1955"/>
      <c r="AF61" s="1955"/>
      <c r="AG61" s="1955"/>
      <c r="AH61" s="1955"/>
      <c r="AI61" s="1955"/>
      <c r="AJ61" s="1955"/>
      <c r="AK61" s="1955"/>
      <c r="AL61" s="1955"/>
      <c r="AM61" s="1955"/>
      <c r="AN61" s="1955"/>
      <c r="AO61" s="1955"/>
      <c r="AP61" s="1955"/>
      <c r="AQ61" s="1955"/>
      <c r="AR61" s="1955"/>
      <c r="AS61" s="1955"/>
      <c r="AT61" s="1955"/>
      <c r="AU61" s="1955"/>
      <c r="AV61" s="1955"/>
      <c r="AW61" s="1956"/>
      <c r="AX61" s="970"/>
      <c r="AY61" s="970"/>
      <c r="AZ61" s="970"/>
      <c r="BA61" s="970"/>
      <c r="BB61" s="970"/>
      <c r="BC61" s="970"/>
      <c r="BD61" s="970"/>
      <c r="BE61" s="973"/>
    </row>
    <row r="62" spans="1:77" ht="15.75" customHeight="1">
      <c r="A62" s="970"/>
      <c r="B62" s="1951" t="str">
        <f>IF(B54="", "", B54)</f>
        <v/>
      </c>
      <c r="C62" s="1952"/>
      <c r="D62" s="1952"/>
      <c r="E62" s="1952"/>
      <c r="F62" s="1952"/>
      <c r="G62" s="1952"/>
      <c r="H62" s="1952"/>
      <c r="I62" s="1953"/>
      <c r="J62" s="1954"/>
      <c r="K62" s="1955"/>
      <c r="L62" s="1955"/>
      <c r="M62" s="1955"/>
      <c r="N62" s="1955"/>
      <c r="O62" s="1955"/>
      <c r="P62" s="1955"/>
      <c r="Q62" s="1955"/>
      <c r="R62" s="1955"/>
      <c r="S62" s="1955"/>
      <c r="T62" s="1955"/>
      <c r="U62" s="1955"/>
      <c r="V62" s="1955"/>
      <c r="W62" s="1955"/>
      <c r="X62" s="1955"/>
      <c r="Y62" s="1955"/>
      <c r="Z62" s="1955"/>
      <c r="AA62" s="1955"/>
      <c r="AB62" s="1955"/>
      <c r="AC62" s="1955"/>
      <c r="AD62" s="1955"/>
      <c r="AE62" s="1955"/>
      <c r="AF62" s="1955"/>
      <c r="AG62" s="1955"/>
      <c r="AH62" s="1955"/>
      <c r="AI62" s="1955"/>
      <c r="AJ62" s="1955"/>
      <c r="AK62" s="1955"/>
      <c r="AL62" s="1955"/>
      <c r="AM62" s="1955"/>
      <c r="AN62" s="1955"/>
      <c r="AO62" s="1955"/>
      <c r="AP62" s="1955"/>
      <c r="AQ62" s="1955"/>
      <c r="AR62" s="1955"/>
      <c r="AS62" s="1955"/>
      <c r="AT62" s="1955"/>
      <c r="AU62" s="1955"/>
      <c r="AV62" s="1955"/>
      <c r="AW62" s="1956"/>
      <c r="AX62" s="970"/>
      <c r="AY62" s="970"/>
      <c r="AZ62" s="970"/>
      <c r="BA62" s="970"/>
      <c r="BB62" s="970"/>
      <c r="BC62" s="970"/>
      <c r="BD62" s="970"/>
      <c r="BE62" s="973"/>
    </row>
    <row r="63" spans="1:77" ht="15.75" customHeight="1">
      <c r="A63" s="970"/>
      <c r="B63" s="1951" t="str">
        <f>IF(B55="", "", B55)</f>
        <v/>
      </c>
      <c r="C63" s="1952"/>
      <c r="D63" s="1952"/>
      <c r="E63" s="1952"/>
      <c r="F63" s="1952"/>
      <c r="G63" s="1952"/>
      <c r="H63" s="1952"/>
      <c r="I63" s="1953"/>
      <c r="J63" s="1954"/>
      <c r="K63" s="1955"/>
      <c r="L63" s="1955"/>
      <c r="M63" s="1955"/>
      <c r="N63" s="1955"/>
      <c r="O63" s="1955"/>
      <c r="P63" s="1955"/>
      <c r="Q63" s="1955"/>
      <c r="R63" s="1955"/>
      <c r="S63" s="1955"/>
      <c r="T63" s="1955"/>
      <c r="U63" s="1955"/>
      <c r="V63" s="1955"/>
      <c r="W63" s="1955"/>
      <c r="X63" s="1955"/>
      <c r="Y63" s="1955"/>
      <c r="Z63" s="1955"/>
      <c r="AA63" s="1955"/>
      <c r="AB63" s="1955"/>
      <c r="AC63" s="1955"/>
      <c r="AD63" s="1955"/>
      <c r="AE63" s="1955"/>
      <c r="AF63" s="1955"/>
      <c r="AG63" s="1955"/>
      <c r="AH63" s="1955"/>
      <c r="AI63" s="1955"/>
      <c r="AJ63" s="1955"/>
      <c r="AK63" s="1955"/>
      <c r="AL63" s="1955"/>
      <c r="AM63" s="1955"/>
      <c r="AN63" s="1955"/>
      <c r="AO63" s="1955"/>
      <c r="AP63" s="1955"/>
      <c r="AQ63" s="1955"/>
      <c r="AR63" s="1955"/>
      <c r="AS63" s="1955"/>
      <c r="AT63" s="1955"/>
      <c r="AU63" s="1955"/>
      <c r="AV63" s="1955"/>
      <c r="AW63" s="1956"/>
      <c r="AX63" s="970"/>
      <c r="AY63" s="970"/>
      <c r="AZ63" s="970"/>
      <c r="BA63" s="970"/>
      <c r="BB63" s="970"/>
      <c r="BC63" s="970"/>
      <c r="BD63" s="970"/>
      <c r="BE63" s="973"/>
    </row>
    <row r="64" spans="1:77" ht="15.75" customHeight="1" thickBot="1">
      <c r="A64" s="970"/>
      <c r="B64" s="1973" t="str">
        <f>IF(B56="", "", B56)</f>
        <v/>
      </c>
      <c r="C64" s="1974"/>
      <c r="D64" s="1974"/>
      <c r="E64" s="1974"/>
      <c r="F64" s="1974"/>
      <c r="G64" s="1974"/>
      <c r="H64" s="1974"/>
      <c r="I64" s="1975"/>
      <c r="J64" s="1976"/>
      <c r="K64" s="1977"/>
      <c r="L64" s="1977"/>
      <c r="M64" s="1977"/>
      <c r="N64" s="1977"/>
      <c r="O64" s="1977"/>
      <c r="P64" s="1977"/>
      <c r="Q64" s="1977"/>
      <c r="R64" s="1977"/>
      <c r="S64" s="1977"/>
      <c r="T64" s="1977"/>
      <c r="U64" s="1977"/>
      <c r="V64" s="1977"/>
      <c r="W64" s="1977"/>
      <c r="X64" s="1977"/>
      <c r="Y64" s="1977"/>
      <c r="Z64" s="1977"/>
      <c r="AA64" s="1977"/>
      <c r="AB64" s="1977"/>
      <c r="AC64" s="1977"/>
      <c r="AD64" s="1977"/>
      <c r="AE64" s="1977"/>
      <c r="AF64" s="1977"/>
      <c r="AG64" s="1977"/>
      <c r="AH64" s="1977"/>
      <c r="AI64" s="1977"/>
      <c r="AJ64" s="1977"/>
      <c r="AK64" s="1977"/>
      <c r="AL64" s="1977"/>
      <c r="AM64" s="1977"/>
      <c r="AN64" s="1977"/>
      <c r="AO64" s="1977"/>
      <c r="AP64" s="1977"/>
      <c r="AQ64" s="1977"/>
      <c r="AR64" s="1977"/>
      <c r="AS64" s="1977"/>
      <c r="AT64" s="1977"/>
      <c r="AU64" s="1977"/>
      <c r="AV64" s="1977"/>
      <c r="AW64" s="1978"/>
      <c r="AX64" s="970"/>
      <c r="AY64" s="970"/>
      <c r="AZ64" s="970"/>
      <c r="BA64" s="970"/>
      <c r="BB64" s="970"/>
      <c r="BC64" s="970"/>
      <c r="BD64" s="970"/>
      <c r="BE64" s="973"/>
    </row>
    <row r="65" spans="1:94" ht="15.75" customHeight="1">
      <c r="A65" s="970"/>
      <c r="B65" s="970"/>
      <c r="C65" s="970"/>
      <c r="D65" s="970"/>
      <c r="E65" s="970"/>
      <c r="F65" s="970"/>
      <c r="G65" s="970"/>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c r="AL65" s="970"/>
      <c r="AM65" s="970"/>
      <c r="AN65" s="970"/>
      <c r="AO65" s="970"/>
      <c r="AP65" s="970"/>
      <c r="AQ65" s="970"/>
      <c r="AR65" s="970"/>
      <c r="AS65" s="970"/>
      <c r="AT65" s="970"/>
      <c r="AU65" s="970"/>
      <c r="AV65" s="970"/>
      <c r="AW65" s="970"/>
      <c r="AX65" s="970"/>
      <c r="AY65" s="970"/>
      <c r="AZ65" s="970"/>
      <c r="BA65" s="970"/>
      <c r="BB65" s="970"/>
      <c r="BC65" s="970"/>
      <c r="BD65" s="970"/>
      <c r="BE65" s="973"/>
    </row>
    <row r="66" spans="1:94" ht="15.75" customHeight="1">
      <c r="A66" s="970"/>
      <c r="B66" s="977" t="s">
        <v>1949</v>
      </c>
      <c r="C66" s="977"/>
      <c r="D66" s="977"/>
      <c r="E66" s="977"/>
      <c r="F66" s="977"/>
      <c r="G66" s="977"/>
      <c r="H66" s="977"/>
      <c r="I66" s="977"/>
      <c r="J66" s="977"/>
      <c r="K66" s="977"/>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c r="AL66" s="970"/>
      <c r="AM66" s="970"/>
      <c r="AN66" s="970"/>
      <c r="AO66" s="970"/>
      <c r="AP66" s="970"/>
      <c r="AQ66" s="970"/>
      <c r="AR66" s="970"/>
      <c r="AS66" s="970"/>
      <c r="AT66" s="970"/>
      <c r="AU66" s="970"/>
      <c r="AV66" s="970"/>
      <c r="AW66" s="970"/>
      <c r="AX66" s="970"/>
      <c r="AY66" s="970"/>
      <c r="AZ66" s="970"/>
      <c r="BA66" s="970"/>
      <c r="BB66" s="970"/>
      <c r="BC66" s="970"/>
      <c r="BD66" s="970"/>
      <c r="BE66" s="973"/>
    </row>
    <row r="67" spans="1:94" ht="15.75" customHeight="1" thickBot="1">
      <c r="A67" s="970"/>
      <c r="B67" s="970"/>
      <c r="C67" s="970"/>
      <c r="D67" s="970"/>
      <c r="E67" s="970"/>
      <c r="F67" s="970"/>
      <c r="G67" s="970"/>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c r="AL67" s="970"/>
      <c r="AM67" s="970"/>
      <c r="AN67" s="970"/>
      <c r="AO67" s="970"/>
      <c r="AP67" s="970"/>
      <c r="AQ67" s="970"/>
      <c r="AR67" s="970"/>
      <c r="AS67" s="970"/>
      <c r="AT67" s="970"/>
      <c r="AU67" s="970"/>
      <c r="AV67" s="970"/>
      <c r="AW67" s="970"/>
      <c r="AX67" s="970"/>
      <c r="AY67" s="970"/>
      <c r="AZ67" s="970"/>
      <c r="BA67" s="970"/>
      <c r="BB67" s="970"/>
      <c r="BC67" s="970"/>
      <c r="BD67" s="970"/>
      <c r="BE67" s="973"/>
    </row>
    <row r="68" spans="1:94" ht="15.75" customHeight="1" thickBot="1">
      <c r="A68" s="970"/>
      <c r="B68" s="1841" t="s">
        <v>1950</v>
      </c>
      <c r="C68" s="1842"/>
      <c r="D68" s="1842"/>
      <c r="E68" s="1842"/>
      <c r="F68" s="1842"/>
      <c r="G68" s="1842"/>
      <c r="H68" s="1842"/>
      <c r="I68" s="1842"/>
      <c r="J68" s="1842"/>
      <c r="K68" s="1842"/>
      <c r="L68" s="1842"/>
      <c r="M68" s="1842"/>
      <c r="N68" s="1842"/>
      <c r="O68" s="1842"/>
      <c r="P68" s="1842"/>
      <c r="Q68" s="1842"/>
      <c r="R68" s="1842"/>
      <c r="S68" s="1842"/>
      <c r="T68" s="1842"/>
      <c r="U68" s="1842"/>
      <c r="V68" s="1842"/>
      <c r="W68" s="1842"/>
      <c r="X68" s="1842"/>
      <c r="Y68" s="1842"/>
      <c r="Z68" s="1842"/>
      <c r="AA68" s="1843"/>
      <c r="AB68" s="970"/>
      <c r="AC68" s="1985" t="s">
        <v>1951</v>
      </c>
      <c r="AD68" s="1986"/>
      <c r="AE68" s="1986"/>
      <c r="AF68" s="1986"/>
      <c r="AG68" s="1986"/>
      <c r="AH68" s="1986"/>
      <c r="AI68" s="1986"/>
      <c r="AJ68" s="1986"/>
      <c r="AK68" s="1986"/>
      <c r="AL68" s="1986"/>
      <c r="AM68" s="1986"/>
      <c r="AN68" s="1986"/>
      <c r="AO68" s="1986"/>
      <c r="AP68" s="1986"/>
      <c r="AQ68" s="1986"/>
      <c r="AR68" s="1986"/>
      <c r="AS68" s="1986"/>
      <c r="AT68" s="1986"/>
      <c r="AU68" s="1986"/>
      <c r="AV68" s="1963" t="s">
        <v>844</v>
      </c>
      <c r="AW68" s="1964"/>
      <c r="AX68" s="1964"/>
      <c r="AY68" s="1964"/>
      <c r="AZ68" s="1964"/>
      <c r="BA68" s="1964"/>
      <c r="BB68" s="1964"/>
      <c r="BC68" s="1965"/>
      <c r="BD68" s="970"/>
      <c r="BE68" s="973"/>
      <c r="BM68" s="978" t="s">
        <v>1952</v>
      </c>
    </row>
    <row r="69" spans="1:94" ht="15.75" customHeight="1" thickTop="1" thickBot="1">
      <c r="A69" s="970"/>
      <c r="B69" s="1966" t="s">
        <v>1953</v>
      </c>
      <c r="C69" s="1967"/>
      <c r="D69" s="1967"/>
      <c r="E69" s="1967"/>
      <c r="F69" s="1967"/>
      <c r="G69" s="1967"/>
      <c r="H69" s="1967"/>
      <c r="I69" s="1967"/>
      <c r="J69" s="1967"/>
      <c r="K69" s="1967"/>
      <c r="L69" s="1967"/>
      <c r="M69" s="1967"/>
      <c r="N69" s="1967"/>
      <c r="O69" s="1968" t="s">
        <v>1954</v>
      </c>
      <c r="P69" s="1969"/>
      <c r="Q69" s="1969"/>
      <c r="R69" s="1969"/>
      <c r="S69" s="1969"/>
      <c r="T69" s="1969"/>
      <c r="U69" s="1969"/>
      <c r="V69" s="1969"/>
      <c r="W69" s="1969"/>
      <c r="X69" s="1969"/>
      <c r="Y69" s="1969"/>
      <c r="Z69" s="1969"/>
      <c r="AA69" s="1970"/>
      <c r="AB69" s="970"/>
      <c r="AC69" s="1971" t="s">
        <v>1955</v>
      </c>
      <c r="AD69" s="1972"/>
      <c r="AE69" s="1972"/>
      <c r="AF69" s="1972"/>
      <c r="AG69" s="1972"/>
      <c r="AH69" s="1972"/>
      <c r="AI69" s="1972"/>
      <c r="AJ69" s="1972"/>
      <c r="AK69" s="1972"/>
      <c r="AL69" s="1972"/>
      <c r="AM69" s="1972"/>
      <c r="AN69" s="1972"/>
      <c r="AO69" s="1972"/>
      <c r="AP69" s="1972"/>
      <c r="AQ69" s="1972"/>
      <c r="AR69" s="1972"/>
      <c r="AS69" s="1972"/>
      <c r="AT69" s="1972"/>
      <c r="AU69" s="1972"/>
      <c r="AV69" s="1963" t="s">
        <v>844</v>
      </c>
      <c r="AW69" s="1964"/>
      <c r="AX69" s="1964"/>
      <c r="AY69" s="1964"/>
      <c r="AZ69" s="1964"/>
      <c r="BA69" s="1964"/>
      <c r="BB69" s="1964"/>
      <c r="BC69" s="1965"/>
      <c r="BD69" s="970"/>
      <c r="BE69" s="973"/>
      <c r="BM69" s="979" t="s">
        <v>694</v>
      </c>
    </row>
    <row r="70" spans="1:94" ht="15.75" customHeight="1">
      <c r="A70" s="970"/>
      <c r="B70" s="1920" t="s">
        <v>1956</v>
      </c>
      <c r="C70" s="1921"/>
      <c r="D70" s="1921"/>
      <c r="E70" s="1921"/>
      <c r="F70" s="1921"/>
      <c r="G70" s="1921"/>
      <c r="H70" s="1921"/>
      <c r="I70" s="1921"/>
      <c r="J70" s="1921"/>
      <c r="K70" s="1921"/>
      <c r="L70" s="1921"/>
      <c r="M70" s="1921"/>
      <c r="N70" s="1921"/>
      <c r="O70" s="1979">
        <v>0</v>
      </c>
      <c r="P70" s="1979"/>
      <c r="Q70" s="1979"/>
      <c r="R70" s="1979"/>
      <c r="S70" s="1979"/>
      <c r="T70" s="1979"/>
      <c r="U70" s="1979"/>
      <c r="V70" s="1979"/>
      <c r="W70" s="1979"/>
      <c r="X70" s="1979"/>
      <c r="Y70" s="1979"/>
      <c r="Z70" s="1979"/>
      <c r="AA70" s="1980"/>
      <c r="AB70" s="970"/>
      <c r="AC70" s="1936" t="s">
        <v>1957</v>
      </c>
      <c r="AD70" s="1937"/>
      <c r="AE70" s="1937"/>
      <c r="AF70" s="1981"/>
      <c r="AG70" s="1981"/>
      <c r="AH70" s="1981"/>
      <c r="AI70" s="1981"/>
      <c r="AJ70" s="1981"/>
      <c r="AK70" s="1981"/>
      <c r="AL70" s="1981"/>
      <c r="AM70" s="1981"/>
      <c r="AN70" s="1981"/>
      <c r="AO70" s="1981"/>
      <c r="AP70" s="1981"/>
      <c r="AQ70" s="1981"/>
      <c r="AR70" s="1981"/>
      <c r="AS70" s="1981"/>
      <c r="AT70" s="1981"/>
      <c r="AU70" s="1982"/>
      <c r="AV70" s="970"/>
      <c r="AW70" s="970"/>
      <c r="AX70" s="970"/>
      <c r="AY70" s="970"/>
      <c r="AZ70" s="970"/>
      <c r="BA70" s="970"/>
      <c r="BB70" s="970"/>
      <c r="BC70" s="970"/>
      <c r="BD70" s="970"/>
      <c r="BE70" s="973"/>
      <c r="BM70" s="980" t="s">
        <v>844</v>
      </c>
    </row>
    <row r="71" spans="1:94" ht="15.75" customHeight="1" thickBot="1">
      <c r="A71" s="970"/>
      <c r="B71" s="1920" t="s">
        <v>1958</v>
      </c>
      <c r="C71" s="1921"/>
      <c r="D71" s="1921"/>
      <c r="E71" s="1921"/>
      <c r="F71" s="1921"/>
      <c r="G71" s="1921"/>
      <c r="H71" s="1921"/>
      <c r="I71" s="1921"/>
      <c r="J71" s="1921"/>
      <c r="K71" s="1921"/>
      <c r="L71" s="1921"/>
      <c r="M71" s="1921"/>
      <c r="N71" s="1921"/>
      <c r="O71" s="1979">
        <v>0</v>
      </c>
      <c r="P71" s="1979"/>
      <c r="Q71" s="1979"/>
      <c r="R71" s="1979"/>
      <c r="S71" s="1979"/>
      <c r="T71" s="1979"/>
      <c r="U71" s="1979"/>
      <c r="V71" s="1979"/>
      <c r="W71" s="1979"/>
      <c r="X71" s="1979"/>
      <c r="Y71" s="1979"/>
      <c r="Z71" s="1979"/>
      <c r="AA71" s="1980"/>
      <c r="AB71" s="970"/>
      <c r="AC71" s="1983" t="s">
        <v>1959</v>
      </c>
      <c r="AD71" s="1984"/>
      <c r="AE71" s="1984"/>
      <c r="AF71" s="1977"/>
      <c r="AG71" s="1977"/>
      <c r="AH71" s="1977"/>
      <c r="AI71" s="1977"/>
      <c r="AJ71" s="1977"/>
      <c r="AK71" s="1977"/>
      <c r="AL71" s="1977"/>
      <c r="AM71" s="1977"/>
      <c r="AN71" s="1977"/>
      <c r="AO71" s="1977"/>
      <c r="AP71" s="1977"/>
      <c r="AQ71" s="1977"/>
      <c r="AR71" s="1977"/>
      <c r="AS71" s="1977"/>
      <c r="AT71" s="1977"/>
      <c r="AU71" s="1978"/>
      <c r="AV71" s="970"/>
      <c r="AW71" s="970"/>
      <c r="AX71" s="970"/>
      <c r="AY71" s="970"/>
      <c r="AZ71" s="970"/>
      <c r="BA71" s="970"/>
      <c r="BB71" s="970"/>
      <c r="BC71" s="970"/>
      <c r="BD71" s="970"/>
      <c r="BE71" s="973"/>
      <c r="BM71" s="967" t="s">
        <v>1960</v>
      </c>
    </row>
    <row r="72" spans="1:94" ht="15.75" customHeight="1">
      <c r="A72" s="970"/>
      <c r="B72" s="1920" t="s">
        <v>1961</v>
      </c>
      <c r="C72" s="1921"/>
      <c r="D72" s="1921"/>
      <c r="E72" s="1921"/>
      <c r="F72" s="1921"/>
      <c r="G72" s="1921"/>
      <c r="H72" s="1921"/>
      <c r="I72" s="1921"/>
      <c r="J72" s="1921"/>
      <c r="K72" s="1921"/>
      <c r="L72" s="1921"/>
      <c r="M72" s="1921"/>
      <c r="N72" s="1921"/>
      <c r="O72" s="1979">
        <v>0</v>
      </c>
      <c r="P72" s="1979"/>
      <c r="Q72" s="1979"/>
      <c r="R72" s="1979"/>
      <c r="S72" s="1979"/>
      <c r="T72" s="1979"/>
      <c r="U72" s="1979"/>
      <c r="V72" s="1979"/>
      <c r="W72" s="1979"/>
      <c r="X72" s="1979"/>
      <c r="Y72" s="1979"/>
      <c r="Z72" s="1979"/>
      <c r="AA72" s="1980"/>
      <c r="AB72" s="970"/>
      <c r="AC72" s="2003" t="s">
        <v>1962</v>
      </c>
      <c r="AD72" s="2004"/>
      <c r="AE72" s="2004"/>
      <c r="AF72" s="2004"/>
      <c r="AG72" s="2004"/>
      <c r="AH72" s="2004"/>
      <c r="AI72" s="2004"/>
      <c r="AJ72" s="2004"/>
      <c r="AK72" s="2004"/>
      <c r="AL72" s="2004"/>
      <c r="AM72" s="2004"/>
      <c r="AN72" s="2004"/>
      <c r="AO72" s="2004"/>
      <c r="AP72" s="2004"/>
      <c r="AQ72" s="2004"/>
      <c r="AR72" s="2004"/>
      <c r="AS72" s="2004"/>
      <c r="AT72" s="2004"/>
      <c r="AU72" s="2004"/>
      <c r="AV72" s="1937"/>
      <c r="AW72" s="1937"/>
      <c r="AX72" s="1937"/>
      <c r="AY72" s="1937"/>
      <c r="AZ72" s="1937"/>
      <c r="BA72" s="1937"/>
      <c r="BB72" s="1937"/>
      <c r="BC72" s="1938"/>
      <c r="BD72" s="970"/>
      <c r="BE72" s="973"/>
    </row>
    <row r="73" spans="1:94" ht="15.75" customHeight="1">
      <c r="A73" s="970"/>
      <c r="B73" s="1924" t="s">
        <v>1963</v>
      </c>
      <c r="C73" s="1925"/>
      <c r="D73" s="1925"/>
      <c r="E73" s="1925"/>
      <c r="F73" s="1925"/>
      <c r="G73" s="1925"/>
      <c r="H73" s="1925"/>
      <c r="I73" s="1925"/>
      <c r="J73" s="1925"/>
      <c r="K73" s="1925"/>
      <c r="L73" s="1925"/>
      <c r="M73" s="1925"/>
      <c r="N73" s="1925"/>
      <c r="O73" s="1979">
        <v>0</v>
      </c>
      <c r="P73" s="1979"/>
      <c r="Q73" s="1979"/>
      <c r="R73" s="1979"/>
      <c r="S73" s="1979"/>
      <c r="T73" s="1979"/>
      <c r="U73" s="1979"/>
      <c r="V73" s="1979"/>
      <c r="W73" s="1979"/>
      <c r="X73" s="1979"/>
      <c r="Y73" s="1979"/>
      <c r="Z73" s="1979"/>
      <c r="AA73" s="1980"/>
      <c r="AB73" s="970"/>
      <c r="AC73" s="2005" t="s">
        <v>1964</v>
      </c>
      <c r="AD73" s="2006"/>
      <c r="AE73" s="2006"/>
      <c r="AF73" s="2006"/>
      <c r="AG73" s="2006"/>
      <c r="AH73" s="2006"/>
      <c r="AI73" s="2006"/>
      <c r="AJ73" s="2006"/>
      <c r="AK73" s="2006"/>
      <c r="AL73" s="2006"/>
      <c r="AM73" s="2006"/>
      <c r="AN73" s="2006"/>
      <c r="AO73" s="2006"/>
      <c r="AP73" s="2006"/>
      <c r="AQ73" s="2006"/>
      <c r="AR73" s="2006"/>
      <c r="AS73" s="2006"/>
      <c r="AT73" s="2006"/>
      <c r="AU73" s="2006"/>
      <c r="AV73" s="2006"/>
      <c r="AW73" s="2006"/>
      <c r="AX73" s="2006"/>
      <c r="AY73" s="2006"/>
      <c r="AZ73" s="2006"/>
      <c r="BA73" s="2006"/>
      <c r="BB73" s="2006"/>
      <c r="BC73" s="2007"/>
      <c r="BD73" s="970"/>
      <c r="BE73" s="973"/>
      <c r="CK73" s="968"/>
      <c r="CL73" s="968"/>
      <c r="CM73" s="968"/>
      <c r="CN73" s="968"/>
      <c r="CO73" s="968"/>
      <c r="CP73" s="968"/>
    </row>
    <row r="74" spans="1:94" ht="15.75" customHeight="1">
      <c r="A74" s="970"/>
      <c r="B74" s="2011"/>
      <c r="C74" s="1943"/>
      <c r="D74" s="1943"/>
      <c r="E74" s="1943"/>
      <c r="F74" s="1943"/>
      <c r="G74" s="1943"/>
      <c r="H74" s="1943"/>
      <c r="I74" s="1943"/>
      <c r="J74" s="1943"/>
      <c r="K74" s="1943"/>
      <c r="L74" s="1943"/>
      <c r="M74" s="1943"/>
      <c r="N74" s="1943"/>
      <c r="O74" s="1979"/>
      <c r="P74" s="1979"/>
      <c r="Q74" s="1979"/>
      <c r="R74" s="1979"/>
      <c r="S74" s="1979"/>
      <c r="T74" s="1979"/>
      <c r="U74" s="1979"/>
      <c r="V74" s="1979"/>
      <c r="W74" s="1979"/>
      <c r="X74" s="1979"/>
      <c r="Y74" s="1979"/>
      <c r="Z74" s="1979"/>
      <c r="AA74" s="1980"/>
      <c r="AB74" s="970"/>
      <c r="AC74" s="2005"/>
      <c r="AD74" s="2006"/>
      <c r="AE74" s="2006"/>
      <c r="AF74" s="2006"/>
      <c r="AG74" s="2006"/>
      <c r="AH74" s="2006"/>
      <c r="AI74" s="2006"/>
      <c r="AJ74" s="2006"/>
      <c r="AK74" s="2006"/>
      <c r="AL74" s="2006"/>
      <c r="AM74" s="2006"/>
      <c r="AN74" s="2006"/>
      <c r="AO74" s="2006"/>
      <c r="AP74" s="2006"/>
      <c r="AQ74" s="2006"/>
      <c r="AR74" s="2006"/>
      <c r="AS74" s="2006"/>
      <c r="AT74" s="2006"/>
      <c r="AU74" s="2006"/>
      <c r="AV74" s="2006"/>
      <c r="AW74" s="2006"/>
      <c r="AX74" s="2006"/>
      <c r="AY74" s="2006"/>
      <c r="AZ74" s="2006"/>
      <c r="BA74" s="2006"/>
      <c r="BB74" s="2006"/>
      <c r="BC74" s="2007"/>
      <c r="BD74" s="970"/>
      <c r="BE74" s="973"/>
      <c r="CK74" s="968"/>
      <c r="CL74" s="968"/>
      <c r="CM74" s="968"/>
      <c r="CN74" s="968"/>
      <c r="CO74" s="968"/>
      <c r="CP74" s="968"/>
    </row>
    <row r="75" spans="1:94" ht="15.75" customHeight="1" thickBot="1">
      <c r="A75" s="970"/>
      <c r="B75" s="2012" t="s">
        <v>1475</v>
      </c>
      <c r="C75" s="2013"/>
      <c r="D75" s="2013"/>
      <c r="E75" s="2013"/>
      <c r="F75" s="2013"/>
      <c r="G75" s="2013"/>
      <c r="H75" s="2013"/>
      <c r="I75" s="2013"/>
      <c r="J75" s="2013"/>
      <c r="K75" s="2013"/>
      <c r="L75" s="2013"/>
      <c r="M75" s="2013"/>
      <c r="N75" s="2013"/>
      <c r="O75" s="2014">
        <f>SUM(O70:AA74)</f>
        <v>0</v>
      </c>
      <c r="P75" s="2014"/>
      <c r="Q75" s="2014"/>
      <c r="R75" s="2014"/>
      <c r="S75" s="2014"/>
      <c r="T75" s="2014"/>
      <c r="U75" s="2014"/>
      <c r="V75" s="2014"/>
      <c r="W75" s="2014"/>
      <c r="X75" s="2014"/>
      <c r="Y75" s="2014"/>
      <c r="Z75" s="2014"/>
      <c r="AA75" s="2015"/>
      <c r="AB75" s="970"/>
      <c r="AC75" s="2005"/>
      <c r="AD75" s="2006"/>
      <c r="AE75" s="2006"/>
      <c r="AF75" s="2006"/>
      <c r="AG75" s="2006"/>
      <c r="AH75" s="2006"/>
      <c r="AI75" s="2006"/>
      <c r="AJ75" s="2006"/>
      <c r="AK75" s="2006"/>
      <c r="AL75" s="2006"/>
      <c r="AM75" s="2006"/>
      <c r="AN75" s="2006"/>
      <c r="AO75" s="2006"/>
      <c r="AP75" s="2006"/>
      <c r="AQ75" s="2006"/>
      <c r="AR75" s="2006"/>
      <c r="AS75" s="2006"/>
      <c r="AT75" s="2006"/>
      <c r="AU75" s="2006"/>
      <c r="AV75" s="2006"/>
      <c r="AW75" s="2006"/>
      <c r="AX75" s="2006"/>
      <c r="AY75" s="2006"/>
      <c r="AZ75" s="2006"/>
      <c r="BA75" s="2006"/>
      <c r="BB75" s="2006"/>
      <c r="BC75" s="2007"/>
      <c r="BD75" s="970"/>
      <c r="BE75" s="973"/>
      <c r="CK75" s="968"/>
      <c r="CL75" s="968"/>
      <c r="CM75" s="968"/>
      <c r="CN75" s="968"/>
      <c r="CO75" s="968"/>
      <c r="CP75" s="968"/>
    </row>
    <row r="76" spans="1:94" ht="15.75" customHeight="1">
      <c r="A76" s="970"/>
      <c r="B76" s="970"/>
      <c r="C76" s="970"/>
      <c r="D76" s="970"/>
      <c r="E76" s="970"/>
      <c r="F76" s="970"/>
      <c r="G76" s="970"/>
      <c r="H76" s="970"/>
      <c r="I76" s="970"/>
      <c r="J76" s="970"/>
      <c r="K76" s="970"/>
      <c r="L76" s="970"/>
      <c r="M76" s="970"/>
      <c r="N76" s="970"/>
      <c r="O76" s="970"/>
      <c r="P76" s="970"/>
      <c r="Q76" s="970"/>
      <c r="R76" s="970"/>
      <c r="S76" s="970"/>
      <c r="T76" s="970"/>
      <c r="U76" s="970"/>
      <c r="V76" s="970"/>
      <c r="W76" s="970"/>
      <c r="X76" s="970"/>
      <c r="Y76" s="970"/>
      <c r="Z76" s="970"/>
      <c r="AA76" s="970"/>
      <c r="AB76" s="970"/>
      <c r="AC76" s="2005"/>
      <c r="AD76" s="2006"/>
      <c r="AE76" s="2006"/>
      <c r="AF76" s="2006"/>
      <c r="AG76" s="2006"/>
      <c r="AH76" s="2006"/>
      <c r="AI76" s="2006"/>
      <c r="AJ76" s="2006"/>
      <c r="AK76" s="2006"/>
      <c r="AL76" s="2006"/>
      <c r="AM76" s="2006"/>
      <c r="AN76" s="2006"/>
      <c r="AO76" s="2006"/>
      <c r="AP76" s="2006"/>
      <c r="AQ76" s="2006"/>
      <c r="AR76" s="2006"/>
      <c r="AS76" s="2006"/>
      <c r="AT76" s="2006"/>
      <c r="AU76" s="2006"/>
      <c r="AV76" s="2006"/>
      <c r="AW76" s="2006"/>
      <c r="AX76" s="2006"/>
      <c r="AY76" s="2006"/>
      <c r="AZ76" s="2006"/>
      <c r="BA76" s="2006"/>
      <c r="BB76" s="2006"/>
      <c r="BC76" s="2007"/>
      <c r="BD76" s="970"/>
      <c r="BE76" s="973"/>
      <c r="CK76" s="968"/>
      <c r="CL76" s="968"/>
      <c r="CM76" s="968"/>
      <c r="CN76" s="968"/>
      <c r="CO76" s="968"/>
      <c r="CP76" s="968"/>
    </row>
    <row r="77" spans="1:94" ht="15.75" customHeight="1" thickBot="1">
      <c r="A77" s="970"/>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2008"/>
      <c r="AD77" s="2009"/>
      <c r="AE77" s="2009"/>
      <c r="AF77" s="2009"/>
      <c r="AG77" s="2009"/>
      <c r="AH77" s="2009"/>
      <c r="AI77" s="2009"/>
      <c r="AJ77" s="2009"/>
      <c r="AK77" s="2009"/>
      <c r="AL77" s="2009"/>
      <c r="AM77" s="2009"/>
      <c r="AN77" s="2009"/>
      <c r="AO77" s="2009"/>
      <c r="AP77" s="2009"/>
      <c r="AQ77" s="2009"/>
      <c r="AR77" s="2009"/>
      <c r="AS77" s="2009"/>
      <c r="AT77" s="2009"/>
      <c r="AU77" s="2009"/>
      <c r="AV77" s="2009"/>
      <c r="AW77" s="2009"/>
      <c r="AX77" s="2009"/>
      <c r="AY77" s="2009"/>
      <c r="AZ77" s="2009"/>
      <c r="BA77" s="2009"/>
      <c r="BB77" s="2009"/>
      <c r="BC77" s="2010"/>
      <c r="BD77" s="970"/>
      <c r="BE77" s="973"/>
      <c r="CK77" s="968"/>
      <c r="CL77" s="968"/>
      <c r="CM77" s="968"/>
      <c r="CN77" s="968"/>
      <c r="CO77" s="968"/>
      <c r="CP77" s="968"/>
    </row>
    <row r="78" spans="1:94" ht="15.75" customHeight="1" thickBot="1">
      <c r="A78" s="970"/>
      <c r="B78" s="981" t="s">
        <v>1965</v>
      </c>
      <c r="C78" s="982"/>
      <c r="D78" s="983"/>
      <c r="E78" s="983"/>
      <c r="F78" s="983"/>
      <c r="G78" s="983"/>
      <c r="H78" s="983"/>
      <c r="I78" s="983"/>
      <c r="J78" s="983"/>
      <c r="K78" s="983"/>
      <c r="L78" s="983"/>
      <c r="M78" s="983"/>
      <c r="N78" s="983"/>
      <c r="O78" s="983"/>
      <c r="P78" s="983"/>
      <c r="Q78" s="983"/>
      <c r="R78" s="983"/>
      <c r="S78" s="983"/>
      <c r="T78" s="984"/>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0"/>
      <c r="BA78" s="970"/>
      <c r="BB78" s="970"/>
      <c r="BC78" s="970"/>
      <c r="BD78" s="970"/>
      <c r="BE78" s="973"/>
      <c r="CK78" s="968"/>
      <c r="CL78" s="968"/>
      <c r="CM78" s="968"/>
      <c r="CN78" s="968"/>
      <c r="CO78" s="968"/>
      <c r="CP78" s="968"/>
    </row>
    <row r="79" spans="1:94" ht="15.75" customHeight="1">
      <c r="A79" s="970"/>
      <c r="B79" s="981" t="s">
        <v>1966</v>
      </c>
      <c r="C79" s="985"/>
      <c r="D79" s="985"/>
      <c r="E79" s="986"/>
      <c r="F79" s="1987"/>
      <c r="G79" s="1988"/>
      <c r="H79" s="1988"/>
      <c r="I79" s="1988"/>
      <c r="J79" s="1988"/>
      <c r="K79" s="1988"/>
      <c r="L79" s="1988"/>
      <c r="M79" s="1988"/>
      <c r="N79" s="1988"/>
      <c r="O79" s="1988"/>
      <c r="P79" s="1988"/>
      <c r="Q79" s="1988"/>
      <c r="R79" s="1988"/>
      <c r="S79" s="1988"/>
      <c r="T79" s="1989"/>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0"/>
      <c r="BA79" s="970"/>
      <c r="BB79" s="970"/>
      <c r="BC79" s="970"/>
      <c r="BD79" s="970"/>
      <c r="BE79" s="973"/>
      <c r="CK79" s="968"/>
      <c r="CL79" s="968"/>
      <c r="CM79" s="968"/>
      <c r="CN79" s="968"/>
      <c r="CO79" s="968"/>
      <c r="CP79" s="968"/>
    </row>
    <row r="80" spans="1:94" ht="15.75" customHeight="1" thickBot="1">
      <c r="A80" s="970"/>
      <c r="B80" s="1990" t="s">
        <v>1967</v>
      </c>
      <c r="C80" s="1991"/>
      <c r="D80" s="1991"/>
      <c r="E80" s="1991"/>
      <c r="F80" s="1991"/>
      <c r="G80" s="1991"/>
      <c r="H80" s="1991"/>
      <c r="I80" s="1991"/>
      <c r="J80" s="1991"/>
      <c r="K80" s="1991"/>
      <c r="L80" s="1991"/>
      <c r="M80" s="1991"/>
      <c r="N80" s="1991"/>
      <c r="O80" s="1991"/>
      <c r="P80" s="1991"/>
      <c r="Q80" s="1991"/>
      <c r="R80" s="1992" t="str">
        <f>IFERROR(INDEX(BR96:BR98,MATCH(F79,$BQ$96:$BQ$98,0))/SUM($BR$96:$BR$98),"")</f>
        <v/>
      </c>
      <c r="S80" s="1993"/>
      <c r="T80" s="1994"/>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0"/>
      <c r="BA80" s="970"/>
      <c r="BB80" s="970"/>
      <c r="BC80" s="970"/>
      <c r="BD80" s="970"/>
      <c r="BE80" s="973"/>
      <c r="CK80" s="968"/>
      <c r="CL80" s="968"/>
      <c r="CM80" s="968"/>
      <c r="CN80" s="968"/>
      <c r="CO80" s="968"/>
      <c r="CP80" s="968"/>
    </row>
    <row r="81" spans="1:94" ht="15.75" customHeight="1" thickBot="1">
      <c r="A81" s="970"/>
      <c r="B81" s="1995" t="s">
        <v>1968</v>
      </c>
      <c r="C81" s="1996"/>
      <c r="D81" s="1996"/>
      <c r="E81" s="1996"/>
      <c r="F81" s="1996"/>
      <c r="G81" s="1996"/>
      <c r="H81" s="1996"/>
      <c r="I81" s="1996"/>
      <c r="J81" s="1996"/>
      <c r="K81" s="1996"/>
      <c r="L81" s="1996"/>
      <c r="M81" s="1996"/>
      <c r="N81" s="1996"/>
      <c r="O81" s="1996"/>
      <c r="P81" s="1996"/>
      <c r="Q81" s="1996"/>
      <c r="R81" s="1997" t="s">
        <v>1969</v>
      </c>
      <c r="S81" s="1998"/>
      <c r="T81" s="1999"/>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0"/>
      <c r="BA81" s="970"/>
      <c r="BB81" s="970"/>
      <c r="BC81" s="970"/>
      <c r="BD81" s="970"/>
      <c r="BE81" s="973"/>
      <c r="CK81" s="968"/>
      <c r="CL81" s="968"/>
      <c r="CM81" s="968"/>
      <c r="CN81" s="968"/>
      <c r="CO81" s="968"/>
      <c r="CP81" s="968"/>
    </row>
    <row r="82" spans="1:94" ht="15.75" customHeight="1" thickBo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970"/>
      <c r="BD82" s="970"/>
      <c r="BE82" s="973"/>
      <c r="CK82" s="968"/>
      <c r="CL82" s="968"/>
      <c r="CM82" s="968"/>
      <c r="CN82" s="968"/>
      <c r="CO82" s="968"/>
      <c r="CP82" s="968"/>
    </row>
    <row r="83" spans="1:94" ht="15.75" customHeight="1">
      <c r="A83" s="970"/>
      <c r="B83" s="2000" t="s">
        <v>1970</v>
      </c>
      <c r="C83" s="2001"/>
      <c r="D83" s="2001"/>
      <c r="E83" s="2001"/>
      <c r="F83" s="2001"/>
      <c r="G83" s="2001"/>
      <c r="H83" s="2001"/>
      <c r="I83" s="2001"/>
      <c r="J83" s="2001"/>
      <c r="K83" s="2001"/>
      <c r="L83" s="2001"/>
      <c r="M83" s="2001"/>
      <c r="N83" s="2001"/>
      <c r="O83" s="2001"/>
      <c r="P83" s="2001"/>
      <c r="Q83" s="2001"/>
      <c r="R83" s="2001"/>
      <c r="S83" s="2001"/>
      <c r="T83" s="2001"/>
      <c r="U83" s="2001"/>
      <c r="V83" s="2001"/>
      <c r="W83" s="2001"/>
      <c r="X83" s="2001"/>
      <c r="Y83" s="2001"/>
      <c r="Z83" s="2001"/>
      <c r="AA83" s="2001"/>
      <c r="AB83" s="2001"/>
      <c r="AC83" s="2001"/>
      <c r="AD83" s="2001"/>
      <c r="AE83" s="2001"/>
      <c r="AF83" s="2001"/>
      <c r="AG83" s="2001"/>
      <c r="AH83" s="2002"/>
      <c r="AI83" s="970"/>
      <c r="AJ83" s="2018" t="s">
        <v>1971</v>
      </c>
      <c r="AK83" s="2019"/>
      <c r="AL83" s="2019"/>
      <c r="AM83" s="2019"/>
      <c r="AN83" s="2019"/>
      <c r="AO83" s="2019"/>
      <c r="AP83" s="2019"/>
      <c r="AQ83" s="2019"/>
      <c r="AR83" s="2019"/>
      <c r="AS83" s="2019"/>
      <c r="AT83" s="2019"/>
      <c r="AU83" s="2019"/>
      <c r="AV83" s="2019"/>
      <c r="AW83" s="2019"/>
      <c r="AX83" s="2019"/>
      <c r="AY83" s="2022" t="s">
        <v>694</v>
      </c>
      <c r="AZ83" s="2022"/>
      <c r="BA83" s="2022"/>
      <c r="BB83" s="2023"/>
      <c r="BC83" s="970"/>
      <c r="BD83" s="970"/>
      <c r="BE83" s="973"/>
      <c r="CK83" s="968"/>
      <c r="CL83" s="968"/>
      <c r="CM83" s="968"/>
      <c r="CN83" s="968"/>
      <c r="CO83" s="968"/>
      <c r="CP83" s="968"/>
    </row>
    <row r="84" spans="1:94" ht="15.75" customHeight="1">
      <c r="A84" s="970"/>
      <c r="B84" s="1939"/>
      <c r="C84" s="1940"/>
      <c r="D84" s="1940"/>
      <c r="E84" s="1940"/>
      <c r="F84" s="1940"/>
      <c r="G84" s="1940"/>
      <c r="H84" s="1940"/>
      <c r="I84" s="1940" t="s">
        <v>1972</v>
      </c>
      <c r="J84" s="1940"/>
      <c r="K84" s="1940"/>
      <c r="L84" s="1940"/>
      <c r="M84" s="1940"/>
      <c r="N84" s="1940"/>
      <c r="O84" s="1940" t="s">
        <v>1973</v>
      </c>
      <c r="P84" s="1940"/>
      <c r="Q84" s="1940"/>
      <c r="R84" s="1940"/>
      <c r="S84" s="1940"/>
      <c r="T84" s="1940"/>
      <c r="U84" s="1940"/>
      <c r="V84" s="2026" t="s">
        <v>1974</v>
      </c>
      <c r="W84" s="2026"/>
      <c r="X84" s="2026"/>
      <c r="Y84" s="2026"/>
      <c r="Z84" s="2026"/>
      <c r="AA84" s="2026"/>
      <c r="AB84" s="2027" t="s">
        <v>1975</v>
      </c>
      <c r="AC84" s="2027"/>
      <c r="AD84" s="2027"/>
      <c r="AE84" s="2027"/>
      <c r="AF84" s="2027"/>
      <c r="AG84" s="2027"/>
      <c r="AH84" s="2028"/>
      <c r="AI84" s="970"/>
      <c r="AJ84" s="2020"/>
      <c r="AK84" s="2021"/>
      <c r="AL84" s="2021"/>
      <c r="AM84" s="2021"/>
      <c r="AN84" s="2021"/>
      <c r="AO84" s="2021"/>
      <c r="AP84" s="2021"/>
      <c r="AQ84" s="2021"/>
      <c r="AR84" s="2021"/>
      <c r="AS84" s="2021"/>
      <c r="AT84" s="2021"/>
      <c r="AU84" s="2021"/>
      <c r="AV84" s="2021"/>
      <c r="AW84" s="2021"/>
      <c r="AX84" s="2021"/>
      <c r="AY84" s="2024"/>
      <c r="AZ84" s="2024"/>
      <c r="BA84" s="2024"/>
      <c r="BB84" s="2025"/>
      <c r="BC84" s="970"/>
      <c r="BD84" s="970"/>
      <c r="BE84" s="973"/>
      <c r="CK84" s="968"/>
      <c r="CL84" s="968"/>
      <c r="CM84" s="968"/>
      <c r="CN84" s="968"/>
      <c r="CO84" s="968"/>
      <c r="CP84" s="968"/>
    </row>
    <row r="85" spans="1:94" ht="15.75" customHeight="1">
      <c r="A85" s="970"/>
      <c r="B85" s="1939"/>
      <c r="C85" s="1940"/>
      <c r="D85" s="1940"/>
      <c r="E85" s="1940"/>
      <c r="F85" s="1940"/>
      <c r="G85" s="1940"/>
      <c r="H85" s="1940"/>
      <c r="I85" s="1940"/>
      <c r="J85" s="1940"/>
      <c r="K85" s="1940"/>
      <c r="L85" s="1940"/>
      <c r="M85" s="1940"/>
      <c r="N85" s="1940"/>
      <c r="O85" s="1940"/>
      <c r="P85" s="1940"/>
      <c r="Q85" s="1940"/>
      <c r="R85" s="1940"/>
      <c r="S85" s="1940"/>
      <c r="T85" s="1940"/>
      <c r="U85" s="1940"/>
      <c r="V85" s="2026"/>
      <c r="W85" s="2026"/>
      <c r="X85" s="2026"/>
      <c r="Y85" s="2026"/>
      <c r="Z85" s="2026"/>
      <c r="AA85" s="2026"/>
      <c r="AB85" s="2027"/>
      <c r="AC85" s="2027"/>
      <c r="AD85" s="2027"/>
      <c r="AE85" s="2027"/>
      <c r="AF85" s="2027"/>
      <c r="AG85" s="2027"/>
      <c r="AH85" s="2028"/>
      <c r="AI85" s="970"/>
      <c r="AJ85" s="2020"/>
      <c r="AK85" s="2021"/>
      <c r="AL85" s="2021"/>
      <c r="AM85" s="2021"/>
      <c r="AN85" s="2021"/>
      <c r="AO85" s="2021"/>
      <c r="AP85" s="2021"/>
      <c r="AQ85" s="2021"/>
      <c r="AR85" s="2021"/>
      <c r="AS85" s="2021"/>
      <c r="AT85" s="2021"/>
      <c r="AU85" s="2021"/>
      <c r="AV85" s="2021"/>
      <c r="AW85" s="2021"/>
      <c r="AX85" s="2021"/>
      <c r="AY85" s="2024"/>
      <c r="AZ85" s="2024"/>
      <c r="BA85" s="2024"/>
      <c r="BB85" s="2025"/>
      <c r="BC85" s="970"/>
      <c r="BD85" s="970"/>
      <c r="BE85" s="973"/>
      <c r="CK85" s="968"/>
      <c r="CL85" s="968"/>
      <c r="CM85" s="968"/>
      <c r="CN85" s="968"/>
      <c r="CO85" s="968"/>
      <c r="CP85" s="968"/>
    </row>
    <row r="86" spans="1:94" ht="15.75" customHeight="1">
      <c r="A86" s="970"/>
      <c r="B86" s="1939" t="s">
        <v>1976</v>
      </c>
      <c r="C86" s="1940"/>
      <c r="D86" s="1940"/>
      <c r="E86" s="1940"/>
      <c r="F86" s="1940"/>
      <c r="G86" s="1940"/>
      <c r="H86" s="1940"/>
      <c r="I86" s="2016">
        <v>0</v>
      </c>
      <c r="J86" s="2016"/>
      <c r="K86" s="2016"/>
      <c r="L86" s="2016"/>
      <c r="M86" s="2016"/>
      <c r="N86" s="2016"/>
      <c r="O86" s="2016">
        <v>0</v>
      </c>
      <c r="P86" s="2016"/>
      <c r="Q86" s="2016"/>
      <c r="R86" s="2016"/>
      <c r="S86" s="2016"/>
      <c r="T86" s="2016"/>
      <c r="U86" s="2016"/>
      <c r="V86" s="2016">
        <v>0</v>
      </c>
      <c r="W86" s="2016"/>
      <c r="X86" s="2016"/>
      <c r="Y86" s="2016"/>
      <c r="Z86" s="2016"/>
      <c r="AA86" s="2016"/>
      <c r="AB86" s="2016">
        <v>0</v>
      </c>
      <c r="AC86" s="2016"/>
      <c r="AD86" s="2016"/>
      <c r="AE86" s="2016"/>
      <c r="AF86" s="2016"/>
      <c r="AG86" s="2016"/>
      <c r="AH86" s="2017"/>
      <c r="AI86" s="970"/>
      <c r="AJ86" s="2020"/>
      <c r="AK86" s="2021"/>
      <c r="AL86" s="2021"/>
      <c r="AM86" s="2021"/>
      <c r="AN86" s="2021"/>
      <c r="AO86" s="2021"/>
      <c r="AP86" s="2021"/>
      <c r="AQ86" s="2021"/>
      <c r="AR86" s="2021"/>
      <c r="AS86" s="2021"/>
      <c r="AT86" s="2021"/>
      <c r="AU86" s="2021"/>
      <c r="AV86" s="2021"/>
      <c r="AW86" s="2021"/>
      <c r="AX86" s="2021"/>
      <c r="AY86" s="2024"/>
      <c r="AZ86" s="2024"/>
      <c r="BA86" s="2024"/>
      <c r="BB86" s="2025"/>
      <c r="BC86" s="970"/>
      <c r="BD86" s="970"/>
      <c r="BE86" s="973"/>
      <c r="CK86" s="968"/>
      <c r="CL86" s="968"/>
      <c r="CM86" s="968"/>
      <c r="CN86" s="968"/>
      <c r="CO86" s="968"/>
      <c r="CP86" s="968"/>
    </row>
    <row r="87" spans="1:94" ht="15.75" customHeight="1">
      <c r="A87" s="970"/>
      <c r="B87" s="1939" t="s">
        <v>1977</v>
      </c>
      <c r="C87" s="1940"/>
      <c r="D87" s="1940"/>
      <c r="E87" s="1940"/>
      <c r="F87" s="1940"/>
      <c r="G87" s="1940"/>
      <c r="H87" s="1940"/>
      <c r="I87" s="2016">
        <v>0</v>
      </c>
      <c r="J87" s="2016"/>
      <c r="K87" s="2016"/>
      <c r="L87" s="2016"/>
      <c r="M87" s="2016"/>
      <c r="N87" s="2016"/>
      <c r="O87" s="2016">
        <v>0</v>
      </c>
      <c r="P87" s="2016"/>
      <c r="Q87" s="2016"/>
      <c r="R87" s="2016"/>
      <c r="S87" s="2016"/>
      <c r="T87" s="2016"/>
      <c r="U87" s="2016"/>
      <c r="V87" s="2016">
        <v>0</v>
      </c>
      <c r="W87" s="2016"/>
      <c r="X87" s="2016"/>
      <c r="Y87" s="2016"/>
      <c r="Z87" s="2016"/>
      <c r="AA87" s="2016"/>
      <c r="AB87" s="2016">
        <v>0</v>
      </c>
      <c r="AC87" s="2016"/>
      <c r="AD87" s="2016"/>
      <c r="AE87" s="2016"/>
      <c r="AF87" s="2016"/>
      <c r="AG87" s="2016"/>
      <c r="AH87" s="2017"/>
      <c r="AI87" s="970"/>
      <c r="AJ87" s="2005" t="s">
        <v>1978</v>
      </c>
      <c r="AK87" s="2006"/>
      <c r="AL87" s="2006"/>
      <c r="AM87" s="2006"/>
      <c r="AN87" s="2006"/>
      <c r="AO87" s="2006"/>
      <c r="AP87" s="2006"/>
      <c r="AQ87" s="2006"/>
      <c r="AR87" s="2006"/>
      <c r="AS87" s="2006"/>
      <c r="AT87" s="2006"/>
      <c r="AU87" s="2006"/>
      <c r="AV87" s="2006"/>
      <c r="AW87" s="2006"/>
      <c r="AX87" s="2006"/>
      <c r="AY87" s="2006"/>
      <c r="AZ87" s="2006"/>
      <c r="BA87" s="2006"/>
      <c r="BB87" s="2007"/>
      <c r="BC87" s="970"/>
      <c r="BD87" s="970"/>
      <c r="BE87" s="973"/>
      <c r="CK87" s="968"/>
      <c r="CL87" s="968"/>
      <c r="CM87" s="968"/>
      <c r="CN87" s="968"/>
      <c r="CO87" s="968"/>
      <c r="CP87" s="968"/>
    </row>
    <row r="88" spans="1:94" ht="15.75" customHeight="1" thickBot="1">
      <c r="A88" s="970"/>
      <c r="B88" s="1957" t="s">
        <v>1979</v>
      </c>
      <c r="C88" s="1958"/>
      <c r="D88" s="1958"/>
      <c r="E88" s="1958"/>
      <c r="F88" s="1958"/>
      <c r="G88" s="1958"/>
      <c r="H88" s="1958"/>
      <c r="I88" s="2031">
        <v>0</v>
      </c>
      <c r="J88" s="2031"/>
      <c r="K88" s="2031"/>
      <c r="L88" s="2031"/>
      <c r="M88" s="2031"/>
      <c r="N88" s="2031"/>
      <c r="O88" s="2031">
        <v>0</v>
      </c>
      <c r="P88" s="2031"/>
      <c r="Q88" s="2031"/>
      <c r="R88" s="2031"/>
      <c r="S88" s="2031"/>
      <c r="T88" s="2031"/>
      <c r="U88" s="2031"/>
      <c r="V88" s="2031">
        <v>0</v>
      </c>
      <c r="W88" s="2031"/>
      <c r="X88" s="2031"/>
      <c r="Y88" s="2031"/>
      <c r="Z88" s="2031"/>
      <c r="AA88" s="2031"/>
      <c r="AB88" s="2031">
        <v>0</v>
      </c>
      <c r="AC88" s="2031"/>
      <c r="AD88" s="2031"/>
      <c r="AE88" s="2031"/>
      <c r="AF88" s="2031"/>
      <c r="AG88" s="2031"/>
      <c r="AH88" s="2032"/>
      <c r="AI88" s="970"/>
      <c r="AJ88" s="2008"/>
      <c r="AK88" s="2009"/>
      <c r="AL88" s="2009"/>
      <c r="AM88" s="2009"/>
      <c r="AN88" s="2009"/>
      <c r="AO88" s="2009"/>
      <c r="AP88" s="2009"/>
      <c r="AQ88" s="2009"/>
      <c r="AR88" s="2009"/>
      <c r="AS88" s="2009"/>
      <c r="AT88" s="2009"/>
      <c r="AU88" s="2009"/>
      <c r="AV88" s="2009"/>
      <c r="AW88" s="2009"/>
      <c r="AX88" s="2009"/>
      <c r="AY88" s="2009"/>
      <c r="AZ88" s="2009"/>
      <c r="BA88" s="2009"/>
      <c r="BB88" s="2010"/>
      <c r="BC88" s="970"/>
      <c r="BD88" s="970"/>
      <c r="BE88" s="973"/>
      <c r="CK88" s="968"/>
      <c r="CL88" s="968"/>
      <c r="CM88" s="968"/>
      <c r="CN88" s="968"/>
      <c r="CO88" s="968"/>
      <c r="CP88" s="968"/>
    </row>
    <row r="89" spans="1:94" ht="15.75" customHeight="1">
      <c r="A89" s="970"/>
      <c r="B89" s="970"/>
      <c r="C89" s="970"/>
      <c r="D89" s="970"/>
      <c r="E89" s="970"/>
      <c r="F89" s="970"/>
      <c r="G89" s="970"/>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c r="AL89" s="970"/>
      <c r="AM89" s="970"/>
      <c r="AN89" s="970"/>
      <c r="AO89" s="970"/>
      <c r="AP89" s="970"/>
      <c r="AQ89" s="970"/>
      <c r="AR89" s="970"/>
      <c r="AS89" s="970"/>
      <c r="AT89" s="970"/>
      <c r="AU89" s="970"/>
      <c r="AV89" s="970"/>
      <c r="AW89" s="970"/>
      <c r="AX89" s="970"/>
      <c r="AY89" s="970"/>
      <c r="AZ89" s="970"/>
      <c r="BA89" s="970"/>
      <c r="BB89" s="970"/>
      <c r="BC89" s="970"/>
      <c r="BD89" s="970"/>
      <c r="BE89" s="973"/>
      <c r="CM89" s="968"/>
      <c r="CN89" s="968"/>
      <c r="CO89" s="968"/>
      <c r="CP89" s="968"/>
    </row>
    <row r="90" spans="1:94" ht="15.75" customHeight="1" thickBot="1">
      <c r="A90" s="970"/>
      <c r="B90" s="970"/>
      <c r="C90" s="970"/>
      <c r="D90" s="970"/>
      <c r="E90" s="970"/>
      <c r="F90" s="970"/>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c r="AL90" s="970"/>
      <c r="AM90" s="970"/>
      <c r="AN90" s="970"/>
      <c r="AO90" s="970"/>
      <c r="AP90" s="970"/>
      <c r="AQ90" s="970"/>
      <c r="AR90" s="970"/>
      <c r="AS90" s="970"/>
      <c r="AT90" s="970"/>
      <c r="AU90" s="970"/>
      <c r="AV90" s="970"/>
      <c r="AW90" s="970"/>
      <c r="AX90" s="970"/>
      <c r="AY90" s="970"/>
      <c r="AZ90" s="970"/>
      <c r="BA90" s="970"/>
      <c r="BB90" s="970"/>
      <c r="BC90" s="970"/>
      <c r="BD90" s="970"/>
      <c r="BE90" s="973"/>
      <c r="CM90" s="968"/>
      <c r="CN90" s="968"/>
      <c r="CO90" s="968"/>
      <c r="CP90" s="968"/>
    </row>
    <row r="91" spans="1:94" ht="15.75" customHeight="1" thickBot="1">
      <c r="A91" s="970"/>
      <c r="B91" s="981" t="s">
        <v>1980</v>
      </c>
      <c r="C91" s="987"/>
      <c r="D91" s="988"/>
      <c r="E91" s="989"/>
      <c r="F91" s="989"/>
      <c r="G91" s="989"/>
      <c r="H91" s="989"/>
      <c r="I91" s="989"/>
      <c r="J91" s="989"/>
      <c r="K91" s="989"/>
      <c r="L91" s="989"/>
      <c r="M91" s="989"/>
      <c r="N91" s="989"/>
      <c r="O91" s="989"/>
      <c r="P91" s="989"/>
      <c r="Q91" s="989"/>
      <c r="R91" s="989"/>
      <c r="S91" s="989"/>
      <c r="T91" s="990"/>
      <c r="U91" s="970"/>
      <c r="V91" s="970"/>
      <c r="W91" s="970"/>
      <c r="X91" s="970"/>
      <c r="Y91" s="970"/>
      <c r="Z91" s="970"/>
      <c r="AA91" s="970"/>
      <c r="AB91" s="970"/>
      <c r="AC91" s="970"/>
      <c r="AD91" s="970"/>
      <c r="AE91" s="970"/>
      <c r="AF91" s="970"/>
      <c r="AG91" s="970"/>
      <c r="AH91" s="970"/>
      <c r="AI91" s="970"/>
      <c r="AJ91" s="970"/>
      <c r="AK91" s="970"/>
      <c r="AL91" s="970"/>
      <c r="AM91" s="970"/>
      <c r="AN91" s="970"/>
      <c r="AO91" s="970"/>
      <c r="AP91" s="970"/>
      <c r="AQ91" s="970"/>
      <c r="AR91" s="970"/>
      <c r="AS91" s="970"/>
      <c r="AT91" s="970"/>
      <c r="AU91" s="970"/>
      <c r="AV91" s="970"/>
      <c r="AW91" s="970"/>
      <c r="AX91" s="970"/>
      <c r="AY91" s="970"/>
      <c r="AZ91" s="970"/>
      <c r="BA91" s="970"/>
      <c r="BB91" s="970"/>
      <c r="BC91" s="970"/>
      <c r="BD91" s="970"/>
      <c r="BE91" s="973"/>
      <c r="BQ91" s="1034"/>
      <c r="CM91" s="968"/>
      <c r="CN91" s="968"/>
      <c r="CO91" s="968"/>
      <c r="CP91" s="968"/>
    </row>
    <row r="92" spans="1:94" ht="15.75" customHeight="1">
      <c r="A92" s="970"/>
      <c r="B92" s="991" t="s">
        <v>1966</v>
      </c>
      <c r="C92" s="991"/>
      <c r="D92" s="992"/>
      <c r="E92" s="993"/>
      <c r="F92" s="1987"/>
      <c r="G92" s="1988"/>
      <c r="H92" s="1988"/>
      <c r="I92" s="1988"/>
      <c r="J92" s="1988"/>
      <c r="K92" s="1988"/>
      <c r="L92" s="1988"/>
      <c r="M92" s="1988"/>
      <c r="N92" s="1988"/>
      <c r="O92" s="1988"/>
      <c r="P92" s="1988"/>
      <c r="Q92" s="1988"/>
      <c r="R92" s="1988"/>
      <c r="S92" s="1988"/>
      <c r="T92" s="1989"/>
      <c r="U92" s="970"/>
      <c r="V92" s="970"/>
      <c r="W92" s="970"/>
      <c r="X92" s="970"/>
      <c r="Y92" s="970"/>
      <c r="Z92" s="970"/>
      <c r="AA92" s="970"/>
      <c r="AB92" s="970"/>
      <c r="AC92" s="970"/>
      <c r="AD92" s="970"/>
      <c r="AE92" s="970"/>
      <c r="AF92" s="970"/>
      <c r="AG92" s="970"/>
      <c r="AH92" s="970"/>
      <c r="AI92" s="970"/>
      <c r="AJ92" s="970"/>
      <c r="AK92" s="970"/>
      <c r="AL92" s="970"/>
      <c r="AM92" s="970"/>
      <c r="AN92" s="970"/>
      <c r="AO92" s="970"/>
      <c r="AP92" s="970"/>
      <c r="AQ92" s="970"/>
      <c r="AR92" s="970"/>
      <c r="AS92" s="970"/>
      <c r="AT92" s="970"/>
      <c r="AU92" s="970"/>
      <c r="AV92" s="970"/>
      <c r="AW92" s="970"/>
      <c r="AX92" s="970"/>
      <c r="AY92" s="970"/>
      <c r="AZ92" s="970"/>
      <c r="BA92" s="970"/>
      <c r="BB92" s="970"/>
      <c r="BC92" s="970"/>
      <c r="BD92" s="970"/>
      <c r="BE92" s="973"/>
      <c r="CM92" s="968"/>
      <c r="CN92" s="968"/>
      <c r="CO92" s="968"/>
      <c r="CP92" s="968"/>
    </row>
    <row r="93" spans="1:94" ht="15.75" customHeight="1" thickBot="1">
      <c r="A93" s="970"/>
      <c r="B93" s="1990" t="s">
        <v>1981</v>
      </c>
      <c r="C93" s="1991"/>
      <c r="D93" s="1991"/>
      <c r="E93" s="1991"/>
      <c r="F93" s="1991"/>
      <c r="G93" s="1991"/>
      <c r="H93" s="1991"/>
      <c r="I93" s="1991"/>
      <c r="J93" s="1991"/>
      <c r="K93" s="1991"/>
      <c r="L93" s="1991"/>
      <c r="M93" s="1991"/>
      <c r="N93" s="1991"/>
      <c r="O93" s="1991"/>
      <c r="P93" s="1991"/>
      <c r="Q93" s="2029"/>
      <c r="R93" s="1992" t="str">
        <f>IFERROR(INDEX(BR96:BR98,MATCH(F92,$BQ$96:$BQ$98,0))/SUM($BR$96:$BR$98),"")</f>
        <v/>
      </c>
      <c r="S93" s="1993"/>
      <c r="T93" s="1994"/>
      <c r="U93" s="970"/>
      <c r="V93" s="970"/>
      <c r="W93" s="970"/>
      <c r="X93" s="970"/>
      <c r="Y93" s="970"/>
      <c r="Z93" s="970"/>
      <c r="AA93" s="970"/>
      <c r="AB93" s="970"/>
      <c r="AC93" s="970"/>
      <c r="AD93" s="970"/>
      <c r="AE93" s="970"/>
      <c r="AF93" s="970"/>
      <c r="AG93" s="970"/>
      <c r="AH93" s="970"/>
      <c r="AI93" s="970"/>
      <c r="AJ93" s="970"/>
      <c r="AK93" s="970"/>
      <c r="AL93" s="970"/>
      <c r="AM93" s="970"/>
      <c r="AN93" s="970"/>
      <c r="AO93" s="970"/>
      <c r="AP93" s="970"/>
      <c r="AQ93" s="970"/>
      <c r="AR93" s="970"/>
      <c r="AS93" s="970"/>
      <c r="AT93" s="970"/>
      <c r="AU93" s="970"/>
      <c r="AV93" s="970"/>
      <c r="AW93" s="970"/>
      <c r="AX93" s="970"/>
      <c r="AY93" s="970"/>
      <c r="AZ93" s="970"/>
      <c r="BA93" s="970"/>
      <c r="BB93" s="970"/>
      <c r="BC93" s="970"/>
      <c r="BD93" s="970"/>
      <c r="BE93" s="973"/>
      <c r="CM93" s="968"/>
      <c r="CN93" s="968"/>
      <c r="CO93" s="968"/>
      <c r="CP93" s="968"/>
    </row>
    <row r="94" spans="1:94" ht="15.75" customHeight="1" thickBot="1">
      <c r="A94" s="970"/>
      <c r="B94" s="1995" t="s">
        <v>1982</v>
      </c>
      <c r="C94" s="1996"/>
      <c r="D94" s="1996"/>
      <c r="E94" s="1996"/>
      <c r="F94" s="1996"/>
      <c r="G94" s="1996"/>
      <c r="H94" s="1996"/>
      <c r="I94" s="1996"/>
      <c r="J94" s="1996"/>
      <c r="K94" s="1996"/>
      <c r="L94" s="1996"/>
      <c r="M94" s="1996"/>
      <c r="N94" s="1996"/>
      <c r="O94" s="1996"/>
      <c r="P94" s="1996"/>
      <c r="Q94" s="2030"/>
      <c r="R94" s="1997" t="s">
        <v>1969</v>
      </c>
      <c r="S94" s="1998"/>
      <c r="T94" s="1999"/>
      <c r="U94" s="970"/>
      <c r="V94" s="970"/>
      <c r="W94" s="970"/>
      <c r="X94" s="970"/>
      <c r="Y94" s="970"/>
      <c r="Z94" s="970"/>
      <c r="AA94" s="970"/>
      <c r="AB94" s="970"/>
      <c r="AC94" s="970"/>
      <c r="AD94" s="970"/>
      <c r="AE94" s="970"/>
      <c r="AF94" s="970"/>
      <c r="AG94" s="970"/>
      <c r="AH94" s="970"/>
      <c r="AI94" s="970"/>
      <c r="AJ94" s="970"/>
      <c r="AK94" s="970"/>
      <c r="AL94" s="970"/>
      <c r="AM94" s="970"/>
      <c r="AN94" s="970"/>
      <c r="AO94" s="970"/>
      <c r="AP94" s="970"/>
      <c r="AQ94" s="970"/>
      <c r="AR94" s="970"/>
      <c r="AS94" s="970"/>
      <c r="AT94" s="970"/>
      <c r="AU94" s="970"/>
      <c r="AV94" s="970"/>
      <c r="AW94" s="970"/>
      <c r="AX94" s="970"/>
      <c r="AY94" s="970"/>
      <c r="AZ94" s="970"/>
      <c r="BA94" s="970"/>
      <c r="BB94" s="970"/>
      <c r="BC94" s="970"/>
      <c r="BD94" s="970"/>
      <c r="BE94" s="973"/>
      <c r="CM94" s="968"/>
      <c r="CN94" s="968"/>
      <c r="CO94" s="968"/>
      <c r="CP94" s="968"/>
    </row>
    <row r="95" spans="1:94" ht="15.75" customHeight="1" thickBot="1">
      <c r="A95" s="970"/>
      <c r="B95" s="970"/>
      <c r="C95" s="970"/>
      <c r="D95" s="970"/>
      <c r="E95" s="970"/>
      <c r="F95" s="970"/>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970"/>
      <c r="AM95" s="970"/>
      <c r="AN95" s="970"/>
      <c r="AO95" s="970"/>
      <c r="AP95" s="970"/>
      <c r="AQ95" s="970"/>
      <c r="AR95" s="970"/>
      <c r="AS95" s="970"/>
      <c r="AT95" s="970"/>
      <c r="AU95" s="970"/>
      <c r="AV95" s="970"/>
      <c r="AW95" s="970"/>
      <c r="AX95" s="970"/>
      <c r="AY95" s="970"/>
      <c r="AZ95" s="970"/>
      <c r="BA95" s="970"/>
      <c r="BB95" s="970"/>
      <c r="BC95" s="970"/>
      <c r="BD95" s="970"/>
      <c r="BE95" s="973"/>
      <c r="CM95" s="968"/>
      <c r="CN95" s="968"/>
      <c r="CO95" s="968"/>
      <c r="CP95" s="968"/>
    </row>
    <row r="96" spans="1:94" ht="15.75" customHeight="1">
      <c r="A96" s="970"/>
      <c r="B96" s="2000" t="s">
        <v>1983</v>
      </c>
      <c r="C96" s="2001"/>
      <c r="D96" s="2001"/>
      <c r="E96" s="2001"/>
      <c r="F96" s="2001"/>
      <c r="G96" s="2001"/>
      <c r="H96" s="2001"/>
      <c r="I96" s="2001"/>
      <c r="J96" s="2001"/>
      <c r="K96" s="2001"/>
      <c r="L96" s="2001"/>
      <c r="M96" s="2001"/>
      <c r="N96" s="2001"/>
      <c r="O96" s="2001"/>
      <c r="P96" s="2001"/>
      <c r="Q96" s="2001"/>
      <c r="R96" s="2001"/>
      <c r="S96" s="2001"/>
      <c r="T96" s="2001"/>
      <c r="U96" s="2001"/>
      <c r="V96" s="2001"/>
      <c r="W96" s="2001"/>
      <c r="X96" s="2001"/>
      <c r="Y96" s="2001"/>
      <c r="Z96" s="2001"/>
      <c r="AA96" s="2001"/>
      <c r="AB96" s="2001"/>
      <c r="AC96" s="2001"/>
      <c r="AD96" s="2001"/>
      <c r="AE96" s="2001"/>
      <c r="AF96" s="2001"/>
      <c r="AG96" s="2001"/>
      <c r="AH96" s="2002"/>
      <c r="AI96" s="970"/>
      <c r="AJ96" s="2018" t="s">
        <v>1984</v>
      </c>
      <c r="AK96" s="2019"/>
      <c r="AL96" s="2019"/>
      <c r="AM96" s="2019"/>
      <c r="AN96" s="2019"/>
      <c r="AO96" s="2019"/>
      <c r="AP96" s="2019"/>
      <c r="AQ96" s="2019"/>
      <c r="AR96" s="2019"/>
      <c r="AS96" s="2019"/>
      <c r="AT96" s="2019"/>
      <c r="AU96" s="2019"/>
      <c r="AV96" s="2019"/>
      <c r="AW96" s="2019"/>
      <c r="AX96" s="2019"/>
      <c r="AY96" s="2022" t="s">
        <v>694</v>
      </c>
      <c r="AZ96" s="2022"/>
      <c r="BA96" s="2022"/>
      <c r="BB96" s="2023"/>
      <c r="BC96" s="970"/>
      <c r="BD96" s="970"/>
      <c r="BE96" s="973"/>
      <c r="BQ96" s="1032" t="str">
        <f>Application!M243&amp;IF(TRIM(Application!AA249)&lt;&gt;""," ("&amp;Application!AA249&amp;")","")</f>
        <v>Bold Communities</v>
      </c>
      <c r="BR96" s="1035">
        <f>Application!AH246</f>
        <v>5.1000000000000004E-3</v>
      </c>
      <c r="CM96" s="968"/>
      <c r="CN96" s="968"/>
      <c r="CO96" s="968"/>
      <c r="CP96" s="968"/>
    </row>
    <row r="97" spans="1:94" ht="15.75" customHeight="1">
      <c r="A97" s="970"/>
      <c r="B97" s="1939"/>
      <c r="C97" s="1940"/>
      <c r="D97" s="1940"/>
      <c r="E97" s="1940"/>
      <c r="F97" s="1940"/>
      <c r="G97" s="1940"/>
      <c r="H97" s="1940"/>
      <c r="I97" s="1940" t="s">
        <v>1972</v>
      </c>
      <c r="J97" s="1940"/>
      <c r="K97" s="1940"/>
      <c r="L97" s="1940"/>
      <c r="M97" s="1940"/>
      <c r="N97" s="1940"/>
      <c r="O97" s="1940" t="s">
        <v>1973</v>
      </c>
      <c r="P97" s="1940"/>
      <c r="Q97" s="1940"/>
      <c r="R97" s="1940"/>
      <c r="S97" s="1940"/>
      <c r="T97" s="1940"/>
      <c r="U97" s="1940"/>
      <c r="V97" s="2026" t="s">
        <v>1974</v>
      </c>
      <c r="W97" s="2026"/>
      <c r="X97" s="2026"/>
      <c r="Y97" s="2026"/>
      <c r="Z97" s="2026"/>
      <c r="AA97" s="2026"/>
      <c r="AB97" s="2027" t="s">
        <v>1975</v>
      </c>
      <c r="AC97" s="2027"/>
      <c r="AD97" s="2027"/>
      <c r="AE97" s="2027"/>
      <c r="AF97" s="2027"/>
      <c r="AG97" s="2027"/>
      <c r="AH97" s="2028"/>
      <c r="AI97" s="970"/>
      <c r="AJ97" s="2020"/>
      <c r="AK97" s="2021"/>
      <c r="AL97" s="2021"/>
      <c r="AM97" s="2021"/>
      <c r="AN97" s="2021"/>
      <c r="AO97" s="2021"/>
      <c r="AP97" s="2021"/>
      <c r="AQ97" s="2021"/>
      <c r="AR97" s="2021"/>
      <c r="AS97" s="2021"/>
      <c r="AT97" s="2021"/>
      <c r="AU97" s="2021"/>
      <c r="AV97" s="2021"/>
      <c r="AW97" s="2021"/>
      <c r="AX97" s="2021"/>
      <c r="AY97" s="2024"/>
      <c r="AZ97" s="2024"/>
      <c r="BA97" s="2024"/>
      <c r="BB97" s="2025"/>
      <c r="BC97" s="970"/>
      <c r="BD97" s="970"/>
      <c r="BE97" s="973"/>
      <c r="BQ97" s="1032" t="str">
        <f>Application!M251&amp;IF(TRIM(Application!AA257)&lt;&gt;""," ("&amp;Application!AA257&amp;")","")</f>
        <v>334 San Antonio AGP LLC</v>
      </c>
      <c r="BR97" s="1035">
        <f>Application!AH254</f>
        <v>4.8999999999999998E-3</v>
      </c>
      <c r="CM97" s="968"/>
      <c r="CN97" s="968"/>
      <c r="CO97" s="968"/>
      <c r="CP97" s="968"/>
    </row>
    <row r="98" spans="1:94" ht="15.75" customHeight="1">
      <c r="A98" s="970"/>
      <c r="B98" s="1939"/>
      <c r="C98" s="1940"/>
      <c r="D98" s="1940"/>
      <c r="E98" s="1940"/>
      <c r="F98" s="1940"/>
      <c r="G98" s="1940"/>
      <c r="H98" s="1940"/>
      <c r="I98" s="1940"/>
      <c r="J98" s="1940"/>
      <c r="K98" s="1940"/>
      <c r="L98" s="1940"/>
      <c r="M98" s="1940"/>
      <c r="N98" s="1940"/>
      <c r="O98" s="1940"/>
      <c r="P98" s="1940"/>
      <c r="Q98" s="1940"/>
      <c r="R98" s="1940"/>
      <c r="S98" s="1940"/>
      <c r="T98" s="1940"/>
      <c r="U98" s="1940"/>
      <c r="V98" s="2026"/>
      <c r="W98" s="2026"/>
      <c r="X98" s="2026"/>
      <c r="Y98" s="2026"/>
      <c r="Z98" s="2026"/>
      <c r="AA98" s="2026"/>
      <c r="AB98" s="2027"/>
      <c r="AC98" s="2027"/>
      <c r="AD98" s="2027"/>
      <c r="AE98" s="2027"/>
      <c r="AF98" s="2027"/>
      <c r="AG98" s="2027"/>
      <c r="AH98" s="2028"/>
      <c r="AI98" s="970"/>
      <c r="AJ98" s="2020"/>
      <c r="AK98" s="2021"/>
      <c r="AL98" s="2021"/>
      <c r="AM98" s="2021"/>
      <c r="AN98" s="2021"/>
      <c r="AO98" s="2021"/>
      <c r="AP98" s="2021"/>
      <c r="AQ98" s="2021"/>
      <c r="AR98" s="2021"/>
      <c r="AS98" s="2021"/>
      <c r="AT98" s="2021"/>
      <c r="AU98" s="2021"/>
      <c r="AV98" s="2021"/>
      <c r="AW98" s="2021"/>
      <c r="AX98" s="2021"/>
      <c r="AY98" s="2024"/>
      <c r="AZ98" s="2024"/>
      <c r="BA98" s="2024"/>
      <c r="BB98" s="2025"/>
      <c r="BC98" s="970"/>
      <c r="BD98" s="970"/>
      <c r="BE98" s="973"/>
      <c r="BQ98" s="1032" t="str">
        <f>Application!M259&amp;IF(TRIM(Application!AA265)&lt;&gt;""," ("&amp;Application!AA265&amp;")","")</f>
        <v/>
      </c>
      <c r="BR98" s="1035">
        <f>Application!AH262</f>
        <v>0</v>
      </c>
      <c r="CM98" s="968"/>
      <c r="CN98" s="968"/>
      <c r="CO98" s="968"/>
      <c r="CP98" s="968"/>
    </row>
    <row r="99" spans="1:94" ht="15.75" customHeight="1">
      <c r="A99" s="970"/>
      <c r="B99" s="1939" t="s">
        <v>1976</v>
      </c>
      <c r="C99" s="1940"/>
      <c r="D99" s="1940"/>
      <c r="E99" s="1940"/>
      <c r="F99" s="1940"/>
      <c r="G99" s="1940"/>
      <c r="H99" s="1940"/>
      <c r="I99" s="2016">
        <v>0</v>
      </c>
      <c r="J99" s="2016"/>
      <c r="K99" s="2016"/>
      <c r="L99" s="2016"/>
      <c r="M99" s="2016"/>
      <c r="N99" s="2016"/>
      <c r="O99" s="2016">
        <v>0</v>
      </c>
      <c r="P99" s="2016"/>
      <c r="Q99" s="2016"/>
      <c r="R99" s="2016"/>
      <c r="S99" s="2016"/>
      <c r="T99" s="2016"/>
      <c r="U99" s="2016"/>
      <c r="V99" s="2016">
        <v>0</v>
      </c>
      <c r="W99" s="2016"/>
      <c r="X99" s="2016"/>
      <c r="Y99" s="2016"/>
      <c r="Z99" s="2016"/>
      <c r="AA99" s="2016"/>
      <c r="AB99" s="2016">
        <v>0</v>
      </c>
      <c r="AC99" s="2016"/>
      <c r="AD99" s="2016"/>
      <c r="AE99" s="2016"/>
      <c r="AF99" s="2016"/>
      <c r="AG99" s="2016"/>
      <c r="AH99" s="2017"/>
      <c r="AI99" s="970"/>
      <c r="AJ99" s="2020"/>
      <c r="AK99" s="2021"/>
      <c r="AL99" s="2021"/>
      <c r="AM99" s="2021"/>
      <c r="AN99" s="2021"/>
      <c r="AO99" s="2021"/>
      <c r="AP99" s="2021"/>
      <c r="AQ99" s="2021"/>
      <c r="AR99" s="2021"/>
      <c r="AS99" s="2021"/>
      <c r="AT99" s="2021"/>
      <c r="AU99" s="2021"/>
      <c r="AV99" s="2021"/>
      <c r="AW99" s="2021"/>
      <c r="AX99" s="2021"/>
      <c r="AY99" s="2024"/>
      <c r="AZ99" s="2024"/>
      <c r="BA99" s="2024"/>
      <c r="BB99" s="2025"/>
      <c r="BC99" s="970"/>
      <c r="BD99" s="970"/>
      <c r="BE99" s="973"/>
      <c r="CM99" s="968"/>
      <c r="CN99" s="968"/>
      <c r="CO99" s="968"/>
      <c r="CP99" s="968"/>
    </row>
    <row r="100" spans="1:94" ht="15.75" customHeight="1">
      <c r="A100" s="970"/>
      <c r="B100" s="1939" t="s">
        <v>1977</v>
      </c>
      <c r="C100" s="1940"/>
      <c r="D100" s="1940"/>
      <c r="E100" s="1940"/>
      <c r="F100" s="1940"/>
      <c r="G100" s="1940"/>
      <c r="H100" s="1940"/>
      <c r="I100" s="2016">
        <v>0</v>
      </c>
      <c r="J100" s="2016"/>
      <c r="K100" s="2016"/>
      <c r="L100" s="2016"/>
      <c r="M100" s="2016"/>
      <c r="N100" s="2016"/>
      <c r="O100" s="2016">
        <v>0</v>
      </c>
      <c r="P100" s="2016"/>
      <c r="Q100" s="2016"/>
      <c r="R100" s="2016"/>
      <c r="S100" s="2016"/>
      <c r="T100" s="2016"/>
      <c r="U100" s="2016"/>
      <c r="V100" s="2016">
        <v>0</v>
      </c>
      <c r="W100" s="2016"/>
      <c r="X100" s="2016"/>
      <c r="Y100" s="2016"/>
      <c r="Z100" s="2016"/>
      <c r="AA100" s="2016"/>
      <c r="AB100" s="2016">
        <v>0</v>
      </c>
      <c r="AC100" s="2016"/>
      <c r="AD100" s="2016"/>
      <c r="AE100" s="2016"/>
      <c r="AF100" s="2016"/>
      <c r="AG100" s="2016"/>
      <c r="AH100" s="2017"/>
      <c r="AI100" s="970"/>
      <c r="AJ100" s="2005" t="s">
        <v>1978</v>
      </c>
      <c r="AK100" s="2006"/>
      <c r="AL100" s="2006"/>
      <c r="AM100" s="2006"/>
      <c r="AN100" s="2006"/>
      <c r="AO100" s="2006"/>
      <c r="AP100" s="2006"/>
      <c r="AQ100" s="2006"/>
      <c r="AR100" s="2006"/>
      <c r="AS100" s="2006"/>
      <c r="AT100" s="2006"/>
      <c r="AU100" s="2006"/>
      <c r="AV100" s="2006"/>
      <c r="AW100" s="2006"/>
      <c r="AX100" s="2006"/>
      <c r="AY100" s="2006"/>
      <c r="AZ100" s="2006"/>
      <c r="BA100" s="2006"/>
      <c r="BB100" s="2007"/>
      <c r="BC100" s="970"/>
      <c r="BD100" s="970"/>
      <c r="BE100" s="973"/>
      <c r="CM100" s="968"/>
      <c r="CN100" s="968"/>
      <c r="CO100" s="968"/>
      <c r="CP100" s="968"/>
    </row>
    <row r="101" spans="1:94" ht="15.75" customHeight="1" thickBot="1">
      <c r="A101" s="970"/>
      <c r="B101" s="1957" t="s">
        <v>1979</v>
      </c>
      <c r="C101" s="1958"/>
      <c r="D101" s="1958"/>
      <c r="E101" s="1958"/>
      <c r="F101" s="1958"/>
      <c r="G101" s="1958"/>
      <c r="H101" s="1958"/>
      <c r="I101" s="2031">
        <v>0</v>
      </c>
      <c r="J101" s="2031"/>
      <c r="K101" s="2031"/>
      <c r="L101" s="2031"/>
      <c r="M101" s="2031"/>
      <c r="N101" s="2031"/>
      <c r="O101" s="2031">
        <v>0</v>
      </c>
      <c r="P101" s="2031"/>
      <c r="Q101" s="2031"/>
      <c r="R101" s="2031"/>
      <c r="S101" s="2031"/>
      <c r="T101" s="2031"/>
      <c r="U101" s="2031"/>
      <c r="V101" s="2031">
        <v>0</v>
      </c>
      <c r="W101" s="2031"/>
      <c r="X101" s="2031"/>
      <c r="Y101" s="2031"/>
      <c r="Z101" s="2031"/>
      <c r="AA101" s="2031"/>
      <c r="AB101" s="2031">
        <v>0</v>
      </c>
      <c r="AC101" s="2031"/>
      <c r="AD101" s="2031"/>
      <c r="AE101" s="2031"/>
      <c r="AF101" s="2031"/>
      <c r="AG101" s="2031"/>
      <c r="AH101" s="2032"/>
      <c r="AI101" s="970"/>
      <c r="AJ101" s="2008"/>
      <c r="AK101" s="2009"/>
      <c r="AL101" s="2009"/>
      <c r="AM101" s="2009"/>
      <c r="AN101" s="2009"/>
      <c r="AO101" s="2009"/>
      <c r="AP101" s="2009"/>
      <c r="AQ101" s="2009"/>
      <c r="AR101" s="2009"/>
      <c r="AS101" s="2009"/>
      <c r="AT101" s="2009"/>
      <c r="AU101" s="2009"/>
      <c r="AV101" s="2009"/>
      <c r="AW101" s="2009"/>
      <c r="AX101" s="2009"/>
      <c r="AY101" s="2009"/>
      <c r="AZ101" s="2009"/>
      <c r="BA101" s="2009"/>
      <c r="BB101" s="2010"/>
      <c r="BC101" s="970"/>
      <c r="BD101" s="970"/>
      <c r="BE101" s="973"/>
      <c r="BQ101" s="1032" t="str">
        <f>Application!AA335</f>
        <v>Cambridge Real Estate Services, Inc.</v>
      </c>
      <c r="CM101" s="968"/>
      <c r="CN101" s="968"/>
      <c r="CO101" s="968"/>
      <c r="CP101" s="968"/>
    </row>
    <row r="102" spans="1:94" ht="15.75" customHeight="1" thickBot="1">
      <c r="A102" s="970"/>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c r="AU102" s="970"/>
      <c r="AV102" s="970"/>
      <c r="AW102" s="970"/>
      <c r="AX102" s="970"/>
      <c r="AY102" s="970"/>
      <c r="AZ102" s="970"/>
      <c r="BA102" s="970"/>
      <c r="BB102" s="970"/>
      <c r="BC102" s="970"/>
      <c r="BD102" s="970"/>
      <c r="BE102" s="973"/>
      <c r="BQ102" s="1032">
        <f>Application!P343</f>
        <v>0</v>
      </c>
      <c r="CM102" s="968"/>
      <c r="CN102" s="968"/>
      <c r="CO102" s="968"/>
      <c r="CP102" s="968"/>
    </row>
    <row r="103" spans="1:94" ht="15.75" customHeight="1" thickBot="1">
      <c r="A103" s="970"/>
      <c r="B103" s="988" t="s">
        <v>1985</v>
      </c>
      <c r="C103" s="982"/>
      <c r="D103" s="983"/>
      <c r="E103" s="983"/>
      <c r="F103" s="994"/>
      <c r="G103" s="994"/>
      <c r="H103" s="994"/>
      <c r="I103" s="994"/>
      <c r="J103" s="994"/>
      <c r="K103" s="994"/>
      <c r="L103" s="994"/>
      <c r="M103" s="994"/>
      <c r="N103" s="994"/>
      <c r="O103" s="995"/>
      <c r="P103" s="994"/>
      <c r="Q103" s="994"/>
      <c r="R103" s="995"/>
      <c r="S103" s="970" t="s">
        <v>254</v>
      </c>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c r="AU103" s="970"/>
      <c r="AV103" s="970"/>
      <c r="AW103" s="970"/>
      <c r="AX103" s="970"/>
      <c r="AY103" s="970"/>
      <c r="AZ103" s="970"/>
      <c r="BA103" s="970"/>
      <c r="BB103" s="970"/>
      <c r="BC103" s="970"/>
      <c r="BD103" s="970"/>
      <c r="BE103" s="973"/>
      <c r="CM103" s="968"/>
      <c r="CN103" s="968"/>
      <c r="CO103" s="968"/>
      <c r="CP103" s="968"/>
    </row>
    <row r="104" spans="1:94" ht="15.75" customHeight="1">
      <c r="A104" s="970"/>
      <c r="B104" s="991" t="s">
        <v>1966</v>
      </c>
      <c r="C104" s="991"/>
      <c r="D104" s="996"/>
      <c r="E104" s="997"/>
      <c r="F104" s="2033"/>
      <c r="G104" s="2034"/>
      <c r="H104" s="2034"/>
      <c r="I104" s="2034"/>
      <c r="J104" s="2034"/>
      <c r="K104" s="2034"/>
      <c r="L104" s="2034"/>
      <c r="M104" s="2034"/>
      <c r="N104" s="2034"/>
      <c r="O104" s="2034"/>
      <c r="P104" s="2034"/>
      <c r="Q104" s="2034"/>
      <c r="R104" s="2035"/>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c r="AU104" s="970"/>
      <c r="AV104" s="970"/>
      <c r="AW104" s="970"/>
      <c r="AX104" s="970"/>
      <c r="AY104" s="970"/>
      <c r="AZ104" s="970"/>
      <c r="BA104" s="970"/>
      <c r="BB104" s="970"/>
      <c r="BC104" s="970"/>
      <c r="BD104" s="970"/>
      <c r="BE104" s="973"/>
      <c r="CM104" s="968"/>
      <c r="CN104" s="968"/>
      <c r="CO104" s="968"/>
      <c r="CP104" s="968"/>
    </row>
    <row r="105" spans="1:94" ht="15.75" customHeight="1" thickBot="1">
      <c r="A105" s="970"/>
      <c r="B105" s="998" t="s">
        <v>1986</v>
      </c>
      <c r="C105" s="999"/>
      <c r="D105" s="1000"/>
      <c r="E105" s="1000"/>
      <c r="F105" s="1000"/>
      <c r="G105" s="1000"/>
      <c r="H105" s="1000"/>
      <c r="I105" s="1000"/>
      <c r="J105" s="1000"/>
      <c r="K105" s="1000"/>
      <c r="L105" s="1001"/>
      <c r="M105" s="1000"/>
      <c r="N105" s="1001"/>
      <c r="O105" s="1997" t="str">
        <f>IFERROR(INDEX(BR96:BR98,MATCH(F104,$BQ$96:$BQ$98,0))/SUM($BR$96:$BR$98),"")</f>
        <v/>
      </c>
      <c r="P105" s="1998"/>
      <c r="Q105" s="1998"/>
      <c r="R105" s="1999"/>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c r="AU105" s="970"/>
      <c r="AV105" s="970"/>
      <c r="AW105" s="970"/>
      <c r="AX105" s="970"/>
      <c r="AY105" s="970"/>
      <c r="AZ105" s="970"/>
      <c r="BA105" s="970"/>
      <c r="BB105" s="970"/>
      <c r="BC105" s="970"/>
      <c r="BD105" s="970"/>
      <c r="BE105" s="973"/>
      <c r="CM105" s="968"/>
      <c r="CN105" s="968"/>
      <c r="CO105" s="968"/>
      <c r="CP105" s="968"/>
    </row>
    <row r="106" spans="1:94" ht="15.75" customHeight="1" thickBot="1">
      <c r="A106" s="970"/>
      <c r="B106" s="970"/>
      <c r="C106" s="970"/>
      <c r="D106" s="970"/>
      <c r="E106" s="970"/>
      <c r="F106" s="970"/>
      <c r="G106" s="970"/>
      <c r="H106" s="970"/>
      <c r="I106" s="970"/>
      <c r="J106" s="970"/>
      <c r="K106" s="970"/>
      <c r="L106" s="970"/>
      <c r="M106" s="970"/>
      <c r="N106" s="970"/>
      <c r="O106" s="970"/>
      <c r="P106" s="1002"/>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c r="AL106" s="970"/>
      <c r="AM106" s="970"/>
      <c r="AN106" s="970"/>
      <c r="AO106" s="970"/>
      <c r="AP106" s="970"/>
      <c r="AQ106" s="970"/>
      <c r="AR106" s="970"/>
      <c r="AS106" s="970"/>
      <c r="AT106" s="970"/>
      <c r="AU106" s="970"/>
      <c r="AV106" s="970"/>
      <c r="AW106" s="970"/>
      <c r="AX106" s="970"/>
      <c r="AY106" s="970"/>
      <c r="AZ106" s="970"/>
      <c r="BA106" s="970"/>
      <c r="BB106" s="970"/>
      <c r="BC106" s="970"/>
      <c r="BD106" s="970"/>
      <c r="BE106" s="973"/>
      <c r="CM106" s="968"/>
      <c r="CN106" s="968"/>
      <c r="CO106" s="968"/>
      <c r="CP106" s="968"/>
    </row>
    <row r="107" spans="1:94" ht="15.75" customHeight="1">
      <c r="A107" s="970"/>
      <c r="B107" s="1985" t="s">
        <v>1987</v>
      </c>
      <c r="C107" s="1986"/>
      <c r="D107" s="1986"/>
      <c r="E107" s="1986"/>
      <c r="F107" s="1986"/>
      <c r="G107" s="1986"/>
      <c r="H107" s="1986"/>
      <c r="I107" s="1986"/>
      <c r="J107" s="1986"/>
      <c r="K107" s="1986"/>
      <c r="L107" s="1986"/>
      <c r="M107" s="1986"/>
      <c r="N107" s="1986"/>
      <c r="O107" s="1986"/>
      <c r="P107" s="1986"/>
      <c r="Q107" s="1986"/>
      <c r="R107" s="1986"/>
      <c r="S107" s="1986"/>
      <c r="T107" s="1986"/>
      <c r="U107" s="1986"/>
      <c r="V107" s="1986"/>
      <c r="W107" s="1986"/>
      <c r="X107" s="1986"/>
      <c r="Y107" s="1986"/>
      <c r="Z107" s="1986"/>
      <c r="AA107" s="1986"/>
      <c r="AB107" s="1986"/>
      <c r="AC107" s="1986"/>
      <c r="AD107" s="1986"/>
      <c r="AE107" s="1986"/>
      <c r="AF107" s="1986"/>
      <c r="AG107" s="1986"/>
      <c r="AH107" s="2036"/>
      <c r="AI107" s="970"/>
      <c r="AJ107" s="970"/>
      <c r="AK107" s="970"/>
      <c r="AL107" s="970"/>
      <c r="AM107" s="970"/>
      <c r="AN107" s="970"/>
      <c r="AO107" s="970"/>
      <c r="AP107" s="970"/>
      <c r="AQ107" s="970"/>
      <c r="AR107" s="970"/>
      <c r="AS107" s="970"/>
      <c r="AT107" s="970"/>
      <c r="AU107" s="970"/>
      <c r="AV107" s="970"/>
      <c r="AW107" s="970"/>
      <c r="AX107" s="970"/>
      <c r="AY107" s="970"/>
      <c r="AZ107" s="970"/>
      <c r="BA107" s="970"/>
      <c r="BB107" s="970"/>
      <c r="BC107" s="970"/>
      <c r="BD107" s="970"/>
      <c r="BE107" s="973"/>
      <c r="CM107" s="968"/>
      <c r="CN107" s="968"/>
      <c r="CO107" s="968"/>
      <c r="CP107" s="968"/>
    </row>
    <row r="108" spans="1:94" ht="16.5" customHeight="1">
      <c r="A108" s="970"/>
      <c r="B108" s="1939"/>
      <c r="C108" s="1940"/>
      <c r="D108" s="1940"/>
      <c r="E108" s="1940"/>
      <c r="F108" s="1940"/>
      <c r="G108" s="1940"/>
      <c r="H108" s="1940"/>
      <c r="I108" s="1940" t="s">
        <v>1972</v>
      </c>
      <c r="J108" s="1940"/>
      <c r="K108" s="1940"/>
      <c r="L108" s="1940"/>
      <c r="M108" s="1940"/>
      <c r="N108" s="1940"/>
      <c r="O108" s="1940" t="s">
        <v>1973</v>
      </c>
      <c r="P108" s="1940"/>
      <c r="Q108" s="1940"/>
      <c r="R108" s="1940"/>
      <c r="S108" s="1940"/>
      <c r="T108" s="1940"/>
      <c r="U108" s="1940"/>
      <c r="V108" s="2026" t="s">
        <v>1974</v>
      </c>
      <c r="W108" s="2026"/>
      <c r="X108" s="2026"/>
      <c r="Y108" s="2026"/>
      <c r="Z108" s="2026"/>
      <c r="AA108" s="2026"/>
      <c r="AB108" s="2027" t="s">
        <v>1975</v>
      </c>
      <c r="AC108" s="2027"/>
      <c r="AD108" s="2027"/>
      <c r="AE108" s="2027"/>
      <c r="AF108" s="2027"/>
      <c r="AG108" s="2027"/>
      <c r="AH108" s="2028"/>
      <c r="AI108" s="970"/>
      <c r="AJ108" s="970"/>
      <c r="AK108" s="970"/>
      <c r="AL108" s="970"/>
      <c r="AM108" s="970"/>
      <c r="AN108" s="970"/>
      <c r="AO108" s="970"/>
      <c r="AP108" s="970"/>
      <c r="AQ108" s="970"/>
      <c r="AR108" s="970"/>
      <c r="AS108" s="970"/>
      <c r="AT108" s="970"/>
      <c r="AU108" s="970"/>
      <c r="AV108" s="970"/>
      <c r="AW108" s="970"/>
      <c r="AX108" s="970"/>
      <c r="AY108" s="970"/>
      <c r="AZ108" s="970"/>
      <c r="BA108" s="970"/>
      <c r="BB108" s="970"/>
      <c r="BC108" s="970"/>
      <c r="BD108" s="970"/>
      <c r="BE108" s="973"/>
      <c r="CM108" s="968"/>
      <c r="CN108" s="968"/>
      <c r="CO108" s="968"/>
      <c r="CP108" s="968"/>
    </row>
    <row r="109" spans="1:94" ht="16.5" customHeight="1">
      <c r="A109" s="970"/>
      <c r="B109" s="1939"/>
      <c r="C109" s="1940"/>
      <c r="D109" s="1940"/>
      <c r="E109" s="1940"/>
      <c r="F109" s="1940"/>
      <c r="G109" s="1940"/>
      <c r="H109" s="1940"/>
      <c r="I109" s="1940"/>
      <c r="J109" s="1940"/>
      <c r="K109" s="1940"/>
      <c r="L109" s="1940"/>
      <c r="M109" s="1940"/>
      <c r="N109" s="1940"/>
      <c r="O109" s="1940"/>
      <c r="P109" s="1940"/>
      <c r="Q109" s="1940"/>
      <c r="R109" s="1940"/>
      <c r="S109" s="1940"/>
      <c r="T109" s="1940"/>
      <c r="U109" s="1940"/>
      <c r="V109" s="2026"/>
      <c r="W109" s="2026"/>
      <c r="X109" s="2026"/>
      <c r="Y109" s="2026"/>
      <c r="Z109" s="2026"/>
      <c r="AA109" s="2026"/>
      <c r="AB109" s="2027"/>
      <c r="AC109" s="2027"/>
      <c r="AD109" s="2027"/>
      <c r="AE109" s="2027"/>
      <c r="AF109" s="2027"/>
      <c r="AG109" s="2027"/>
      <c r="AH109" s="2028"/>
      <c r="AI109" s="970"/>
      <c r="AJ109" s="970"/>
      <c r="AK109" s="970"/>
      <c r="AL109" s="970"/>
      <c r="AM109" s="970"/>
      <c r="AN109" s="970"/>
      <c r="AO109" s="970"/>
      <c r="AP109" s="970"/>
      <c r="AQ109" s="970"/>
      <c r="AR109" s="970"/>
      <c r="AS109" s="970"/>
      <c r="AT109" s="970"/>
      <c r="AU109" s="970"/>
      <c r="AV109" s="970"/>
      <c r="AW109" s="970"/>
      <c r="AX109" s="970"/>
      <c r="AY109" s="970"/>
      <c r="AZ109" s="970"/>
      <c r="BA109" s="970"/>
      <c r="BB109" s="970"/>
      <c r="BC109" s="970"/>
      <c r="BD109" s="970"/>
      <c r="BE109" s="973"/>
      <c r="CM109" s="968"/>
      <c r="CN109" s="968"/>
      <c r="CO109" s="968"/>
      <c r="CP109" s="968"/>
    </row>
    <row r="110" spans="1:94" ht="15.75" customHeight="1">
      <c r="A110" s="970"/>
      <c r="B110" s="1939" t="s">
        <v>1976</v>
      </c>
      <c r="C110" s="1940"/>
      <c r="D110" s="1940"/>
      <c r="E110" s="1940"/>
      <c r="F110" s="1940"/>
      <c r="G110" s="1940"/>
      <c r="H110" s="1940"/>
      <c r="I110" s="2016">
        <v>0</v>
      </c>
      <c r="J110" s="2016"/>
      <c r="K110" s="2016"/>
      <c r="L110" s="2016"/>
      <c r="M110" s="2016"/>
      <c r="N110" s="2016"/>
      <c r="O110" s="2016">
        <v>0</v>
      </c>
      <c r="P110" s="2016"/>
      <c r="Q110" s="2016"/>
      <c r="R110" s="2016"/>
      <c r="S110" s="2016"/>
      <c r="T110" s="2016"/>
      <c r="U110" s="2016"/>
      <c r="V110" s="2016">
        <v>0</v>
      </c>
      <c r="W110" s="2016"/>
      <c r="X110" s="2016"/>
      <c r="Y110" s="2016"/>
      <c r="Z110" s="2016"/>
      <c r="AA110" s="2016"/>
      <c r="AB110" s="2016">
        <v>0</v>
      </c>
      <c r="AC110" s="2016"/>
      <c r="AD110" s="2016"/>
      <c r="AE110" s="2016"/>
      <c r="AF110" s="2016"/>
      <c r="AG110" s="2016"/>
      <c r="AH110" s="2017"/>
      <c r="AI110" s="970"/>
      <c r="AJ110" s="970"/>
      <c r="AK110" s="970"/>
      <c r="AL110" s="970"/>
      <c r="AM110" s="970"/>
      <c r="AN110" s="970"/>
      <c r="AO110" s="970"/>
      <c r="AP110" s="970"/>
      <c r="AQ110" s="970"/>
      <c r="AR110" s="970"/>
      <c r="AS110" s="970"/>
      <c r="AT110" s="970"/>
      <c r="AU110" s="970"/>
      <c r="AV110" s="970"/>
      <c r="AW110" s="970"/>
      <c r="AX110" s="970"/>
      <c r="AY110" s="970"/>
      <c r="AZ110" s="970"/>
      <c r="BA110" s="970"/>
      <c r="BB110" s="970"/>
      <c r="BC110" s="970"/>
      <c r="BD110" s="970"/>
      <c r="BE110" s="973"/>
      <c r="CM110" s="968"/>
      <c r="CN110" s="968"/>
      <c r="CO110" s="968"/>
      <c r="CP110" s="968"/>
    </row>
    <row r="111" spans="1:94" ht="15.75" customHeight="1">
      <c r="A111" s="970"/>
      <c r="B111" s="1939" t="s">
        <v>1977</v>
      </c>
      <c r="C111" s="1940"/>
      <c r="D111" s="1940"/>
      <c r="E111" s="1940"/>
      <c r="F111" s="1940"/>
      <c r="G111" s="1940"/>
      <c r="H111" s="1940"/>
      <c r="I111" s="2016">
        <v>0</v>
      </c>
      <c r="J111" s="2016"/>
      <c r="K111" s="2016"/>
      <c r="L111" s="2016"/>
      <c r="M111" s="2016"/>
      <c r="N111" s="2016"/>
      <c r="O111" s="2016">
        <v>0</v>
      </c>
      <c r="P111" s="2016"/>
      <c r="Q111" s="2016"/>
      <c r="R111" s="2016"/>
      <c r="S111" s="2016"/>
      <c r="T111" s="2016"/>
      <c r="U111" s="2016"/>
      <c r="V111" s="2016">
        <v>0</v>
      </c>
      <c r="W111" s="2016"/>
      <c r="X111" s="2016"/>
      <c r="Y111" s="2016"/>
      <c r="Z111" s="2016"/>
      <c r="AA111" s="2016"/>
      <c r="AB111" s="2016">
        <v>0</v>
      </c>
      <c r="AC111" s="2016"/>
      <c r="AD111" s="2016"/>
      <c r="AE111" s="2016"/>
      <c r="AF111" s="2016"/>
      <c r="AG111" s="2016"/>
      <c r="AH111" s="2017"/>
      <c r="AI111" s="970"/>
      <c r="AJ111" s="970"/>
      <c r="AK111" s="970"/>
      <c r="AL111" s="970"/>
      <c r="AM111" s="970"/>
      <c r="AN111" s="970"/>
      <c r="AO111" s="970"/>
      <c r="AP111" s="970"/>
      <c r="AQ111" s="970"/>
      <c r="AR111" s="970"/>
      <c r="AS111" s="970"/>
      <c r="AT111" s="970"/>
      <c r="AU111" s="970"/>
      <c r="AV111" s="970"/>
      <c r="AW111" s="970"/>
      <c r="AX111" s="970"/>
      <c r="AY111" s="970"/>
      <c r="AZ111" s="970"/>
      <c r="BA111" s="970"/>
      <c r="BB111" s="970"/>
      <c r="BC111" s="970"/>
      <c r="BD111" s="970"/>
      <c r="BE111" s="973"/>
      <c r="CM111" s="968"/>
      <c r="CN111" s="968"/>
      <c r="CO111" s="968"/>
      <c r="CP111" s="968"/>
    </row>
    <row r="112" spans="1:94" ht="15.75" customHeight="1" thickBot="1">
      <c r="A112" s="970"/>
      <c r="B112" s="1957" t="s">
        <v>1979</v>
      </c>
      <c r="C112" s="1958"/>
      <c r="D112" s="1958"/>
      <c r="E112" s="1958"/>
      <c r="F112" s="1958"/>
      <c r="G112" s="1958"/>
      <c r="H112" s="1958"/>
      <c r="I112" s="2031">
        <v>0</v>
      </c>
      <c r="J112" s="2031"/>
      <c r="K112" s="2031"/>
      <c r="L112" s="2031"/>
      <c r="M112" s="2031"/>
      <c r="N112" s="2031"/>
      <c r="O112" s="2031">
        <v>0</v>
      </c>
      <c r="P112" s="2031"/>
      <c r="Q112" s="2031"/>
      <c r="R112" s="2031"/>
      <c r="S112" s="2031"/>
      <c r="T112" s="2031"/>
      <c r="U112" s="2031"/>
      <c r="V112" s="2031">
        <v>0</v>
      </c>
      <c r="W112" s="2031"/>
      <c r="X112" s="2031"/>
      <c r="Y112" s="2031"/>
      <c r="Z112" s="2031"/>
      <c r="AA112" s="2031"/>
      <c r="AB112" s="2031">
        <v>0</v>
      </c>
      <c r="AC112" s="2031"/>
      <c r="AD112" s="2031"/>
      <c r="AE112" s="2031"/>
      <c r="AF112" s="2031"/>
      <c r="AG112" s="2031"/>
      <c r="AH112" s="2032"/>
      <c r="AI112" s="970"/>
      <c r="AJ112" s="970"/>
      <c r="AK112" s="970"/>
      <c r="AL112" s="970"/>
      <c r="AM112" s="970"/>
      <c r="AN112" s="970"/>
      <c r="AO112" s="970"/>
      <c r="AP112" s="970"/>
      <c r="AQ112" s="970"/>
      <c r="AR112" s="970"/>
      <c r="AS112" s="970"/>
      <c r="AT112" s="970"/>
      <c r="AU112" s="970"/>
      <c r="AV112" s="970"/>
      <c r="AW112" s="970"/>
      <c r="AX112" s="970"/>
      <c r="AY112" s="970"/>
      <c r="AZ112" s="970"/>
      <c r="BA112" s="970"/>
      <c r="BB112" s="970"/>
      <c r="BC112" s="970"/>
      <c r="BD112" s="970"/>
      <c r="BE112" s="973"/>
      <c r="CM112" s="968"/>
      <c r="CN112" s="968"/>
      <c r="CO112" s="968"/>
      <c r="CP112" s="968"/>
    </row>
    <row r="113" spans="1:57" ht="15.75" customHeight="1" thickBot="1">
      <c r="A113" s="970"/>
      <c r="B113" s="970"/>
      <c r="C113" s="970"/>
      <c r="D113" s="970"/>
      <c r="E113" s="970"/>
      <c r="F113" s="970"/>
      <c r="G113" s="970"/>
      <c r="H113" s="970"/>
      <c r="I113" s="970"/>
      <c r="J113" s="970"/>
      <c r="K113" s="970"/>
      <c r="L113" s="970"/>
      <c r="M113" s="970"/>
      <c r="N113" s="970"/>
      <c r="O113" s="970"/>
      <c r="P113" s="970"/>
      <c r="Q113" s="970"/>
      <c r="R113" s="970"/>
      <c r="S113" s="970"/>
      <c r="T113" s="970"/>
      <c r="U113" s="970" t="s">
        <v>254</v>
      </c>
      <c r="V113" s="970"/>
      <c r="W113" s="970"/>
      <c r="X113" s="970"/>
      <c r="Y113" s="970"/>
      <c r="Z113" s="970"/>
      <c r="AA113" s="970"/>
      <c r="AB113" s="970"/>
      <c r="AC113" s="970"/>
      <c r="AD113" s="970"/>
      <c r="AE113" s="970"/>
      <c r="AF113" s="970"/>
      <c r="AG113" s="970"/>
      <c r="AH113" s="970"/>
      <c r="AI113" s="970"/>
      <c r="AJ113" s="970"/>
      <c r="AK113" s="970"/>
      <c r="AL113" s="970"/>
      <c r="AM113" s="970"/>
      <c r="AN113" s="970"/>
      <c r="AO113" s="970"/>
      <c r="AP113" s="970"/>
      <c r="AQ113" s="970"/>
      <c r="AR113" s="970"/>
      <c r="AS113" s="970"/>
      <c r="AT113" s="970"/>
      <c r="AU113" s="970"/>
      <c r="AV113" s="970"/>
      <c r="AW113" s="970"/>
      <c r="AX113" s="970"/>
      <c r="AY113" s="970"/>
      <c r="AZ113" s="970"/>
      <c r="BA113" s="970"/>
      <c r="BB113" s="970"/>
      <c r="BC113" s="970"/>
      <c r="BD113" s="970"/>
      <c r="BE113" s="973"/>
    </row>
    <row r="114" spans="1:57" ht="15.75" customHeight="1" thickBot="1">
      <c r="A114" s="970"/>
      <c r="B114" s="981" t="s">
        <v>1988</v>
      </c>
      <c r="C114" s="987"/>
      <c r="D114" s="987"/>
      <c r="E114" s="987"/>
      <c r="F114" s="987"/>
      <c r="G114" s="987"/>
      <c r="H114" s="987"/>
      <c r="I114" s="987"/>
      <c r="J114" s="987"/>
      <c r="K114" s="987"/>
      <c r="L114" s="987"/>
      <c r="M114" s="987"/>
      <c r="N114" s="987"/>
      <c r="O114" s="987"/>
      <c r="P114" s="987"/>
      <c r="Q114" s="987"/>
      <c r="R114" s="1003"/>
      <c r="S114" s="970"/>
      <c r="T114" s="970"/>
      <c r="U114" s="970"/>
      <c r="V114" s="970"/>
      <c r="W114" s="970"/>
      <c r="X114" s="970"/>
      <c r="Y114" s="970"/>
      <c r="Z114" s="970"/>
      <c r="AA114" s="970"/>
      <c r="AB114" s="970"/>
      <c r="AC114" s="970"/>
      <c r="AD114" s="970"/>
      <c r="AE114" s="970"/>
      <c r="AF114" s="970"/>
      <c r="AG114" s="970"/>
      <c r="AH114" s="970"/>
      <c r="AI114" s="970"/>
      <c r="AJ114" s="970"/>
      <c r="AK114" s="970"/>
      <c r="AL114" s="970"/>
      <c r="AM114" s="970"/>
      <c r="AN114" s="970"/>
      <c r="AO114" s="970"/>
      <c r="AP114" s="970"/>
      <c r="AQ114" s="970"/>
      <c r="AR114" s="970"/>
      <c r="AS114" s="970"/>
      <c r="AT114" s="970"/>
      <c r="AU114" s="970"/>
      <c r="AV114" s="970"/>
      <c r="AW114" s="970"/>
      <c r="AX114" s="970"/>
      <c r="AY114" s="970"/>
      <c r="AZ114" s="970"/>
      <c r="BA114" s="970"/>
      <c r="BB114" s="970"/>
      <c r="BC114" s="970"/>
      <c r="BD114" s="970"/>
      <c r="BE114" s="973"/>
    </row>
    <row r="115" spans="1:57" ht="15.75" customHeight="1">
      <c r="A115" s="970"/>
      <c r="B115" s="991" t="s">
        <v>1966</v>
      </c>
      <c r="C115" s="991"/>
      <c r="D115" s="996"/>
      <c r="E115" s="997"/>
      <c r="F115" s="2033"/>
      <c r="G115" s="2034"/>
      <c r="H115" s="2034"/>
      <c r="I115" s="2034"/>
      <c r="J115" s="2034"/>
      <c r="K115" s="2034"/>
      <c r="L115" s="2034"/>
      <c r="M115" s="2034"/>
      <c r="N115" s="2034"/>
      <c r="O115" s="2034"/>
      <c r="P115" s="2034"/>
      <c r="Q115" s="2034"/>
      <c r="R115" s="2035"/>
      <c r="S115" s="970"/>
      <c r="T115" s="970"/>
      <c r="U115" s="970"/>
      <c r="V115" s="970"/>
      <c r="W115" s="970"/>
      <c r="X115" s="970"/>
      <c r="Y115" s="970"/>
      <c r="Z115" s="970"/>
      <c r="AA115" s="970"/>
      <c r="AB115" s="970"/>
      <c r="AC115" s="970"/>
      <c r="AD115" s="970"/>
      <c r="AE115" s="970"/>
      <c r="AF115" s="970"/>
      <c r="AG115" s="970"/>
      <c r="AH115" s="970"/>
      <c r="AI115" s="970"/>
      <c r="AJ115" s="970"/>
      <c r="AK115" s="970"/>
      <c r="AL115" s="970"/>
      <c r="AM115" s="970"/>
      <c r="AN115" s="970"/>
      <c r="AO115" s="970"/>
      <c r="AP115" s="970"/>
      <c r="AQ115" s="970"/>
      <c r="AR115" s="970"/>
      <c r="AS115" s="970"/>
      <c r="AT115" s="970"/>
      <c r="AU115" s="970"/>
      <c r="AV115" s="970"/>
      <c r="AW115" s="970"/>
      <c r="AX115" s="970"/>
      <c r="AY115" s="970"/>
      <c r="AZ115" s="970"/>
      <c r="BA115" s="970"/>
      <c r="BB115" s="970"/>
      <c r="BC115" s="970"/>
      <c r="BD115" s="970"/>
      <c r="BE115" s="973"/>
    </row>
    <row r="116" spans="1:57" ht="15.75" customHeight="1" thickBot="1">
      <c r="A116" s="970"/>
      <c r="B116" s="970"/>
      <c r="C116" s="970"/>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0"/>
      <c r="AA116" s="970"/>
      <c r="AB116" s="970"/>
      <c r="AC116" s="970"/>
      <c r="AD116" s="970"/>
      <c r="AE116" s="970"/>
      <c r="AF116" s="970"/>
      <c r="AG116" s="970"/>
      <c r="AH116" s="970"/>
      <c r="AI116" s="970"/>
      <c r="AJ116" s="970"/>
      <c r="AK116" s="970"/>
      <c r="AL116" s="970"/>
      <c r="AM116" s="970"/>
      <c r="AN116" s="970"/>
      <c r="AO116" s="970"/>
      <c r="AP116" s="970"/>
      <c r="AQ116" s="970"/>
      <c r="AR116" s="970"/>
      <c r="AS116" s="970"/>
      <c r="AT116" s="970"/>
      <c r="AU116" s="970"/>
      <c r="AV116" s="970"/>
      <c r="AW116" s="970"/>
      <c r="AX116" s="970"/>
      <c r="AY116" s="970"/>
      <c r="AZ116" s="970"/>
      <c r="BA116" s="970"/>
      <c r="BB116" s="970"/>
      <c r="BC116" s="970"/>
      <c r="BD116" s="970"/>
      <c r="BE116" s="973"/>
    </row>
    <row r="117" spans="1:57" ht="15.75" customHeight="1">
      <c r="A117" s="970"/>
      <c r="B117" s="2045" t="s">
        <v>1989</v>
      </c>
      <c r="C117" s="2046"/>
      <c r="D117" s="2046"/>
      <c r="E117" s="2046"/>
      <c r="F117" s="2046"/>
      <c r="G117" s="2046"/>
      <c r="H117" s="2046"/>
      <c r="I117" s="2046"/>
      <c r="J117" s="2046"/>
      <c r="K117" s="2046"/>
      <c r="L117" s="2046"/>
      <c r="M117" s="2046"/>
      <c r="N117" s="2046"/>
      <c r="O117" s="2046"/>
      <c r="P117" s="2046"/>
      <c r="Q117" s="2046"/>
      <c r="R117" s="2046"/>
      <c r="S117" s="2046"/>
      <c r="T117" s="2046"/>
      <c r="U117" s="2049" t="s">
        <v>694</v>
      </c>
      <c r="V117" s="2049"/>
      <c r="W117" s="2049"/>
      <c r="X117" s="2050"/>
      <c r="Y117" s="970"/>
      <c r="Z117" s="970"/>
      <c r="AA117" s="970"/>
      <c r="AB117" s="970"/>
      <c r="AC117" s="970"/>
      <c r="AD117" s="970"/>
      <c r="AE117" s="970"/>
      <c r="AF117" s="970"/>
      <c r="AG117" s="970"/>
      <c r="AH117" s="970"/>
      <c r="AI117" s="970"/>
      <c r="AJ117" s="970"/>
      <c r="AK117" s="970"/>
      <c r="AL117" s="970"/>
      <c r="AM117" s="970"/>
      <c r="AN117" s="970"/>
      <c r="AO117" s="970"/>
      <c r="AP117" s="970"/>
      <c r="AQ117" s="970"/>
      <c r="AR117" s="970"/>
      <c r="AS117" s="970"/>
      <c r="AT117" s="970"/>
      <c r="AU117" s="970"/>
      <c r="AV117" s="970"/>
      <c r="AW117" s="970"/>
      <c r="AX117" s="970"/>
      <c r="AY117" s="970"/>
      <c r="AZ117" s="970"/>
      <c r="BA117" s="970"/>
      <c r="BB117" s="970"/>
      <c r="BC117" s="970"/>
      <c r="BD117" s="970"/>
      <c r="BE117" s="973"/>
    </row>
    <row r="118" spans="1:57" ht="15.75" customHeight="1">
      <c r="A118" s="970"/>
      <c r="B118" s="2047"/>
      <c r="C118" s="2048"/>
      <c r="D118" s="2048"/>
      <c r="E118" s="2048"/>
      <c r="F118" s="2048"/>
      <c r="G118" s="2048"/>
      <c r="H118" s="2048"/>
      <c r="I118" s="2048"/>
      <c r="J118" s="2048"/>
      <c r="K118" s="2048"/>
      <c r="L118" s="2048"/>
      <c r="M118" s="2048"/>
      <c r="N118" s="2048"/>
      <c r="O118" s="2048"/>
      <c r="P118" s="2048"/>
      <c r="Q118" s="2048"/>
      <c r="R118" s="2048"/>
      <c r="S118" s="2048"/>
      <c r="T118" s="2048"/>
      <c r="U118" s="2051"/>
      <c r="V118" s="2051"/>
      <c r="W118" s="2051"/>
      <c r="X118" s="2052"/>
      <c r="Y118" s="970"/>
      <c r="Z118" s="970"/>
      <c r="AA118" s="970"/>
      <c r="AB118" s="970"/>
      <c r="AC118" s="970"/>
      <c r="AD118" s="970"/>
      <c r="AE118" s="970"/>
      <c r="AF118" s="970"/>
      <c r="AG118" s="970"/>
      <c r="AH118" s="970"/>
      <c r="AI118" s="970"/>
      <c r="AJ118" s="970"/>
      <c r="AK118" s="970"/>
      <c r="AL118" s="970"/>
      <c r="AM118" s="970"/>
      <c r="AN118" s="970"/>
      <c r="AO118" s="970"/>
      <c r="AP118" s="970"/>
      <c r="AQ118" s="970"/>
      <c r="AR118" s="970"/>
      <c r="AS118" s="970"/>
      <c r="AT118" s="970"/>
      <c r="AU118" s="970"/>
      <c r="AV118" s="970"/>
      <c r="AW118" s="970"/>
      <c r="AX118" s="970"/>
      <c r="AY118" s="970"/>
      <c r="AZ118" s="970"/>
      <c r="BA118" s="970"/>
      <c r="BB118" s="970"/>
      <c r="BC118" s="970"/>
      <c r="BD118" s="970"/>
      <c r="BE118" s="973"/>
    </row>
    <row r="119" spans="1:57" ht="15.75" customHeight="1">
      <c r="A119" s="970"/>
      <c r="B119" s="2047"/>
      <c r="C119" s="2048"/>
      <c r="D119" s="2048"/>
      <c r="E119" s="2048"/>
      <c r="F119" s="2048"/>
      <c r="G119" s="2048"/>
      <c r="H119" s="2048"/>
      <c r="I119" s="2048"/>
      <c r="J119" s="2048"/>
      <c r="K119" s="2048"/>
      <c r="L119" s="2048"/>
      <c r="M119" s="2048"/>
      <c r="N119" s="2048"/>
      <c r="O119" s="2048"/>
      <c r="P119" s="2048"/>
      <c r="Q119" s="2048"/>
      <c r="R119" s="2048"/>
      <c r="S119" s="2048"/>
      <c r="T119" s="2048"/>
      <c r="U119" s="2051"/>
      <c r="V119" s="2051"/>
      <c r="W119" s="2051"/>
      <c r="X119" s="2052"/>
      <c r="Y119" s="970"/>
      <c r="Z119" s="970"/>
      <c r="AA119" s="970"/>
      <c r="AB119" s="970"/>
      <c r="AC119" s="970"/>
      <c r="AD119" s="970"/>
      <c r="AE119" s="970"/>
      <c r="AF119" s="970"/>
      <c r="AG119" s="970"/>
      <c r="AH119" s="970"/>
      <c r="AI119" s="970"/>
      <c r="AJ119" s="970"/>
      <c r="AK119" s="970"/>
      <c r="AL119" s="970"/>
      <c r="AM119" s="970"/>
      <c r="AN119" s="970"/>
      <c r="AO119" s="970"/>
      <c r="AP119" s="970"/>
      <c r="AQ119" s="970"/>
      <c r="AR119" s="970"/>
      <c r="AS119" s="970"/>
      <c r="AT119" s="970"/>
      <c r="AU119" s="970"/>
      <c r="AV119" s="970"/>
      <c r="AW119" s="970"/>
      <c r="AX119" s="970"/>
      <c r="AY119" s="970"/>
      <c r="AZ119" s="970"/>
      <c r="BA119" s="970"/>
      <c r="BB119" s="970"/>
      <c r="BC119" s="970"/>
      <c r="BD119" s="970"/>
      <c r="BE119" s="973"/>
    </row>
    <row r="120" spans="1:57" ht="15.75" customHeight="1">
      <c r="A120" s="970"/>
      <c r="B120" s="2047"/>
      <c r="C120" s="2048"/>
      <c r="D120" s="2048"/>
      <c r="E120" s="2048"/>
      <c r="F120" s="2048"/>
      <c r="G120" s="2048"/>
      <c r="H120" s="2048"/>
      <c r="I120" s="2048"/>
      <c r="J120" s="2048"/>
      <c r="K120" s="2048"/>
      <c r="L120" s="2048"/>
      <c r="M120" s="2048"/>
      <c r="N120" s="2048"/>
      <c r="O120" s="2048"/>
      <c r="P120" s="2048"/>
      <c r="Q120" s="2048"/>
      <c r="R120" s="2048"/>
      <c r="S120" s="2048"/>
      <c r="T120" s="2048"/>
      <c r="U120" s="2051"/>
      <c r="V120" s="2051"/>
      <c r="W120" s="2051"/>
      <c r="X120" s="2052"/>
      <c r="Y120" s="970"/>
      <c r="Z120" s="970"/>
      <c r="AA120" s="970"/>
      <c r="AB120" s="970"/>
      <c r="AC120" s="970"/>
      <c r="AD120" s="970"/>
      <c r="AE120" s="970"/>
      <c r="AF120" s="970"/>
      <c r="AG120" s="970"/>
      <c r="AH120" s="970"/>
      <c r="AI120" s="970"/>
      <c r="AJ120" s="970"/>
      <c r="AK120" s="970"/>
      <c r="AL120" s="970"/>
      <c r="AM120" s="970"/>
      <c r="AN120" s="970"/>
      <c r="AO120" s="970"/>
      <c r="AP120" s="970"/>
      <c r="AQ120" s="970"/>
      <c r="AR120" s="970"/>
      <c r="AS120" s="970"/>
      <c r="AT120" s="970"/>
      <c r="AU120" s="970"/>
      <c r="AV120" s="970"/>
      <c r="AW120" s="970"/>
      <c r="AX120" s="970"/>
      <c r="AY120" s="970"/>
      <c r="AZ120" s="970"/>
      <c r="BA120" s="970"/>
      <c r="BB120" s="970"/>
      <c r="BC120" s="970"/>
      <c r="BD120" s="970"/>
      <c r="BE120" s="973"/>
    </row>
    <row r="121" spans="1:57" ht="15.75" customHeight="1">
      <c r="A121" s="970"/>
      <c r="B121" s="2053" t="s">
        <v>1989</v>
      </c>
      <c r="C121" s="2054"/>
      <c r="D121" s="2054"/>
      <c r="E121" s="2054"/>
      <c r="F121" s="2054"/>
      <c r="G121" s="2054"/>
      <c r="H121" s="2054"/>
      <c r="I121" s="2054"/>
      <c r="J121" s="2054"/>
      <c r="K121" s="2054"/>
      <c r="L121" s="2054"/>
      <c r="M121" s="2054"/>
      <c r="N121" s="2054"/>
      <c r="O121" s="2054"/>
      <c r="P121" s="2054"/>
      <c r="Q121" s="2054"/>
      <c r="R121" s="2054"/>
      <c r="S121" s="2054"/>
      <c r="T121" s="2054"/>
      <c r="U121" s="2057" t="s">
        <v>694</v>
      </c>
      <c r="V121" s="2057"/>
      <c r="W121" s="2057"/>
      <c r="X121" s="2058"/>
      <c r="Y121" s="970"/>
      <c r="Z121" s="970"/>
      <c r="AA121" s="970"/>
      <c r="AB121" s="970"/>
      <c r="AC121" s="970"/>
      <c r="AD121" s="970"/>
      <c r="AE121" s="970"/>
      <c r="AF121" s="970"/>
      <c r="AG121" s="970"/>
      <c r="AH121" s="970"/>
      <c r="AI121" s="970"/>
      <c r="AJ121" s="970"/>
      <c r="AK121" s="970"/>
      <c r="AL121" s="970"/>
      <c r="AM121" s="970"/>
      <c r="AN121" s="970"/>
      <c r="AO121" s="970"/>
      <c r="AP121" s="970"/>
      <c r="AQ121" s="970"/>
      <c r="AR121" s="970"/>
      <c r="AS121" s="970"/>
      <c r="AT121" s="970"/>
      <c r="AU121" s="970"/>
      <c r="AV121" s="970"/>
      <c r="AW121" s="970"/>
      <c r="AX121" s="970"/>
      <c r="AY121" s="970"/>
      <c r="AZ121" s="970"/>
      <c r="BA121" s="970"/>
      <c r="BB121" s="970"/>
      <c r="BC121" s="970"/>
      <c r="BD121" s="970"/>
      <c r="BE121" s="973"/>
    </row>
    <row r="122" spans="1:57" ht="15.75" customHeight="1" thickBot="1">
      <c r="A122" s="970"/>
      <c r="B122" s="2055"/>
      <c r="C122" s="2056"/>
      <c r="D122" s="2056"/>
      <c r="E122" s="2056"/>
      <c r="F122" s="2056"/>
      <c r="G122" s="2056"/>
      <c r="H122" s="2056"/>
      <c r="I122" s="2056"/>
      <c r="J122" s="2056"/>
      <c r="K122" s="2056"/>
      <c r="L122" s="2056"/>
      <c r="M122" s="2056"/>
      <c r="N122" s="2056"/>
      <c r="O122" s="2056"/>
      <c r="P122" s="2056"/>
      <c r="Q122" s="2056"/>
      <c r="R122" s="2056"/>
      <c r="S122" s="2056"/>
      <c r="T122" s="2056"/>
      <c r="U122" s="2059"/>
      <c r="V122" s="2059"/>
      <c r="W122" s="2059"/>
      <c r="X122" s="2060"/>
      <c r="Y122" s="970"/>
      <c r="Z122" s="970"/>
      <c r="AA122" s="970"/>
      <c r="AB122" s="970"/>
      <c r="AC122" s="970"/>
      <c r="AD122" s="970"/>
      <c r="AE122" s="970"/>
      <c r="AF122" s="970"/>
      <c r="AG122" s="970"/>
      <c r="AH122" s="970"/>
      <c r="AI122" s="970"/>
      <c r="AJ122" s="970"/>
      <c r="AK122" s="970"/>
      <c r="AL122" s="970"/>
      <c r="AM122" s="970"/>
      <c r="AN122" s="970"/>
      <c r="AO122" s="970"/>
      <c r="AP122" s="970"/>
      <c r="AQ122" s="970"/>
      <c r="AR122" s="970"/>
      <c r="AS122" s="970"/>
      <c r="AT122" s="970"/>
      <c r="AU122" s="970"/>
      <c r="AV122" s="970"/>
      <c r="AW122" s="970"/>
      <c r="AX122" s="970"/>
      <c r="AY122" s="970"/>
      <c r="AZ122" s="970"/>
      <c r="BA122" s="970"/>
      <c r="BB122" s="970"/>
      <c r="BC122" s="970"/>
      <c r="BD122" s="970"/>
      <c r="BE122" s="973"/>
    </row>
    <row r="123" spans="1:57" ht="15.75" customHeight="1" thickBot="1">
      <c r="A123" s="970"/>
      <c r="B123" s="970"/>
      <c r="C123" s="970"/>
      <c r="D123" s="970"/>
      <c r="E123" s="970"/>
      <c r="F123" s="970"/>
      <c r="G123" s="970"/>
      <c r="H123" s="970"/>
      <c r="I123" s="970"/>
      <c r="J123" s="970"/>
      <c r="K123" s="970"/>
      <c r="L123" s="970"/>
      <c r="M123" s="970"/>
      <c r="N123" s="970"/>
      <c r="O123" s="970"/>
      <c r="P123" s="970"/>
      <c r="Q123" s="970"/>
      <c r="R123" s="970"/>
      <c r="S123" s="970"/>
      <c r="T123" s="970"/>
      <c r="U123" s="970"/>
      <c r="V123" s="970"/>
      <c r="W123" s="970"/>
      <c r="X123" s="970"/>
      <c r="Y123" s="970"/>
      <c r="Z123" s="970"/>
      <c r="AA123" s="970"/>
      <c r="AB123" s="970"/>
      <c r="AC123" s="970"/>
      <c r="AD123" s="970"/>
      <c r="AE123" s="970"/>
      <c r="AF123" s="970"/>
      <c r="AG123" s="970"/>
      <c r="AH123" s="970"/>
      <c r="AI123" s="970"/>
      <c r="AJ123" s="970"/>
      <c r="AK123" s="970"/>
      <c r="AL123" s="970"/>
      <c r="AM123" s="970"/>
      <c r="AN123" s="970"/>
      <c r="AO123" s="970"/>
      <c r="AP123" s="970"/>
      <c r="AQ123" s="970"/>
      <c r="AR123" s="970"/>
      <c r="AS123" s="970"/>
      <c r="AT123" s="970"/>
      <c r="AU123" s="970"/>
      <c r="AV123" s="970"/>
      <c r="AW123" s="970"/>
      <c r="AX123" s="970"/>
      <c r="AY123" s="970"/>
      <c r="AZ123" s="970"/>
      <c r="BA123" s="970"/>
      <c r="BB123" s="970"/>
      <c r="BC123" s="970"/>
      <c r="BD123" s="970"/>
      <c r="BE123" s="973"/>
    </row>
    <row r="124" spans="1:57" ht="15.75" customHeight="1" thickBot="1">
      <c r="A124" s="970"/>
      <c r="B124" s="988" t="s">
        <v>1990</v>
      </c>
      <c r="C124" s="983"/>
      <c r="D124" s="983"/>
      <c r="E124" s="983"/>
      <c r="F124" s="983"/>
      <c r="G124" s="983"/>
      <c r="H124" s="983"/>
      <c r="I124" s="983"/>
      <c r="J124" s="983"/>
      <c r="K124" s="983"/>
      <c r="L124" s="983"/>
      <c r="M124" s="983"/>
      <c r="N124" s="983"/>
      <c r="O124" s="983"/>
      <c r="P124" s="983"/>
      <c r="Q124" s="983"/>
      <c r="R124" s="984"/>
      <c r="S124" s="970"/>
      <c r="T124" s="970"/>
      <c r="U124" s="970"/>
      <c r="V124" s="970"/>
      <c r="W124" s="970"/>
      <c r="X124" s="970"/>
      <c r="Y124" s="970"/>
      <c r="Z124" s="970"/>
      <c r="AA124" s="970"/>
      <c r="AB124" s="970"/>
      <c r="AC124" s="970"/>
      <c r="AD124" s="970"/>
      <c r="AE124" s="970"/>
      <c r="AF124" s="970"/>
      <c r="AG124" s="970"/>
      <c r="AH124" s="970"/>
      <c r="AI124" s="970"/>
      <c r="AJ124" s="970"/>
      <c r="AK124" s="970"/>
      <c r="AL124" s="970"/>
      <c r="AM124" s="970"/>
      <c r="AN124" s="970"/>
      <c r="AO124" s="970"/>
      <c r="AP124" s="970"/>
      <c r="AQ124" s="970"/>
      <c r="AR124" s="970"/>
      <c r="AS124" s="970"/>
      <c r="AT124" s="970"/>
      <c r="AU124" s="970"/>
      <c r="AV124" s="970"/>
      <c r="AW124" s="970"/>
      <c r="AX124" s="970"/>
      <c r="AY124" s="970"/>
      <c r="AZ124" s="970"/>
      <c r="BA124" s="970"/>
      <c r="BB124" s="970"/>
      <c r="BC124" s="970"/>
      <c r="BD124" s="970"/>
      <c r="BE124" s="973"/>
    </row>
    <row r="125" spans="1:57" ht="15.75" customHeight="1" thickBot="1">
      <c r="A125" s="970"/>
      <c r="B125" s="970"/>
      <c r="C125" s="970"/>
      <c r="D125" s="970"/>
      <c r="E125" s="970"/>
      <c r="F125" s="970"/>
      <c r="G125" s="970"/>
      <c r="H125" s="970"/>
      <c r="I125" s="970"/>
      <c r="J125" s="970"/>
      <c r="K125" s="970"/>
      <c r="L125" s="970"/>
      <c r="M125" s="970"/>
      <c r="N125" s="970"/>
      <c r="O125" s="970"/>
      <c r="P125" s="1002"/>
      <c r="Q125" s="970"/>
      <c r="R125" s="970"/>
      <c r="S125" s="970"/>
      <c r="T125" s="970"/>
      <c r="U125" s="970"/>
      <c r="V125" s="970"/>
      <c r="W125" s="970"/>
      <c r="X125" s="2018" t="s">
        <v>1991</v>
      </c>
      <c r="Y125" s="2019"/>
      <c r="Z125" s="2019"/>
      <c r="AA125" s="2019"/>
      <c r="AB125" s="2019"/>
      <c r="AC125" s="2019"/>
      <c r="AD125" s="2019"/>
      <c r="AE125" s="2019"/>
      <c r="AF125" s="2019"/>
      <c r="AG125" s="2019"/>
      <c r="AH125" s="2019"/>
      <c r="AI125" s="2019"/>
      <c r="AJ125" s="2019"/>
      <c r="AK125" s="2019"/>
      <c r="AL125" s="2019"/>
      <c r="AM125" s="2019"/>
      <c r="AN125" s="2019"/>
      <c r="AO125" s="2019"/>
      <c r="AP125" s="2019"/>
      <c r="AQ125" s="2019"/>
      <c r="AR125" s="2019"/>
      <c r="AS125" s="2019"/>
      <c r="AT125" s="2019"/>
      <c r="AU125" s="2019"/>
      <c r="AV125" s="2019"/>
      <c r="AW125" s="2019"/>
      <c r="AX125" s="2019"/>
      <c r="AY125" s="2019"/>
      <c r="AZ125" s="2019"/>
      <c r="BA125" s="2019"/>
      <c r="BB125" s="2019"/>
      <c r="BC125" s="2019"/>
      <c r="BD125" s="2061"/>
      <c r="BE125" s="973"/>
    </row>
    <row r="126" spans="1:57" ht="15.75" customHeight="1">
      <c r="A126" s="970"/>
      <c r="B126" s="2063" t="s">
        <v>1992</v>
      </c>
      <c r="C126" s="2064"/>
      <c r="D126" s="2064"/>
      <c r="E126" s="2064"/>
      <c r="F126" s="2064"/>
      <c r="G126" s="2064"/>
      <c r="H126" s="2064"/>
      <c r="I126" s="2064"/>
      <c r="J126" s="2064"/>
      <c r="K126" s="2064"/>
      <c r="L126" s="2064"/>
      <c r="M126" s="2064"/>
      <c r="N126" s="2064"/>
      <c r="O126" s="2064"/>
      <c r="P126" s="2064"/>
      <c r="Q126" s="2064"/>
      <c r="R126" s="2064"/>
      <c r="S126" s="2064"/>
      <c r="T126" s="2064"/>
      <c r="U126" s="2065"/>
      <c r="V126" s="970"/>
      <c r="W126" s="970"/>
      <c r="X126" s="2020"/>
      <c r="Y126" s="2021"/>
      <c r="Z126" s="2021"/>
      <c r="AA126" s="2021"/>
      <c r="AB126" s="2021"/>
      <c r="AC126" s="2021"/>
      <c r="AD126" s="2021"/>
      <c r="AE126" s="2021"/>
      <c r="AF126" s="2021"/>
      <c r="AG126" s="2021"/>
      <c r="AH126" s="2021"/>
      <c r="AI126" s="2021"/>
      <c r="AJ126" s="2021"/>
      <c r="AK126" s="2021"/>
      <c r="AL126" s="2021"/>
      <c r="AM126" s="2021"/>
      <c r="AN126" s="2021"/>
      <c r="AO126" s="2021"/>
      <c r="AP126" s="2021"/>
      <c r="AQ126" s="2021"/>
      <c r="AR126" s="2021"/>
      <c r="AS126" s="2021"/>
      <c r="AT126" s="2021"/>
      <c r="AU126" s="2021"/>
      <c r="AV126" s="2021"/>
      <c r="AW126" s="2021"/>
      <c r="AX126" s="2021"/>
      <c r="AY126" s="2021"/>
      <c r="AZ126" s="2021"/>
      <c r="BA126" s="2021"/>
      <c r="BB126" s="2021"/>
      <c r="BC126" s="2021"/>
      <c r="BD126" s="2062"/>
      <c r="BE126" s="973"/>
    </row>
    <row r="127" spans="1:57" ht="15.75" customHeight="1">
      <c r="A127" s="970"/>
      <c r="B127" s="2081"/>
      <c r="C127" s="2082"/>
      <c r="D127" s="2082"/>
      <c r="E127" s="2082"/>
      <c r="F127" s="2082"/>
      <c r="G127" s="2082"/>
      <c r="H127" s="2082"/>
      <c r="I127" s="1940" t="s">
        <v>1993</v>
      </c>
      <c r="J127" s="1940"/>
      <c r="K127" s="1940"/>
      <c r="L127" s="1940"/>
      <c r="M127" s="1940"/>
      <c r="N127" s="1940"/>
      <c r="O127" s="2037" t="s">
        <v>1994</v>
      </c>
      <c r="P127" s="2037"/>
      <c r="Q127" s="2037"/>
      <c r="R127" s="2037"/>
      <c r="S127" s="2037"/>
      <c r="T127" s="2037"/>
      <c r="U127" s="2038"/>
      <c r="V127" s="970"/>
      <c r="W127" s="970"/>
      <c r="X127" s="2005" t="s">
        <v>1964</v>
      </c>
      <c r="Y127" s="2006"/>
      <c r="Z127" s="2006"/>
      <c r="AA127" s="2006"/>
      <c r="AB127" s="2006"/>
      <c r="AC127" s="2006"/>
      <c r="AD127" s="2006"/>
      <c r="AE127" s="2006"/>
      <c r="AF127" s="2006"/>
      <c r="AG127" s="2006"/>
      <c r="AH127" s="2006"/>
      <c r="AI127" s="2006"/>
      <c r="AJ127" s="2006"/>
      <c r="AK127" s="2006"/>
      <c r="AL127" s="2006"/>
      <c r="AM127" s="2006"/>
      <c r="AN127" s="2006"/>
      <c r="AO127" s="2006"/>
      <c r="AP127" s="2006"/>
      <c r="AQ127" s="2006"/>
      <c r="AR127" s="2006"/>
      <c r="AS127" s="2006"/>
      <c r="AT127" s="2006"/>
      <c r="AU127" s="2006"/>
      <c r="AV127" s="2006"/>
      <c r="AW127" s="2006"/>
      <c r="AX127" s="2006"/>
      <c r="AY127" s="2006"/>
      <c r="AZ127" s="2006"/>
      <c r="BA127" s="2006"/>
      <c r="BB127" s="2006"/>
      <c r="BC127" s="2006"/>
      <c r="BD127" s="2007"/>
      <c r="BE127" s="973"/>
    </row>
    <row r="128" spans="1:57" ht="15.75" customHeight="1">
      <c r="A128" s="970"/>
      <c r="B128" s="2039" t="s">
        <v>1995</v>
      </c>
      <c r="C128" s="2040"/>
      <c r="D128" s="2040"/>
      <c r="E128" s="2040"/>
      <c r="F128" s="2040"/>
      <c r="G128" s="2040"/>
      <c r="H128" s="2040"/>
      <c r="I128" s="2016">
        <v>0</v>
      </c>
      <c r="J128" s="2016"/>
      <c r="K128" s="2016"/>
      <c r="L128" s="2016"/>
      <c r="M128" s="2016"/>
      <c r="N128" s="2016"/>
      <c r="O128" s="2016">
        <v>0</v>
      </c>
      <c r="P128" s="2016"/>
      <c r="Q128" s="2016"/>
      <c r="R128" s="2016"/>
      <c r="S128" s="2016"/>
      <c r="T128" s="2016"/>
      <c r="U128" s="2017"/>
      <c r="V128" s="970"/>
      <c r="W128" s="970"/>
      <c r="X128" s="2005"/>
      <c r="Y128" s="2006"/>
      <c r="Z128" s="2006"/>
      <c r="AA128" s="2006"/>
      <c r="AB128" s="2006"/>
      <c r="AC128" s="2006"/>
      <c r="AD128" s="2006"/>
      <c r="AE128" s="2006"/>
      <c r="AF128" s="2006"/>
      <c r="AG128" s="2006"/>
      <c r="AH128" s="2006"/>
      <c r="AI128" s="2006"/>
      <c r="AJ128" s="2006"/>
      <c r="AK128" s="2006"/>
      <c r="AL128" s="2006"/>
      <c r="AM128" s="2006"/>
      <c r="AN128" s="2006"/>
      <c r="AO128" s="2006"/>
      <c r="AP128" s="2006"/>
      <c r="AQ128" s="2006"/>
      <c r="AR128" s="2006"/>
      <c r="AS128" s="2006"/>
      <c r="AT128" s="2006"/>
      <c r="AU128" s="2006"/>
      <c r="AV128" s="2006"/>
      <c r="AW128" s="2006"/>
      <c r="AX128" s="2006"/>
      <c r="AY128" s="2006"/>
      <c r="AZ128" s="2006"/>
      <c r="BA128" s="2006"/>
      <c r="BB128" s="2006"/>
      <c r="BC128" s="2006"/>
      <c r="BD128" s="2007"/>
      <c r="BE128" s="973"/>
    </row>
    <row r="129" spans="1:57" ht="15.75" customHeight="1" thickBot="1">
      <c r="A129" s="970"/>
      <c r="B129" s="2041" t="s">
        <v>1996</v>
      </c>
      <c r="C129" s="2042"/>
      <c r="D129" s="2042"/>
      <c r="E129" s="2042"/>
      <c r="F129" s="2042"/>
      <c r="G129" s="2042"/>
      <c r="H129" s="2042"/>
      <c r="I129" s="2031">
        <v>0</v>
      </c>
      <c r="J129" s="2031"/>
      <c r="K129" s="2031"/>
      <c r="L129" s="2031"/>
      <c r="M129" s="2031"/>
      <c r="N129" s="2031"/>
      <c r="O129" s="2043"/>
      <c r="P129" s="2043"/>
      <c r="Q129" s="2043"/>
      <c r="R129" s="2043"/>
      <c r="S129" s="2043"/>
      <c r="T129" s="2043"/>
      <c r="U129" s="2044"/>
      <c r="V129" s="970"/>
      <c r="W129" s="970"/>
      <c r="X129" s="2005"/>
      <c r="Y129" s="2006"/>
      <c r="Z129" s="2006"/>
      <c r="AA129" s="2006"/>
      <c r="AB129" s="2006"/>
      <c r="AC129" s="2006"/>
      <c r="AD129" s="2006"/>
      <c r="AE129" s="2006"/>
      <c r="AF129" s="2006"/>
      <c r="AG129" s="2006"/>
      <c r="AH129" s="2006"/>
      <c r="AI129" s="2006"/>
      <c r="AJ129" s="2006"/>
      <c r="AK129" s="2006"/>
      <c r="AL129" s="2006"/>
      <c r="AM129" s="2006"/>
      <c r="AN129" s="2006"/>
      <c r="AO129" s="2006"/>
      <c r="AP129" s="2006"/>
      <c r="AQ129" s="2006"/>
      <c r="AR129" s="2006"/>
      <c r="AS129" s="2006"/>
      <c r="AT129" s="2006"/>
      <c r="AU129" s="2006"/>
      <c r="AV129" s="2006"/>
      <c r="AW129" s="2006"/>
      <c r="AX129" s="2006"/>
      <c r="AY129" s="2006"/>
      <c r="AZ129" s="2006"/>
      <c r="BA129" s="2006"/>
      <c r="BB129" s="2006"/>
      <c r="BC129" s="2006"/>
      <c r="BD129" s="2007"/>
      <c r="BE129" s="973"/>
    </row>
    <row r="130" spans="1:57" ht="15.75" customHeight="1" thickBot="1">
      <c r="A130" s="970"/>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970"/>
      <c r="X130" s="2005"/>
      <c r="Y130" s="2006"/>
      <c r="Z130" s="2006"/>
      <c r="AA130" s="2006"/>
      <c r="AB130" s="2006"/>
      <c r="AC130" s="2006"/>
      <c r="AD130" s="2006"/>
      <c r="AE130" s="2006"/>
      <c r="AF130" s="2006"/>
      <c r="AG130" s="2006"/>
      <c r="AH130" s="2006"/>
      <c r="AI130" s="2006"/>
      <c r="AJ130" s="2006"/>
      <c r="AK130" s="2006"/>
      <c r="AL130" s="2006"/>
      <c r="AM130" s="2006"/>
      <c r="AN130" s="2006"/>
      <c r="AO130" s="2006"/>
      <c r="AP130" s="2006"/>
      <c r="AQ130" s="2006"/>
      <c r="AR130" s="2006"/>
      <c r="AS130" s="2006"/>
      <c r="AT130" s="2006"/>
      <c r="AU130" s="2006"/>
      <c r="AV130" s="2006"/>
      <c r="AW130" s="2006"/>
      <c r="AX130" s="2006"/>
      <c r="AY130" s="2006"/>
      <c r="AZ130" s="2006"/>
      <c r="BA130" s="2006"/>
      <c r="BB130" s="2006"/>
      <c r="BC130" s="2006"/>
      <c r="BD130" s="2007"/>
      <c r="BE130" s="973"/>
    </row>
    <row r="131" spans="1:57" ht="15.75" customHeight="1" thickBot="1">
      <c r="A131" s="970"/>
      <c r="B131" s="988" t="s">
        <v>1997</v>
      </c>
      <c r="C131" s="989"/>
      <c r="D131" s="989"/>
      <c r="E131" s="989"/>
      <c r="F131" s="989"/>
      <c r="G131" s="989"/>
      <c r="H131" s="989"/>
      <c r="I131" s="989"/>
      <c r="J131" s="989"/>
      <c r="K131" s="989"/>
      <c r="L131" s="989"/>
      <c r="M131" s="989"/>
      <c r="N131" s="989"/>
      <c r="O131" s="989"/>
      <c r="P131" s="990"/>
      <c r="Q131" s="974" t="s">
        <v>254</v>
      </c>
      <c r="R131" s="974" t="s">
        <v>254</v>
      </c>
      <c r="S131" s="970"/>
      <c r="T131" s="970"/>
      <c r="U131" s="970"/>
      <c r="V131" s="970" t="s">
        <v>254</v>
      </c>
      <c r="W131" s="970"/>
      <c r="X131" s="2005"/>
      <c r="Y131" s="2006"/>
      <c r="Z131" s="2006"/>
      <c r="AA131" s="2006"/>
      <c r="AB131" s="2006"/>
      <c r="AC131" s="2006"/>
      <c r="AD131" s="2006"/>
      <c r="AE131" s="2006"/>
      <c r="AF131" s="2006"/>
      <c r="AG131" s="2006"/>
      <c r="AH131" s="2006"/>
      <c r="AI131" s="2006"/>
      <c r="AJ131" s="2006"/>
      <c r="AK131" s="2006"/>
      <c r="AL131" s="2006"/>
      <c r="AM131" s="2006"/>
      <c r="AN131" s="2006"/>
      <c r="AO131" s="2006"/>
      <c r="AP131" s="2006"/>
      <c r="AQ131" s="2006"/>
      <c r="AR131" s="2006"/>
      <c r="AS131" s="2006"/>
      <c r="AT131" s="2006"/>
      <c r="AU131" s="2006"/>
      <c r="AV131" s="2006"/>
      <c r="AW131" s="2006"/>
      <c r="AX131" s="2006"/>
      <c r="AY131" s="2006"/>
      <c r="AZ131" s="2006"/>
      <c r="BA131" s="2006"/>
      <c r="BB131" s="2006"/>
      <c r="BC131" s="2006"/>
      <c r="BD131" s="2007"/>
      <c r="BE131" s="973"/>
    </row>
    <row r="132" spans="1:57" ht="15.75" customHeight="1" thickBot="1">
      <c r="A132" s="970"/>
      <c r="B132" s="970"/>
      <c r="C132" s="970"/>
      <c r="D132" s="970"/>
      <c r="E132" s="970"/>
      <c r="F132" s="970"/>
      <c r="G132" s="970"/>
      <c r="H132" s="970"/>
      <c r="I132" s="970"/>
      <c r="J132" s="970"/>
      <c r="K132" s="970"/>
      <c r="L132" s="970"/>
      <c r="M132" s="970"/>
      <c r="N132" s="970"/>
      <c r="O132" s="970"/>
      <c r="P132" s="970"/>
      <c r="Q132" s="970"/>
      <c r="R132" s="970"/>
      <c r="S132" s="970"/>
      <c r="T132" s="970"/>
      <c r="U132" s="970"/>
      <c r="V132" s="970"/>
      <c r="W132" s="970"/>
      <c r="X132" s="2005"/>
      <c r="Y132" s="2006"/>
      <c r="Z132" s="2006"/>
      <c r="AA132" s="2006"/>
      <c r="AB132" s="2006"/>
      <c r="AC132" s="2006"/>
      <c r="AD132" s="2006"/>
      <c r="AE132" s="2006"/>
      <c r="AF132" s="2006"/>
      <c r="AG132" s="2006"/>
      <c r="AH132" s="2006"/>
      <c r="AI132" s="2006"/>
      <c r="AJ132" s="2006"/>
      <c r="AK132" s="2006"/>
      <c r="AL132" s="2006"/>
      <c r="AM132" s="2006"/>
      <c r="AN132" s="2006"/>
      <c r="AO132" s="2006"/>
      <c r="AP132" s="2006"/>
      <c r="AQ132" s="2006"/>
      <c r="AR132" s="2006"/>
      <c r="AS132" s="2006"/>
      <c r="AT132" s="2006"/>
      <c r="AU132" s="2006"/>
      <c r="AV132" s="2006"/>
      <c r="AW132" s="2006"/>
      <c r="AX132" s="2006"/>
      <c r="AY132" s="2006"/>
      <c r="AZ132" s="2006"/>
      <c r="BA132" s="2006"/>
      <c r="BB132" s="2006"/>
      <c r="BC132" s="2006"/>
      <c r="BD132" s="2007"/>
      <c r="BE132" s="973"/>
    </row>
    <row r="133" spans="1:57" ht="15.75" customHeight="1">
      <c r="A133" s="970"/>
      <c r="B133" s="1841" t="s">
        <v>1998</v>
      </c>
      <c r="C133" s="1842"/>
      <c r="D133" s="1842"/>
      <c r="E133" s="1842"/>
      <c r="F133" s="1842"/>
      <c r="G133" s="1842"/>
      <c r="H133" s="1842"/>
      <c r="I133" s="1842"/>
      <c r="J133" s="1842"/>
      <c r="K133" s="1842"/>
      <c r="L133" s="1842"/>
      <c r="M133" s="1842"/>
      <c r="N133" s="1842"/>
      <c r="O133" s="1842"/>
      <c r="P133" s="1842"/>
      <c r="Q133" s="1842"/>
      <c r="R133" s="1842"/>
      <c r="S133" s="1842"/>
      <c r="T133" s="1842"/>
      <c r="U133" s="1843"/>
      <c r="V133" s="970"/>
      <c r="W133" s="970"/>
      <c r="X133" s="2005"/>
      <c r="Y133" s="2006"/>
      <c r="Z133" s="2006"/>
      <c r="AA133" s="2006"/>
      <c r="AB133" s="2006"/>
      <c r="AC133" s="2006"/>
      <c r="AD133" s="2006"/>
      <c r="AE133" s="2006"/>
      <c r="AF133" s="2006"/>
      <c r="AG133" s="2006"/>
      <c r="AH133" s="2006"/>
      <c r="AI133" s="2006"/>
      <c r="AJ133" s="2006"/>
      <c r="AK133" s="2006"/>
      <c r="AL133" s="2006"/>
      <c r="AM133" s="2006"/>
      <c r="AN133" s="2006"/>
      <c r="AO133" s="2006"/>
      <c r="AP133" s="2006"/>
      <c r="AQ133" s="2006"/>
      <c r="AR133" s="2006"/>
      <c r="AS133" s="2006"/>
      <c r="AT133" s="2006"/>
      <c r="AU133" s="2006"/>
      <c r="AV133" s="2006"/>
      <c r="AW133" s="2006"/>
      <c r="AX133" s="2006"/>
      <c r="AY133" s="2006"/>
      <c r="AZ133" s="2006"/>
      <c r="BA133" s="2006"/>
      <c r="BB133" s="2006"/>
      <c r="BC133" s="2006"/>
      <c r="BD133" s="2007"/>
      <c r="BE133" s="973"/>
    </row>
    <row r="134" spans="1:57" ht="15.75" customHeight="1">
      <c r="A134" s="970"/>
      <c r="B134" s="2081"/>
      <c r="C134" s="2082"/>
      <c r="D134" s="2082"/>
      <c r="E134" s="2082"/>
      <c r="F134" s="2082"/>
      <c r="G134" s="2082"/>
      <c r="H134" s="2082"/>
      <c r="I134" s="2083" t="s">
        <v>1973</v>
      </c>
      <c r="J134" s="2083"/>
      <c r="K134" s="2083"/>
      <c r="L134" s="2083"/>
      <c r="M134" s="2083"/>
      <c r="N134" s="2083"/>
      <c r="O134" s="2083"/>
      <c r="P134" s="2083" t="s">
        <v>1974</v>
      </c>
      <c r="Q134" s="2083"/>
      <c r="R134" s="2083"/>
      <c r="S134" s="2083"/>
      <c r="T134" s="2083"/>
      <c r="U134" s="2084"/>
      <c r="V134" s="970"/>
      <c r="W134" s="970"/>
      <c r="X134" s="2005"/>
      <c r="Y134" s="2006"/>
      <c r="Z134" s="2006"/>
      <c r="AA134" s="2006"/>
      <c r="AB134" s="2006"/>
      <c r="AC134" s="2006"/>
      <c r="AD134" s="2006"/>
      <c r="AE134" s="2006"/>
      <c r="AF134" s="2006"/>
      <c r="AG134" s="2006"/>
      <c r="AH134" s="2006"/>
      <c r="AI134" s="2006"/>
      <c r="AJ134" s="2006"/>
      <c r="AK134" s="2006"/>
      <c r="AL134" s="2006"/>
      <c r="AM134" s="2006"/>
      <c r="AN134" s="2006"/>
      <c r="AO134" s="2006"/>
      <c r="AP134" s="2006"/>
      <c r="AQ134" s="2006"/>
      <c r="AR134" s="2006"/>
      <c r="AS134" s="2006"/>
      <c r="AT134" s="2006"/>
      <c r="AU134" s="2006"/>
      <c r="AV134" s="2006"/>
      <c r="AW134" s="2006"/>
      <c r="AX134" s="2006"/>
      <c r="AY134" s="2006"/>
      <c r="AZ134" s="2006"/>
      <c r="BA134" s="2006"/>
      <c r="BB134" s="2006"/>
      <c r="BC134" s="2006"/>
      <c r="BD134" s="2007"/>
      <c r="BE134" s="973"/>
    </row>
    <row r="135" spans="1:57" ht="15.75" customHeight="1">
      <c r="A135" s="970"/>
      <c r="B135" s="2081"/>
      <c r="C135" s="2082"/>
      <c r="D135" s="2082"/>
      <c r="E135" s="2082"/>
      <c r="F135" s="2082"/>
      <c r="G135" s="2082"/>
      <c r="H135" s="2082"/>
      <c r="I135" s="2083"/>
      <c r="J135" s="2083"/>
      <c r="K135" s="2083"/>
      <c r="L135" s="2083"/>
      <c r="M135" s="2083"/>
      <c r="N135" s="2083"/>
      <c r="O135" s="2083"/>
      <c r="P135" s="2083"/>
      <c r="Q135" s="2083"/>
      <c r="R135" s="2083"/>
      <c r="S135" s="2083"/>
      <c r="T135" s="2083"/>
      <c r="U135" s="2084"/>
      <c r="V135" s="970"/>
      <c r="W135" s="970"/>
      <c r="X135" s="2005"/>
      <c r="Y135" s="2006"/>
      <c r="Z135" s="2006"/>
      <c r="AA135" s="2006"/>
      <c r="AB135" s="2006"/>
      <c r="AC135" s="2006"/>
      <c r="AD135" s="2006"/>
      <c r="AE135" s="2006"/>
      <c r="AF135" s="2006"/>
      <c r="AG135" s="2006"/>
      <c r="AH135" s="2006"/>
      <c r="AI135" s="2006"/>
      <c r="AJ135" s="2006"/>
      <c r="AK135" s="2006"/>
      <c r="AL135" s="2006"/>
      <c r="AM135" s="2006"/>
      <c r="AN135" s="2006"/>
      <c r="AO135" s="2006"/>
      <c r="AP135" s="2006"/>
      <c r="AQ135" s="2006"/>
      <c r="AR135" s="2006"/>
      <c r="AS135" s="2006"/>
      <c r="AT135" s="2006"/>
      <c r="AU135" s="2006"/>
      <c r="AV135" s="2006"/>
      <c r="AW135" s="2006"/>
      <c r="AX135" s="2006"/>
      <c r="AY135" s="2006"/>
      <c r="AZ135" s="2006"/>
      <c r="BA135" s="2006"/>
      <c r="BB135" s="2006"/>
      <c r="BC135" s="2006"/>
      <c r="BD135" s="2007"/>
      <c r="BE135" s="973"/>
    </row>
    <row r="136" spans="1:57" ht="15.75" customHeight="1">
      <c r="A136" s="970"/>
      <c r="B136" s="2039" t="s">
        <v>1995</v>
      </c>
      <c r="C136" s="2040"/>
      <c r="D136" s="2040"/>
      <c r="E136" s="2040"/>
      <c r="F136" s="2040"/>
      <c r="G136" s="2040"/>
      <c r="H136" s="2040"/>
      <c r="I136" s="2016">
        <v>0</v>
      </c>
      <c r="J136" s="2016"/>
      <c r="K136" s="2016"/>
      <c r="L136" s="2016"/>
      <c r="M136" s="2016"/>
      <c r="N136" s="2016"/>
      <c r="O136" s="2016"/>
      <c r="P136" s="2016">
        <v>0</v>
      </c>
      <c r="Q136" s="2016"/>
      <c r="R136" s="2016"/>
      <c r="S136" s="2016"/>
      <c r="T136" s="2016"/>
      <c r="U136" s="2017"/>
      <c r="V136" s="970"/>
      <c r="W136" s="970"/>
      <c r="X136" s="2005"/>
      <c r="Y136" s="2006"/>
      <c r="Z136" s="2006"/>
      <c r="AA136" s="2006"/>
      <c r="AB136" s="2006"/>
      <c r="AC136" s="2006"/>
      <c r="AD136" s="2006"/>
      <c r="AE136" s="2006"/>
      <c r="AF136" s="2006"/>
      <c r="AG136" s="2006"/>
      <c r="AH136" s="2006"/>
      <c r="AI136" s="2006"/>
      <c r="AJ136" s="2006"/>
      <c r="AK136" s="2006"/>
      <c r="AL136" s="2006"/>
      <c r="AM136" s="2006"/>
      <c r="AN136" s="2006"/>
      <c r="AO136" s="2006"/>
      <c r="AP136" s="2006"/>
      <c r="AQ136" s="2006"/>
      <c r="AR136" s="2006"/>
      <c r="AS136" s="2006"/>
      <c r="AT136" s="2006"/>
      <c r="AU136" s="2006"/>
      <c r="AV136" s="2006"/>
      <c r="AW136" s="2006"/>
      <c r="AX136" s="2006"/>
      <c r="AY136" s="2006"/>
      <c r="AZ136" s="2006"/>
      <c r="BA136" s="2006"/>
      <c r="BB136" s="2006"/>
      <c r="BC136" s="2006"/>
      <c r="BD136" s="2007"/>
      <c r="BE136" s="973"/>
    </row>
    <row r="137" spans="1:57" ht="15.75" customHeight="1" thickBot="1">
      <c r="A137" s="970"/>
      <c r="B137" s="2041" t="s">
        <v>1996</v>
      </c>
      <c r="C137" s="2042"/>
      <c r="D137" s="2042"/>
      <c r="E137" s="2042"/>
      <c r="F137" s="2042"/>
      <c r="G137" s="2042"/>
      <c r="H137" s="2042"/>
      <c r="I137" s="2031">
        <v>0</v>
      </c>
      <c r="J137" s="2031"/>
      <c r="K137" s="2031"/>
      <c r="L137" s="2031"/>
      <c r="M137" s="2031"/>
      <c r="N137" s="2031"/>
      <c r="O137" s="2031"/>
      <c r="P137" s="2031">
        <v>0</v>
      </c>
      <c r="Q137" s="2031"/>
      <c r="R137" s="2031"/>
      <c r="S137" s="2031"/>
      <c r="T137" s="2031"/>
      <c r="U137" s="2032"/>
      <c r="V137" s="970"/>
      <c r="W137" s="970"/>
      <c r="X137" s="2008"/>
      <c r="Y137" s="2009"/>
      <c r="Z137" s="2009"/>
      <c r="AA137" s="2009"/>
      <c r="AB137" s="2009"/>
      <c r="AC137" s="2009"/>
      <c r="AD137" s="2009"/>
      <c r="AE137" s="2009"/>
      <c r="AF137" s="2009"/>
      <c r="AG137" s="2009"/>
      <c r="AH137" s="2009"/>
      <c r="AI137" s="2009"/>
      <c r="AJ137" s="2009"/>
      <c r="AK137" s="2009"/>
      <c r="AL137" s="2009"/>
      <c r="AM137" s="2009"/>
      <c r="AN137" s="2009"/>
      <c r="AO137" s="2009"/>
      <c r="AP137" s="2009"/>
      <c r="AQ137" s="2009"/>
      <c r="AR137" s="2009"/>
      <c r="AS137" s="2009"/>
      <c r="AT137" s="2009"/>
      <c r="AU137" s="2009"/>
      <c r="AV137" s="2009"/>
      <c r="AW137" s="2009"/>
      <c r="AX137" s="2009"/>
      <c r="AY137" s="2009"/>
      <c r="AZ137" s="2009"/>
      <c r="BA137" s="2009"/>
      <c r="BB137" s="2009"/>
      <c r="BC137" s="2009"/>
      <c r="BD137" s="2010"/>
      <c r="BE137" s="973"/>
    </row>
    <row r="138" spans="1:57" ht="15.75" customHeight="1" thickBot="1">
      <c r="A138" s="970"/>
      <c r="B138" s="970"/>
      <c r="C138" s="970"/>
      <c r="D138" s="970"/>
      <c r="E138" s="970"/>
      <c r="F138" s="970"/>
      <c r="G138" s="970"/>
      <c r="H138" s="970"/>
      <c r="I138" s="970"/>
      <c r="J138" s="970"/>
      <c r="K138" s="970"/>
      <c r="L138" s="970"/>
      <c r="M138" s="970"/>
      <c r="N138" s="970"/>
      <c r="O138" s="970"/>
      <c r="P138" s="970"/>
      <c r="Q138" s="1004"/>
      <c r="R138" s="970"/>
      <c r="S138" s="970"/>
      <c r="T138" s="970"/>
      <c r="U138" s="970"/>
      <c r="V138" s="970"/>
      <c r="W138" s="970"/>
      <c r="X138" s="970"/>
      <c r="Y138" s="970"/>
      <c r="Z138" s="970"/>
      <c r="AA138" s="970"/>
      <c r="AB138" s="970"/>
      <c r="AC138" s="970"/>
      <c r="AD138" s="970"/>
      <c r="AE138" s="970"/>
      <c r="AF138" s="970"/>
      <c r="AG138" s="970"/>
      <c r="AH138" s="970"/>
      <c r="AI138" s="970"/>
      <c r="AJ138" s="970"/>
      <c r="AK138" s="970"/>
      <c r="AL138" s="970"/>
      <c r="AM138" s="970"/>
      <c r="AN138" s="970"/>
      <c r="AO138" s="970"/>
      <c r="AP138" s="970"/>
      <c r="AQ138" s="970"/>
      <c r="AR138" s="970"/>
      <c r="AS138" s="970"/>
      <c r="AT138" s="970"/>
      <c r="AU138" s="970"/>
      <c r="AV138" s="970"/>
      <c r="AW138" s="970"/>
      <c r="AX138" s="970"/>
      <c r="AY138" s="970"/>
      <c r="AZ138" s="970"/>
      <c r="BA138" s="970"/>
      <c r="BB138" s="970"/>
      <c r="BC138" s="970"/>
      <c r="BD138" s="970"/>
      <c r="BE138" s="973"/>
    </row>
    <row r="139" spans="1:57" ht="15.75" customHeight="1">
      <c r="A139" s="970"/>
      <c r="B139" s="2079" t="s">
        <v>1999</v>
      </c>
      <c r="C139" s="2080"/>
      <c r="D139" s="2080"/>
      <c r="E139" s="2080"/>
      <c r="F139" s="2080"/>
      <c r="G139" s="2080"/>
      <c r="H139" s="2080"/>
      <c r="I139" s="2080"/>
      <c r="J139" s="2080"/>
      <c r="K139" s="2080"/>
      <c r="L139" s="2080"/>
      <c r="M139" s="2080"/>
      <c r="N139" s="2080"/>
      <c r="O139" s="2080"/>
      <c r="P139" s="2080"/>
      <c r="Q139" s="2080"/>
      <c r="R139" s="2080"/>
      <c r="S139" s="2080"/>
      <c r="T139" s="2080"/>
      <c r="U139" s="2080"/>
      <c r="V139" s="2080"/>
      <c r="W139" s="2080"/>
      <c r="X139" s="2080"/>
      <c r="Y139" s="2080"/>
      <c r="Z139" s="2080"/>
      <c r="AA139" s="2080"/>
      <c r="AB139" s="2080"/>
      <c r="AC139" s="2080"/>
      <c r="AD139" s="2080"/>
      <c r="AE139" s="2080"/>
      <c r="AF139" s="2080"/>
      <c r="AG139" s="2080"/>
      <c r="AH139" s="1964" t="s">
        <v>694</v>
      </c>
      <c r="AI139" s="1964"/>
      <c r="AJ139" s="1964"/>
      <c r="AK139" s="1964"/>
      <c r="AL139" s="1964"/>
      <c r="AM139" s="1964"/>
      <c r="AN139" s="1964"/>
      <c r="AO139" s="1964"/>
      <c r="AP139" s="1964"/>
      <c r="AQ139" s="1964"/>
      <c r="AR139" s="1964"/>
      <c r="AS139" s="1964"/>
      <c r="AT139" s="1964"/>
      <c r="AU139" s="1964"/>
      <c r="AV139" s="1964"/>
      <c r="AW139" s="1964"/>
      <c r="AX139" s="1965"/>
      <c r="AY139" s="970"/>
      <c r="AZ139" s="970"/>
      <c r="BA139" s="970"/>
      <c r="BB139" s="970"/>
      <c r="BC139" s="970"/>
      <c r="BD139" s="970"/>
      <c r="BE139" s="973"/>
    </row>
    <row r="140" spans="1:57" ht="15.75" customHeight="1" thickBot="1">
      <c r="A140" s="970"/>
      <c r="B140" s="2066" t="s">
        <v>2000</v>
      </c>
      <c r="C140" s="2067"/>
      <c r="D140" s="2067"/>
      <c r="E140" s="2067"/>
      <c r="F140" s="2067"/>
      <c r="G140" s="2067"/>
      <c r="H140" s="2067"/>
      <c r="I140" s="2067"/>
      <c r="J140" s="2067"/>
      <c r="K140" s="2067"/>
      <c r="L140" s="2067"/>
      <c r="M140" s="2067"/>
      <c r="N140" s="2067"/>
      <c r="O140" s="2067"/>
      <c r="P140" s="2067"/>
      <c r="Q140" s="2067"/>
      <c r="R140" s="2067"/>
      <c r="S140" s="2067"/>
      <c r="T140" s="2067"/>
      <c r="U140" s="2067"/>
      <c r="V140" s="2067"/>
      <c r="W140" s="2067"/>
      <c r="X140" s="2067"/>
      <c r="Y140" s="2067"/>
      <c r="Z140" s="2067"/>
      <c r="AA140" s="2067"/>
      <c r="AB140" s="2067"/>
      <c r="AC140" s="2067"/>
      <c r="AD140" s="2067"/>
      <c r="AE140" s="2067"/>
      <c r="AF140" s="2067"/>
      <c r="AG140" s="2068"/>
      <c r="AH140" s="2033"/>
      <c r="AI140" s="2034"/>
      <c r="AJ140" s="2034"/>
      <c r="AK140" s="2034"/>
      <c r="AL140" s="2034"/>
      <c r="AM140" s="2034"/>
      <c r="AN140" s="2034"/>
      <c r="AO140" s="2034"/>
      <c r="AP140" s="2034"/>
      <c r="AQ140" s="2034"/>
      <c r="AR140" s="2034"/>
      <c r="AS140" s="2034"/>
      <c r="AT140" s="2034"/>
      <c r="AU140" s="2034"/>
      <c r="AV140" s="2034"/>
      <c r="AW140" s="2034"/>
      <c r="AX140" s="2035"/>
      <c r="AY140" s="970"/>
      <c r="AZ140" s="970"/>
      <c r="BA140" s="970"/>
      <c r="BB140" s="970"/>
      <c r="BC140" s="970"/>
      <c r="BD140" s="970"/>
      <c r="BE140" s="973"/>
    </row>
    <row r="141" spans="1:57" ht="15.75" customHeight="1">
      <c r="A141" s="970"/>
      <c r="B141" s="2066" t="s">
        <v>2001</v>
      </c>
      <c r="C141" s="2067"/>
      <c r="D141" s="2067"/>
      <c r="E141" s="2067"/>
      <c r="F141" s="2067"/>
      <c r="G141" s="2067"/>
      <c r="H141" s="2067"/>
      <c r="I141" s="2067"/>
      <c r="J141" s="2067"/>
      <c r="K141" s="2067"/>
      <c r="L141" s="2067"/>
      <c r="M141" s="2067"/>
      <c r="N141" s="2067"/>
      <c r="O141" s="2067"/>
      <c r="P141" s="2067"/>
      <c r="Q141" s="2067"/>
      <c r="R141" s="2067"/>
      <c r="S141" s="2067"/>
      <c r="T141" s="2067"/>
      <c r="U141" s="2067"/>
      <c r="V141" s="2067"/>
      <c r="W141" s="2067"/>
      <c r="X141" s="2067"/>
      <c r="Y141" s="2067"/>
      <c r="Z141" s="2067"/>
      <c r="AA141" s="2067"/>
      <c r="AB141" s="2067"/>
      <c r="AC141" s="2067"/>
      <c r="AD141" s="2067"/>
      <c r="AE141" s="2067"/>
      <c r="AF141" s="2067"/>
      <c r="AG141" s="2068"/>
      <c r="AH141" s="1964" t="s">
        <v>694</v>
      </c>
      <c r="AI141" s="1964"/>
      <c r="AJ141" s="1964"/>
      <c r="AK141" s="1964"/>
      <c r="AL141" s="1964"/>
      <c r="AM141" s="1964"/>
      <c r="AN141" s="1964"/>
      <c r="AO141" s="1964"/>
      <c r="AP141" s="1964"/>
      <c r="AQ141" s="1964"/>
      <c r="AR141" s="1964"/>
      <c r="AS141" s="1964"/>
      <c r="AT141" s="1964"/>
      <c r="AU141" s="1964"/>
      <c r="AV141" s="1964"/>
      <c r="AW141" s="1964"/>
      <c r="AX141" s="1965"/>
      <c r="AY141" s="970"/>
      <c r="AZ141" s="970"/>
      <c r="BA141" s="970"/>
      <c r="BB141" s="970"/>
      <c r="BC141" s="970"/>
      <c r="BD141" s="970"/>
      <c r="BE141" s="973"/>
    </row>
    <row r="142" spans="1:57" ht="15.75" customHeight="1">
      <c r="A142" s="970"/>
      <c r="B142" s="2069" t="s">
        <v>2002</v>
      </c>
      <c r="C142" s="2070"/>
      <c r="D142" s="2070"/>
      <c r="E142" s="2070"/>
      <c r="F142" s="2070"/>
      <c r="G142" s="2070"/>
      <c r="H142" s="2070"/>
      <c r="I142" s="2070"/>
      <c r="J142" s="2070"/>
      <c r="K142" s="2070"/>
      <c r="L142" s="2070"/>
      <c r="M142" s="2070"/>
      <c r="N142" s="2070"/>
      <c r="O142" s="2070"/>
      <c r="P142" s="2070"/>
      <c r="Q142" s="2070"/>
      <c r="R142" s="2071" t="s">
        <v>2003</v>
      </c>
      <c r="S142" s="2071"/>
      <c r="T142" s="2071"/>
      <c r="U142" s="2071"/>
      <c r="V142" s="2071"/>
      <c r="W142" s="2071"/>
      <c r="X142" s="2071"/>
      <c r="Y142" s="2071"/>
      <c r="Z142" s="2071"/>
      <c r="AA142" s="2071"/>
      <c r="AB142" s="2071"/>
      <c r="AC142" s="2071"/>
      <c r="AD142" s="2071"/>
      <c r="AE142" s="2071"/>
      <c r="AF142" s="2071"/>
      <c r="AG142" s="2071"/>
      <c r="AH142" s="2071"/>
      <c r="AI142" s="2071"/>
      <c r="AJ142" s="2071"/>
      <c r="AK142" s="2071"/>
      <c r="AL142" s="2071"/>
      <c r="AM142" s="2071"/>
      <c r="AN142" s="2071"/>
      <c r="AO142" s="2071"/>
      <c r="AP142" s="2071"/>
      <c r="AQ142" s="2071"/>
      <c r="AR142" s="2071"/>
      <c r="AS142" s="2071"/>
      <c r="AT142" s="2071"/>
      <c r="AU142" s="2071"/>
      <c r="AV142" s="2071"/>
      <c r="AW142" s="2071"/>
      <c r="AX142" s="2072"/>
      <c r="AY142" s="970"/>
      <c r="AZ142" s="970"/>
      <c r="BA142" s="970"/>
      <c r="BB142" s="970"/>
      <c r="BC142" s="970" t="s">
        <v>254</v>
      </c>
      <c r="BD142" s="970"/>
      <c r="BE142" s="973"/>
    </row>
    <row r="143" spans="1:57" ht="15.75" customHeight="1">
      <c r="A143" s="970"/>
      <c r="B143" s="2073" t="s">
        <v>2004</v>
      </c>
      <c r="C143" s="2074"/>
      <c r="D143" s="2074"/>
      <c r="E143" s="2074"/>
      <c r="F143" s="2074"/>
      <c r="G143" s="2074"/>
      <c r="H143" s="2074"/>
      <c r="I143" s="2074"/>
      <c r="J143" s="2074"/>
      <c r="K143" s="2074"/>
      <c r="L143" s="2074"/>
      <c r="M143" s="2074"/>
      <c r="N143" s="2074"/>
      <c r="O143" s="2074"/>
      <c r="P143" s="2074"/>
      <c r="Q143" s="2074"/>
      <c r="R143" s="2074"/>
      <c r="S143" s="2074"/>
      <c r="T143" s="2074"/>
      <c r="U143" s="2074"/>
      <c r="V143" s="2074"/>
      <c r="W143" s="2074"/>
      <c r="X143" s="2074"/>
      <c r="Y143" s="2074"/>
      <c r="Z143" s="2074"/>
      <c r="AA143" s="2074"/>
      <c r="AB143" s="2074"/>
      <c r="AC143" s="2074"/>
      <c r="AD143" s="2074"/>
      <c r="AE143" s="2074"/>
      <c r="AF143" s="2074"/>
      <c r="AG143" s="2074"/>
      <c r="AH143" s="2074"/>
      <c r="AI143" s="2074"/>
      <c r="AJ143" s="2074"/>
      <c r="AK143" s="2074"/>
      <c r="AL143" s="2074"/>
      <c r="AM143" s="2074"/>
      <c r="AN143" s="2074"/>
      <c r="AO143" s="2074"/>
      <c r="AP143" s="2074"/>
      <c r="AQ143" s="2074"/>
      <c r="AR143" s="2074"/>
      <c r="AS143" s="2074"/>
      <c r="AT143" s="2074"/>
      <c r="AU143" s="2074"/>
      <c r="AV143" s="2074"/>
      <c r="AW143" s="2074"/>
      <c r="AX143" s="2075"/>
      <c r="AY143" s="970"/>
      <c r="AZ143" s="970"/>
      <c r="BA143" s="970"/>
      <c r="BB143" s="970"/>
      <c r="BC143" s="970"/>
      <c r="BD143" s="970"/>
      <c r="BE143" s="973"/>
    </row>
    <row r="144" spans="1:57" ht="15.75" customHeight="1">
      <c r="A144" s="970"/>
      <c r="B144" s="2073"/>
      <c r="C144" s="2074"/>
      <c r="D144" s="2074"/>
      <c r="E144" s="2074"/>
      <c r="F144" s="2074"/>
      <c r="G144" s="2074"/>
      <c r="H144" s="2074"/>
      <c r="I144" s="2074"/>
      <c r="J144" s="2074"/>
      <c r="K144" s="2074"/>
      <c r="L144" s="2074"/>
      <c r="M144" s="2074"/>
      <c r="N144" s="2074"/>
      <c r="O144" s="2074"/>
      <c r="P144" s="2074"/>
      <c r="Q144" s="2074"/>
      <c r="R144" s="2074"/>
      <c r="S144" s="2074"/>
      <c r="T144" s="2074"/>
      <c r="U144" s="2074"/>
      <c r="V144" s="2074"/>
      <c r="W144" s="2074"/>
      <c r="X144" s="2074"/>
      <c r="Y144" s="2074"/>
      <c r="Z144" s="2074"/>
      <c r="AA144" s="2074"/>
      <c r="AB144" s="2074"/>
      <c r="AC144" s="2074"/>
      <c r="AD144" s="2074"/>
      <c r="AE144" s="2074"/>
      <c r="AF144" s="2074"/>
      <c r="AG144" s="2074"/>
      <c r="AH144" s="2074"/>
      <c r="AI144" s="2074"/>
      <c r="AJ144" s="2074"/>
      <c r="AK144" s="2074"/>
      <c r="AL144" s="2074"/>
      <c r="AM144" s="2074"/>
      <c r="AN144" s="2074"/>
      <c r="AO144" s="2074"/>
      <c r="AP144" s="2074"/>
      <c r="AQ144" s="2074"/>
      <c r="AR144" s="2074"/>
      <c r="AS144" s="2074"/>
      <c r="AT144" s="2074"/>
      <c r="AU144" s="2074"/>
      <c r="AV144" s="2074"/>
      <c r="AW144" s="2074"/>
      <c r="AX144" s="2075"/>
      <c r="AY144" s="970"/>
      <c r="AZ144" s="970"/>
      <c r="BA144" s="970"/>
      <c r="BB144" s="970"/>
      <c r="BC144" s="970"/>
      <c r="BD144" s="970"/>
      <c r="BE144" s="973"/>
    </row>
    <row r="145" spans="1:57" ht="15.75" customHeight="1">
      <c r="A145" s="970"/>
      <c r="B145" s="2073"/>
      <c r="C145" s="2074"/>
      <c r="D145" s="2074"/>
      <c r="E145" s="2074"/>
      <c r="F145" s="2074"/>
      <c r="G145" s="2074"/>
      <c r="H145" s="2074"/>
      <c r="I145" s="2074"/>
      <c r="J145" s="2074"/>
      <c r="K145" s="2074"/>
      <c r="L145" s="2074"/>
      <c r="M145" s="2074"/>
      <c r="N145" s="2074"/>
      <c r="O145" s="2074"/>
      <c r="P145" s="2074"/>
      <c r="Q145" s="2074"/>
      <c r="R145" s="2074"/>
      <c r="S145" s="2074"/>
      <c r="T145" s="2074"/>
      <c r="U145" s="2074"/>
      <c r="V145" s="2074"/>
      <c r="W145" s="2074"/>
      <c r="X145" s="2074"/>
      <c r="Y145" s="2074"/>
      <c r="Z145" s="2074"/>
      <c r="AA145" s="2074"/>
      <c r="AB145" s="2074"/>
      <c r="AC145" s="2074"/>
      <c r="AD145" s="2074"/>
      <c r="AE145" s="2074"/>
      <c r="AF145" s="2074"/>
      <c r="AG145" s="2074"/>
      <c r="AH145" s="2074"/>
      <c r="AI145" s="2074"/>
      <c r="AJ145" s="2074"/>
      <c r="AK145" s="2074"/>
      <c r="AL145" s="2074"/>
      <c r="AM145" s="2074"/>
      <c r="AN145" s="2074"/>
      <c r="AO145" s="2074"/>
      <c r="AP145" s="2074"/>
      <c r="AQ145" s="2074"/>
      <c r="AR145" s="2074"/>
      <c r="AS145" s="2074"/>
      <c r="AT145" s="2074"/>
      <c r="AU145" s="2074"/>
      <c r="AV145" s="2074"/>
      <c r="AW145" s="2074"/>
      <c r="AX145" s="2075"/>
      <c r="AY145" s="970"/>
      <c r="AZ145" s="970"/>
      <c r="BA145" s="970"/>
      <c r="BB145" s="970"/>
      <c r="BC145" s="970"/>
      <c r="BD145" s="970"/>
      <c r="BE145" s="973"/>
    </row>
    <row r="146" spans="1:57" ht="15.75" customHeight="1">
      <c r="A146" s="970"/>
      <c r="B146" s="2073"/>
      <c r="C146" s="2074"/>
      <c r="D146" s="2074"/>
      <c r="E146" s="2074"/>
      <c r="F146" s="2074"/>
      <c r="G146" s="2074"/>
      <c r="H146" s="2074"/>
      <c r="I146" s="2074"/>
      <c r="J146" s="2074"/>
      <c r="K146" s="2074"/>
      <c r="L146" s="2074"/>
      <c r="M146" s="2074"/>
      <c r="N146" s="2074"/>
      <c r="O146" s="2074"/>
      <c r="P146" s="2074"/>
      <c r="Q146" s="2074"/>
      <c r="R146" s="2074"/>
      <c r="S146" s="2074"/>
      <c r="T146" s="2074"/>
      <c r="U146" s="2074"/>
      <c r="V146" s="2074"/>
      <c r="W146" s="2074"/>
      <c r="X146" s="2074"/>
      <c r="Y146" s="2074"/>
      <c r="Z146" s="2074"/>
      <c r="AA146" s="2074"/>
      <c r="AB146" s="2074"/>
      <c r="AC146" s="2074"/>
      <c r="AD146" s="2074"/>
      <c r="AE146" s="2074"/>
      <c r="AF146" s="2074"/>
      <c r="AG146" s="2074"/>
      <c r="AH146" s="2074"/>
      <c r="AI146" s="2074"/>
      <c r="AJ146" s="2074"/>
      <c r="AK146" s="2074"/>
      <c r="AL146" s="2074"/>
      <c r="AM146" s="2074"/>
      <c r="AN146" s="2074"/>
      <c r="AO146" s="2074"/>
      <c r="AP146" s="2074"/>
      <c r="AQ146" s="2074"/>
      <c r="AR146" s="2074"/>
      <c r="AS146" s="2074"/>
      <c r="AT146" s="2074"/>
      <c r="AU146" s="2074"/>
      <c r="AV146" s="2074"/>
      <c r="AW146" s="2074"/>
      <c r="AX146" s="2075"/>
      <c r="AY146" s="970"/>
      <c r="AZ146" s="970"/>
      <c r="BA146" s="970"/>
      <c r="BB146" s="970"/>
      <c r="BC146" s="970"/>
      <c r="BD146" s="970"/>
      <c r="BE146" s="973"/>
    </row>
    <row r="147" spans="1:57" ht="15.75" customHeight="1">
      <c r="A147" s="970"/>
      <c r="B147" s="2073"/>
      <c r="C147" s="2074"/>
      <c r="D147" s="2074"/>
      <c r="E147" s="2074"/>
      <c r="F147" s="2074"/>
      <c r="G147" s="2074"/>
      <c r="H147" s="2074"/>
      <c r="I147" s="2074"/>
      <c r="J147" s="2074"/>
      <c r="K147" s="2074"/>
      <c r="L147" s="2074"/>
      <c r="M147" s="2074"/>
      <c r="N147" s="2074"/>
      <c r="O147" s="2074"/>
      <c r="P147" s="2074"/>
      <c r="Q147" s="2074"/>
      <c r="R147" s="2074"/>
      <c r="S147" s="2074"/>
      <c r="T147" s="2074"/>
      <c r="U147" s="2074"/>
      <c r="V147" s="2074"/>
      <c r="W147" s="2074"/>
      <c r="X147" s="2074"/>
      <c r="Y147" s="2074"/>
      <c r="Z147" s="2074"/>
      <c r="AA147" s="2074"/>
      <c r="AB147" s="2074"/>
      <c r="AC147" s="2074"/>
      <c r="AD147" s="2074"/>
      <c r="AE147" s="2074"/>
      <c r="AF147" s="2074"/>
      <c r="AG147" s="2074"/>
      <c r="AH147" s="2074"/>
      <c r="AI147" s="2074"/>
      <c r="AJ147" s="2074"/>
      <c r="AK147" s="2074"/>
      <c r="AL147" s="2074"/>
      <c r="AM147" s="2074"/>
      <c r="AN147" s="2074"/>
      <c r="AO147" s="2074"/>
      <c r="AP147" s="2074"/>
      <c r="AQ147" s="2074"/>
      <c r="AR147" s="2074"/>
      <c r="AS147" s="2074"/>
      <c r="AT147" s="2074"/>
      <c r="AU147" s="2074"/>
      <c r="AV147" s="2074"/>
      <c r="AW147" s="2074"/>
      <c r="AX147" s="2075"/>
      <c r="AY147" s="970"/>
      <c r="AZ147" s="970"/>
      <c r="BA147" s="970"/>
      <c r="BB147" s="970"/>
      <c r="BC147" s="970"/>
      <c r="BD147" s="970"/>
      <c r="BE147" s="973"/>
    </row>
    <row r="148" spans="1:57" ht="15.75" customHeight="1">
      <c r="A148" s="970"/>
      <c r="B148" s="2073"/>
      <c r="C148" s="2074"/>
      <c r="D148" s="2074"/>
      <c r="E148" s="2074"/>
      <c r="F148" s="2074"/>
      <c r="G148" s="2074"/>
      <c r="H148" s="2074"/>
      <c r="I148" s="2074"/>
      <c r="J148" s="2074"/>
      <c r="K148" s="2074"/>
      <c r="L148" s="2074"/>
      <c r="M148" s="2074"/>
      <c r="N148" s="2074"/>
      <c r="O148" s="2074"/>
      <c r="P148" s="2074"/>
      <c r="Q148" s="2074"/>
      <c r="R148" s="2074"/>
      <c r="S148" s="2074"/>
      <c r="T148" s="2074"/>
      <c r="U148" s="2074"/>
      <c r="V148" s="2074"/>
      <c r="W148" s="2074"/>
      <c r="X148" s="2074"/>
      <c r="Y148" s="2074"/>
      <c r="Z148" s="2074"/>
      <c r="AA148" s="2074"/>
      <c r="AB148" s="2074"/>
      <c r="AC148" s="2074"/>
      <c r="AD148" s="2074"/>
      <c r="AE148" s="2074"/>
      <c r="AF148" s="2074"/>
      <c r="AG148" s="2074"/>
      <c r="AH148" s="2074"/>
      <c r="AI148" s="2074"/>
      <c r="AJ148" s="2074"/>
      <c r="AK148" s="2074"/>
      <c r="AL148" s="2074"/>
      <c r="AM148" s="2074"/>
      <c r="AN148" s="2074"/>
      <c r="AO148" s="2074"/>
      <c r="AP148" s="2074"/>
      <c r="AQ148" s="2074"/>
      <c r="AR148" s="2074"/>
      <c r="AS148" s="2074"/>
      <c r="AT148" s="2074"/>
      <c r="AU148" s="2074"/>
      <c r="AV148" s="2074"/>
      <c r="AW148" s="2074"/>
      <c r="AX148" s="2075"/>
      <c r="AY148" s="970"/>
      <c r="AZ148" s="970"/>
      <c r="BA148" s="970"/>
      <c r="BB148" s="970"/>
      <c r="BC148" s="970"/>
      <c r="BD148" s="970"/>
      <c r="BE148" s="973"/>
    </row>
    <row r="149" spans="1:57" ht="15.75" customHeight="1">
      <c r="A149" s="970"/>
      <c r="B149" s="2073"/>
      <c r="C149" s="2074"/>
      <c r="D149" s="2074"/>
      <c r="E149" s="2074"/>
      <c r="F149" s="2074"/>
      <c r="G149" s="2074"/>
      <c r="H149" s="2074"/>
      <c r="I149" s="2074"/>
      <c r="J149" s="2074"/>
      <c r="K149" s="2074"/>
      <c r="L149" s="2074"/>
      <c r="M149" s="2074"/>
      <c r="N149" s="2074"/>
      <c r="O149" s="2074"/>
      <c r="P149" s="2074"/>
      <c r="Q149" s="2074"/>
      <c r="R149" s="2074"/>
      <c r="S149" s="2074"/>
      <c r="T149" s="2074"/>
      <c r="U149" s="2074"/>
      <c r="V149" s="2074"/>
      <c r="W149" s="2074"/>
      <c r="X149" s="2074"/>
      <c r="Y149" s="2074"/>
      <c r="Z149" s="2074"/>
      <c r="AA149" s="2074"/>
      <c r="AB149" s="2074"/>
      <c r="AC149" s="2074"/>
      <c r="AD149" s="2074"/>
      <c r="AE149" s="2074"/>
      <c r="AF149" s="2074"/>
      <c r="AG149" s="2074"/>
      <c r="AH149" s="2074"/>
      <c r="AI149" s="2074"/>
      <c r="AJ149" s="2074"/>
      <c r="AK149" s="2074"/>
      <c r="AL149" s="2074"/>
      <c r="AM149" s="2074"/>
      <c r="AN149" s="2074"/>
      <c r="AO149" s="2074"/>
      <c r="AP149" s="2074"/>
      <c r="AQ149" s="2074"/>
      <c r="AR149" s="2074"/>
      <c r="AS149" s="2074"/>
      <c r="AT149" s="2074"/>
      <c r="AU149" s="2074"/>
      <c r="AV149" s="2074"/>
      <c r="AW149" s="2074"/>
      <c r="AX149" s="2075"/>
      <c r="AY149" s="970"/>
      <c r="AZ149" s="970"/>
      <c r="BA149" s="970"/>
      <c r="BB149" s="970"/>
      <c r="BC149" s="970"/>
      <c r="BD149" s="970"/>
      <c r="BE149" s="973"/>
    </row>
    <row r="150" spans="1:57" ht="15.75" customHeight="1">
      <c r="A150" s="970"/>
      <c r="B150" s="2073"/>
      <c r="C150" s="2074"/>
      <c r="D150" s="2074"/>
      <c r="E150" s="2074"/>
      <c r="F150" s="2074"/>
      <c r="G150" s="2074"/>
      <c r="H150" s="2074"/>
      <c r="I150" s="2074"/>
      <c r="J150" s="2074"/>
      <c r="K150" s="2074"/>
      <c r="L150" s="2074"/>
      <c r="M150" s="2074"/>
      <c r="N150" s="2074"/>
      <c r="O150" s="2074"/>
      <c r="P150" s="2074"/>
      <c r="Q150" s="2074"/>
      <c r="R150" s="2074"/>
      <c r="S150" s="2074"/>
      <c r="T150" s="2074"/>
      <c r="U150" s="2074"/>
      <c r="V150" s="2074"/>
      <c r="W150" s="2074"/>
      <c r="X150" s="2074"/>
      <c r="Y150" s="2074"/>
      <c r="Z150" s="2074"/>
      <c r="AA150" s="2074"/>
      <c r="AB150" s="2074"/>
      <c r="AC150" s="2074"/>
      <c r="AD150" s="2074"/>
      <c r="AE150" s="2074"/>
      <c r="AF150" s="2074"/>
      <c r="AG150" s="2074"/>
      <c r="AH150" s="2074"/>
      <c r="AI150" s="2074"/>
      <c r="AJ150" s="2074"/>
      <c r="AK150" s="2074"/>
      <c r="AL150" s="2074"/>
      <c r="AM150" s="2074"/>
      <c r="AN150" s="2074"/>
      <c r="AO150" s="2074"/>
      <c r="AP150" s="2074"/>
      <c r="AQ150" s="2074"/>
      <c r="AR150" s="2074"/>
      <c r="AS150" s="2074"/>
      <c r="AT150" s="2074"/>
      <c r="AU150" s="2074"/>
      <c r="AV150" s="2074"/>
      <c r="AW150" s="2074"/>
      <c r="AX150" s="2075"/>
      <c r="AY150" s="970"/>
      <c r="AZ150" s="970"/>
      <c r="BA150" s="970"/>
      <c r="BB150" s="970"/>
      <c r="BC150" s="970"/>
      <c r="BD150" s="970"/>
      <c r="BE150" s="973"/>
    </row>
    <row r="151" spans="1:57" ht="15.75" customHeight="1">
      <c r="A151" s="970"/>
      <c r="B151" s="2073"/>
      <c r="C151" s="2074"/>
      <c r="D151" s="2074"/>
      <c r="E151" s="2074"/>
      <c r="F151" s="2074"/>
      <c r="G151" s="2074"/>
      <c r="H151" s="2074"/>
      <c r="I151" s="2074"/>
      <c r="J151" s="2074"/>
      <c r="K151" s="2074"/>
      <c r="L151" s="2074"/>
      <c r="M151" s="2074"/>
      <c r="N151" s="2074"/>
      <c r="O151" s="2074"/>
      <c r="P151" s="2074"/>
      <c r="Q151" s="2074"/>
      <c r="R151" s="2074"/>
      <c r="S151" s="2074"/>
      <c r="T151" s="2074"/>
      <c r="U151" s="2074"/>
      <c r="V151" s="2074"/>
      <c r="W151" s="2074"/>
      <c r="X151" s="2074"/>
      <c r="Y151" s="2074"/>
      <c r="Z151" s="2074"/>
      <c r="AA151" s="2074"/>
      <c r="AB151" s="2074"/>
      <c r="AC151" s="2074"/>
      <c r="AD151" s="2074"/>
      <c r="AE151" s="2074"/>
      <c r="AF151" s="2074"/>
      <c r="AG151" s="2074"/>
      <c r="AH151" s="2074"/>
      <c r="AI151" s="2074"/>
      <c r="AJ151" s="2074"/>
      <c r="AK151" s="2074"/>
      <c r="AL151" s="2074"/>
      <c r="AM151" s="2074"/>
      <c r="AN151" s="2074"/>
      <c r="AO151" s="2074"/>
      <c r="AP151" s="2074"/>
      <c r="AQ151" s="2074"/>
      <c r="AR151" s="2074"/>
      <c r="AS151" s="2074"/>
      <c r="AT151" s="2074"/>
      <c r="AU151" s="2074"/>
      <c r="AV151" s="2074"/>
      <c r="AW151" s="2074"/>
      <c r="AX151" s="2075"/>
      <c r="AY151" s="970"/>
      <c r="AZ151" s="970"/>
      <c r="BA151" s="970"/>
      <c r="BB151" s="970"/>
      <c r="BC151" s="970"/>
      <c r="BD151" s="970"/>
      <c r="BE151" s="973"/>
    </row>
    <row r="152" spans="1:57" ht="15.75" customHeight="1" thickBot="1">
      <c r="A152" s="970"/>
      <c r="B152" s="2076"/>
      <c r="C152" s="2077"/>
      <c r="D152" s="2077"/>
      <c r="E152" s="2077"/>
      <c r="F152" s="2077"/>
      <c r="G152" s="2077"/>
      <c r="H152" s="2077"/>
      <c r="I152" s="2077"/>
      <c r="J152" s="2077"/>
      <c r="K152" s="2077"/>
      <c r="L152" s="2077"/>
      <c r="M152" s="2077"/>
      <c r="N152" s="2077"/>
      <c r="O152" s="2077"/>
      <c r="P152" s="2077"/>
      <c r="Q152" s="2077"/>
      <c r="R152" s="2077"/>
      <c r="S152" s="2077"/>
      <c r="T152" s="2077"/>
      <c r="U152" s="2077"/>
      <c r="V152" s="2077"/>
      <c r="W152" s="2077"/>
      <c r="X152" s="2077"/>
      <c r="Y152" s="2077"/>
      <c r="Z152" s="2077"/>
      <c r="AA152" s="2077"/>
      <c r="AB152" s="2077"/>
      <c r="AC152" s="2077"/>
      <c r="AD152" s="2077"/>
      <c r="AE152" s="2077"/>
      <c r="AF152" s="2077"/>
      <c r="AG152" s="2077"/>
      <c r="AH152" s="2077"/>
      <c r="AI152" s="2077"/>
      <c r="AJ152" s="2077"/>
      <c r="AK152" s="2077"/>
      <c r="AL152" s="2077"/>
      <c r="AM152" s="2077"/>
      <c r="AN152" s="2077"/>
      <c r="AO152" s="2077"/>
      <c r="AP152" s="2077"/>
      <c r="AQ152" s="2077"/>
      <c r="AR152" s="2077"/>
      <c r="AS152" s="2077"/>
      <c r="AT152" s="2077"/>
      <c r="AU152" s="2077"/>
      <c r="AV152" s="2077"/>
      <c r="AW152" s="2077"/>
      <c r="AX152" s="2078"/>
      <c r="AY152" s="970"/>
      <c r="AZ152" s="970"/>
      <c r="BA152" s="970"/>
      <c r="BB152" s="970"/>
      <c r="BC152" s="970"/>
      <c r="BD152" s="970"/>
      <c r="BE152" s="973"/>
    </row>
    <row r="153" spans="1:57" ht="15.75" customHeight="1" thickBot="1">
      <c r="A153" s="970"/>
      <c r="B153" s="970"/>
      <c r="C153" s="970"/>
      <c r="D153" s="970"/>
      <c r="E153" s="970"/>
      <c r="F153" s="970"/>
      <c r="G153" s="970"/>
      <c r="H153" s="970"/>
      <c r="I153" s="970"/>
      <c r="J153" s="970"/>
      <c r="K153" s="970"/>
      <c r="L153" s="970"/>
      <c r="M153" s="970"/>
      <c r="N153" s="970"/>
      <c r="O153" s="970"/>
      <c r="P153" s="970"/>
      <c r="Q153" s="970"/>
      <c r="R153" s="970"/>
      <c r="S153" s="970"/>
      <c r="T153" s="970"/>
      <c r="U153" s="970"/>
      <c r="V153" s="970"/>
      <c r="W153" s="970"/>
      <c r="X153" s="970"/>
      <c r="Y153" s="970"/>
      <c r="Z153" s="970"/>
      <c r="AA153" s="970"/>
      <c r="AB153" s="970"/>
      <c r="AC153" s="970"/>
      <c r="AD153" s="970"/>
      <c r="AE153" s="970"/>
      <c r="AF153" s="970"/>
      <c r="AG153" s="970"/>
      <c r="AH153" s="970"/>
      <c r="AI153" s="970"/>
      <c r="AJ153" s="970"/>
      <c r="AK153" s="970"/>
      <c r="AL153" s="970"/>
      <c r="AM153" s="970"/>
      <c r="AN153" s="970"/>
      <c r="AO153" s="970"/>
      <c r="AP153" s="970"/>
      <c r="AQ153" s="970"/>
      <c r="AR153" s="970"/>
      <c r="AS153" s="970"/>
      <c r="AT153" s="970"/>
      <c r="AU153" s="970"/>
      <c r="AV153" s="970"/>
      <c r="AW153" s="970"/>
      <c r="AX153" s="970"/>
      <c r="AY153" s="970"/>
      <c r="AZ153" s="970"/>
      <c r="BA153" s="970"/>
      <c r="BB153" s="970"/>
      <c r="BC153" s="970"/>
      <c r="BD153" s="970"/>
      <c r="BE153" s="973"/>
    </row>
    <row r="154" spans="1:57" ht="15.75" customHeight="1" thickBot="1">
      <c r="A154" s="970"/>
      <c r="B154" s="988" t="s">
        <v>2005</v>
      </c>
      <c r="C154" s="989"/>
      <c r="D154" s="989"/>
      <c r="E154" s="989"/>
      <c r="F154" s="989"/>
      <c r="G154" s="989"/>
      <c r="H154" s="989"/>
      <c r="I154" s="989"/>
      <c r="J154" s="989"/>
      <c r="K154" s="989"/>
      <c r="L154" s="989"/>
      <c r="M154" s="990"/>
      <c r="N154" s="974"/>
      <c r="O154" s="974"/>
      <c r="P154" s="970"/>
      <c r="Q154" s="970"/>
      <c r="R154" s="970"/>
      <c r="S154" s="970"/>
      <c r="T154" s="970"/>
      <c r="U154" s="970" t="s">
        <v>254</v>
      </c>
      <c r="V154" s="970"/>
      <c r="W154" s="970"/>
      <c r="X154" s="988" t="s">
        <v>2006</v>
      </c>
      <c r="Y154" s="989"/>
      <c r="Z154" s="989"/>
      <c r="AA154" s="989"/>
      <c r="AB154" s="989"/>
      <c r="AC154" s="989"/>
      <c r="AD154" s="989"/>
      <c r="AE154" s="989"/>
      <c r="AF154" s="989"/>
      <c r="AG154" s="989"/>
      <c r="AH154" s="989"/>
      <c r="AI154" s="989"/>
      <c r="AJ154" s="989"/>
      <c r="AK154" s="983"/>
      <c r="AL154" s="983"/>
      <c r="AM154" s="984"/>
      <c r="AN154" s="970"/>
      <c r="AO154" s="970"/>
      <c r="AP154" s="970"/>
      <c r="AQ154" s="970"/>
      <c r="AR154" s="970"/>
      <c r="AS154" s="970"/>
      <c r="AT154" s="970"/>
      <c r="AU154" s="970"/>
      <c r="AV154" s="970"/>
      <c r="AW154" s="970"/>
      <c r="AX154" s="970"/>
      <c r="AY154" s="970"/>
      <c r="AZ154" s="970"/>
      <c r="BA154" s="970"/>
      <c r="BB154" s="970"/>
      <c r="BC154" s="970"/>
      <c r="BD154" s="970"/>
      <c r="BE154" s="973"/>
    </row>
    <row r="155" spans="1:57" ht="15.75" customHeight="1" thickBot="1">
      <c r="A155" s="970"/>
      <c r="B155" s="970"/>
      <c r="C155" s="970"/>
      <c r="D155" s="970"/>
      <c r="E155" s="970"/>
      <c r="F155" s="970"/>
      <c r="G155" s="970"/>
      <c r="H155" s="970"/>
      <c r="I155" s="970"/>
      <c r="J155" s="970"/>
      <c r="K155" s="970"/>
      <c r="L155" s="970"/>
      <c r="M155" s="970"/>
      <c r="N155" s="970"/>
      <c r="O155" s="970"/>
      <c r="P155" s="974"/>
      <c r="Q155" s="970"/>
      <c r="R155" s="970"/>
      <c r="S155" s="970"/>
      <c r="T155" s="970"/>
      <c r="U155" s="970"/>
      <c r="V155" s="970"/>
      <c r="W155" s="970"/>
      <c r="X155" s="970"/>
      <c r="Y155" s="970"/>
      <c r="Z155" s="970"/>
      <c r="AA155" s="970"/>
      <c r="AB155" s="970"/>
      <c r="AC155" s="970"/>
      <c r="AD155" s="970"/>
      <c r="AE155" s="970"/>
      <c r="AF155" s="970"/>
      <c r="AG155" s="970"/>
      <c r="AH155" s="970"/>
      <c r="AI155" s="970"/>
      <c r="AJ155" s="970"/>
      <c r="AK155" s="970"/>
      <c r="AL155" s="970"/>
      <c r="AM155" s="970"/>
      <c r="AN155" s="970"/>
      <c r="AO155" s="970"/>
      <c r="AP155" s="970"/>
      <c r="AQ155" s="970"/>
      <c r="AR155" s="970"/>
      <c r="AS155" s="970"/>
      <c r="AT155" s="970"/>
      <c r="AU155" s="970"/>
      <c r="AV155" s="970"/>
      <c r="AW155" s="970"/>
      <c r="AX155" s="970"/>
      <c r="AY155" s="970"/>
      <c r="AZ155" s="970"/>
      <c r="BA155" s="970"/>
      <c r="BB155" s="970"/>
      <c r="BC155" s="970"/>
      <c r="BD155" s="970"/>
      <c r="BE155" s="973"/>
    </row>
    <row r="156" spans="1:57" ht="15.75" customHeight="1">
      <c r="A156" s="970"/>
      <c r="B156" s="1936" t="s">
        <v>2007</v>
      </c>
      <c r="C156" s="1937"/>
      <c r="D156" s="1937"/>
      <c r="E156" s="1937"/>
      <c r="F156" s="1937"/>
      <c r="G156" s="1937"/>
      <c r="H156" s="1937"/>
      <c r="I156" s="1937"/>
      <c r="J156" s="1937"/>
      <c r="K156" s="1937"/>
      <c r="L156" s="1937"/>
      <c r="M156" s="1937"/>
      <c r="N156" s="1937"/>
      <c r="O156" s="1937"/>
      <c r="P156" s="1937"/>
      <c r="Q156" s="1937"/>
      <c r="R156" s="1937"/>
      <c r="S156" s="1937"/>
      <c r="T156" s="1937"/>
      <c r="U156" s="1938"/>
      <c r="V156" s="970"/>
      <c r="W156" s="971"/>
      <c r="X156" s="1936" t="s">
        <v>2008</v>
      </c>
      <c r="Y156" s="1937"/>
      <c r="Z156" s="1937"/>
      <c r="AA156" s="1937"/>
      <c r="AB156" s="1937"/>
      <c r="AC156" s="1937"/>
      <c r="AD156" s="1937"/>
      <c r="AE156" s="1937"/>
      <c r="AF156" s="1937"/>
      <c r="AG156" s="1937"/>
      <c r="AH156" s="1937"/>
      <c r="AI156" s="1937"/>
      <c r="AJ156" s="1937"/>
      <c r="AK156" s="1937"/>
      <c r="AL156" s="1937"/>
      <c r="AM156" s="1937"/>
      <c r="AN156" s="1937"/>
      <c r="AO156" s="1937"/>
      <c r="AP156" s="1937"/>
      <c r="AQ156" s="1938"/>
      <c r="AR156" s="970"/>
      <c r="AS156" s="970"/>
      <c r="AT156" s="970"/>
      <c r="AU156" s="970"/>
      <c r="AV156" s="970"/>
      <c r="AW156" s="970"/>
      <c r="AX156" s="970"/>
      <c r="AY156" s="970"/>
      <c r="AZ156" s="970"/>
      <c r="BA156" s="970"/>
      <c r="BB156" s="970"/>
      <c r="BC156" s="970"/>
      <c r="BD156" s="970"/>
      <c r="BE156" s="973"/>
    </row>
    <row r="157" spans="1:57" ht="15.75" customHeight="1">
      <c r="A157" s="970"/>
      <c r="B157" s="2081"/>
      <c r="C157" s="2082"/>
      <c r="D157" s="2082"/>
      <c r="E157" s="2082"/>
      <c r="F157" s="2082"/>
      <c r="G157" s="2082"/>
      <c r="H157" s="2082"/>
      <c r="I157" s="2083" t="s">
        <v>1973</v>
      </c>
      <c r="J157" s="2083"/>
      <c r="K157" s="2083"/>
      <c r="L157" s="2083"/>
      <c r="M157" s="2083"/>
      <c r="N157" s="2083"/>
      <c r="O157" s="2083"/>
      <c r="P157" s="2083" t="s">
        <v>2009</v>
      </c>
      <c r="Q157" s="2083"/>
      <c r="R157" s="2083"/>
      <c r="S157" s="2083"/>
      <c r="T157" s="2083"/>
      <c r="U157" s="2084"/>
      <c r="V157" s="970"/>
      <c r="W157" s="970"/>
      <c r="X157" s="2081"/>
      <c r="Y157" s="2082"/>
      <c r="Z157" s="2082"/>
      <c r="AA157" s="2082"/>
      <c r="AB157" s="2082"/>
      <c r="AC157" s="2082"/>
      <c r="AD157" s="2082"/>
      <c r="AE157" s="2083" t="s">
        <v>1973</v>
      </c>
      <c r="AF157" s="2083"/>
      <c r="AG157" s="2083"/>
      <c r="AH157" s="2083"/>
      <c r="AI157" s="2083"/>
      <c r="AJ157" s="2083"/>
      <c r="AK157" s="2083"/>
      <c r="AL157" s="2083" t="s">
        <v>1974</v>
      </c>
      <c r="AM157" s="2083"/>
      <c r="AN157" s="2083"/>
      <c r="AO157" s="2083"/>
      <c r="AP157" s="2083"/>
      <c r="AQ157" s="2084"/>
      <c r="AR157" s="970"/>
      <c r="AS157" s="970"/>
      <c r="AT157" s="970"/>
      <c r="AU157" s="970"/>
      <c r="AV157" s="970"/>
      <c r="AW157" s="970"/>
      <c r="AX157" s="970"/>
      <c r="AY157" s="970"/>
      <c r="AZ157" s="970"/>
      <c r="BA157" s="970"/>
      <c r="BB157" s="970"/>
      <c r="BC157" s="970"/>
      <c r="BD157" s="970"/>
      <c r="BE157" s="973"/>
    </row>
    <row r="158" spans="1:57" ht="15.75" customHeight="1">
      <c r="A158" s="970"/>
      <c r="B158" s="2081"/>
      <c r="C158" s="2082"/>
      <c r="D158" s="2082"/>
      <c r="E158" s="2082"/>
      <c r="F158" s="2082"/>
      <c r="G158" s="2082"/>
      <c r="H158" s="2082"/>
      <c r="I158" s="2083"/>
      <c r="J158" s="2083"/>
      <c r="K158" s="2083"/>
      <c r="L158" s="2083"/>
      <c r="M158" s="2083"/>
      <c r="N158" s="2083"/>
      <c r="O158" s="2083"/>
      <c r="P158" s="2083"/>
      <c r="Q158" s="2083"/>
      <c r="R158" s="2083"/>
      <c r="S158" s="2083"/>
      <c r="T158" s="2083"/>
      <c r="U158" s="2084"/>
      <c r="V158" s="970"/>
      <c r="W158" s="970"/>
      <c r="X158" s="2081"/>
      <c r="Y158" s="2082"/>
      <c r="Z158" s="2082"/>
      <c r="AA158" s="2082"/>
      <c r="AB158" s="2082"/>
      <c r="AC158" s="2082"/>
      <c r="AD158" s="2082"/>
      <c r="AE158" s="2083"/>
      <c r="AF158" s="2083"/>
      <c r="AG158" s="2083"/>
      <c r="AH158" s="2083"/>
      <c r="AI158" s="2083"/>
      <c r="AJ158" s="2083"/>
      <c r="AK158" s="2083"/>
      <c r="AL158" s="2083"/>
      <c r="AM158" s="2083"/>
      <c r="AN158" s="2083"/>
      <c r="AO158" s="2083"/>
      <c r="AP158" s="2083"/>
      <c r="AQ158" s="2084"/>
      <c r="AR158" s="970"/>
      <c r="AS158" s="970"/>
      <c r="AT158" s="970"/>
      <c r="AU158" s="970"/>
      <c r="AV158" s="970"/>
      <c r="AW158" s="970"/>
      <c r="AX158" s="970"/>
      <c r="AY158" s="970"/>
      <c r="AZ158" s="970"/>
      <c r="BA158" s="970"/>
      <c r="BB158" s="970"/>
      <c r="BC158" s="970"/>
      <c r="BD158" s="970"/>
      <c r="BE158" s="973"/>
    </row>
    <row r="159" spans="1:57" ht="15.75" customHeight="1" thickBot="1">
      <c r="A159" s="970"/>
      <c r="B159" s="2039" t="s">
        <v>1995</v>
      </c>
      <c r="C159" s="2040"/>
      <c r="D159" s="2040"/>
      <c r="E159" s="2040"/>
      <c r="F159" s="2040"/>
      <c r="G159" s="2040"/>
      <c r="H159" s="2040"/>
      <c r="I159" s="2016">
        <v>0</v>
      </c>
      <c r="J159" s="2016"/>
      <c r="K159" s="2016"/>
      <c r="L159" s="2016"/>
      <c r="M159" s="2016"/>
      <c r="N159" s="2016"/>
      <c r="O159" s="2016"/>
      <c r="P159" s="2016">
        <v>0</v>
      </c>
      <c r="Q159" s="2016"/>
      <c r="R159" s="2016"/>
      <c r="S159" s="2016"/>
      <c r="T159" s="2016"/>
      <c r="U159" s="2017"/>
      <c r="V159" s="970"/>
      <c r="W159" s="970"/>
      <c r="X159" s="2041" t="s">
        <v>1995</v>
      </c>
      <c r="Y159" s="2042"/>
      <c r="Z159" s="2042"/>
      <c r="AA159" s="2042"/>
      <c r="AB159" s="2042"/>
      <c r="AC159" s="2042"/>
      <c r="AD159" s="2042"/>
      <c r="AE159" s="2031">
        <v>0</v>
      </c>
      <c r="AF159" s="2031"/>
      <c r="AG159" s="2031"/>
      <c r="AH159" s="2031"/>
      <c r="AI159" s="2031"/>
      <c r="AJ159" s="2031"/>
      <c r="AK159" s="2031"/>
      <c r="AL159" s="2031">
        <v>0</v>
      </c>
      <c r="AM159" s="2031"/>
      <c r="AN159" s="2031"/>
      <c r="AO159" s="2031"/>
      <c r="AP159" s="2031"/>
      <c r="AQ159" s="2032"/>
      <c r="AR159" s="970"/>
      <c r="AS159" s="970"/>
      <c r="AT159" s="970"/>
      <c r="AU159" s="970"/>
      <c r="AV159" s="970"/>
      <c r="AW159" s="970"/>
      <c r="AX159" s="970"/>
      <c r="AY159" s="970"/>
      <c r="AZ159" s="970"/>
      <c r="BA159" s="970"/>
      <c r="BB159" s="970"/>
      <c r="BC159" s="970"/>
      <c r="BD159" s="970"/>
      <c r="BE159" s="973"/>
    </row>
    <row r="160" spans="1:57" ht="15.75" customHeight="1" thickBot="1">
      <c r="A160" s="970"/>
      <c r="B160" s="2041" t="s">
        <v>1996</v>
      </c>
      <c r="C160" s="2042"/>
      <c r="D160" s="2042"/>
      <c r="E160" s="2042"/>
      <c r="F160" s="2042"/>
      <c r="G160" s="2042"/>
      <c r="H160" s="2042"/>
      <c r="I160" s="2031">
        <v>0</v>
      </c>
      <c r="J160" s="2031"/>
      <c r="K160" s="2031"/>
      <c r="L160" s="2031"/>
      <c r="M160" s="2031"/>
      <c r="N160" s="2031"/>
      <c r="O160" s="2031"/>
      <c r="P160" s="2031">
        <v>0</v>
      </c>
      <c r="Q160" s="2031"/>
      <c r="R160" s="2031"/>
      <c r="S160" s="2031"/>
      <c r="T160" s="2031"/>
      <c r="U160" s="2032"/>
      <c r="V160" s="970"/>
      <c r="W160" s="970"/>
      <c r="X160" s="970"/>
      <c r="Y160" s="970"/>
      <c r="Z160" s="970"/>
      <c r="AA160" s="970"/>
      <c r="AB160" s="970"/>
      <c r="AC160" s="970"/>
      <c r="AD160" s="970"/>
      <c r="AE160" s="970"/>
      <c r="AF160" s="970"/>
      <c r="AG160" s="970"/>
      <c r="AH160" s="970"/>
      <c r="AI160" s="970"/>
      <c r="AJ160" s="970"/>
      <c r="AK160" s="970"/>
      <c r="AL160" s="970"/>
      <c r="AM160" s="970"/>
      <c r="AN160" s="970"/>
      <c r="AO160" s="970"/>
      <c r="AP160" s="970"/>
      <c r="AQ160" s="970"/>
      <c r="AR160" s="970"/>
      <c r="AS160" s="970"/>
      <c r="AT160" s="970"/>
      <c r="AU160" s="970"/>
      <c r="AV160" s="970"/>
      <c r="AW160" s="970"/>
      <c r="AX160" s="970"/>
      <c r="AY160" s="970"/>
      <c r="AZ160" s="970"/>
      <c r="BA160" s="970"/>
      <c r="BB160" s="970"/>
      <c r="BC160" s="970"/>
      <c r="BD160" s="970"/>
      <c r="BE160" s="973"/>
    </row>
    <row r="161" spans="1:57" ht="15.75" customHeight="1" thickBot="1">
      <c r="A161" s="970"/>
      <c r="B161" s="970"/>
      <c r="C161" s="970"/>
      <c r="D161" s="970"/>
      <c r="E161" s="970"/>
      <c r="F161" s="970"/>
      <c r="G161" s="970"/>
      <c r="H161" s="970"/>
      <c r="I161" s="970"/>
      <c r="J161" s="970"/>
      <c r="K161" s="970"/>
      <c r="L161" s="970"/>
      <c r="M161" s="970"/>
      <c r="N161" s="970"/>
      <c r="O161" s="970"/>
      <c r="P161" s="970"/>
      <c r="Q161" s="970"/>
      <c r="R161" s="970"/>
      <c r="S161" s="970"/>
      <c r="T161" s="970"/>
      <c r="U161" s="970"/>
      <c r="V161" s="970"/>
      <c r="W161" s="970"/>
      <c r="X161" s="970"/>
      <c r="Y161" s="970"/>
      <c r="Z161" s="970"/>
      <c r="AA161" s="970"/>
      <c r="AB161" s="970"/>
      <c r="AC161" s="970"/>
      <c r="AD161" s="970"/>
      <c r="AE161" s="970"/>
      <c r="AF161" s="970"/>
      <c r="AG161" s="970"/>
      <c r="AH161" s="970"/>
      <c r="AI161" s="970"/>
      <c r="AJ161" s="970"/>
      <c r="AK161" s="970"/>
      <c r="AL161" s="970"/>
      <c r="AM161" s="970"/>
      <c r="AN161" s="970"/>
      <c r="AO161" s="970"/>
      <c r="AP161" s="970"/>
      <c r="AQ161" s="970"/>
      <c r="AR161" s="970"/>
      <c r="AS161" s="970"/>
      <c r="AT161" s="970"/>
      <c r="AU161" s="970"/>
      <c r="AV161" s="970"/>
      <c r="AW161" s="970"/>
      <c r="AX161" s="970"/>
      <c r="AY161" s="970"/>
      <c r="AZ161" s="970"/>
      <c r="BA161" s="970"/>
      <c r="BB161" s="970"/>
      <c r="BC161" s="970"/>
      <c r="BD161" s="970"/>
      <c r="BE161" s="973"/>
    </row>
    <row r="162" spans="1:57" ht="15.75" customHeight="1">
      <c r="A162" s="970"/>
      <c r="B162" s="970"/>
      <c r="C162" s="1936" t="s">
        <v>2010</v>
      </c>
      <c r="D162" s="1937"/>
      <c r="E162" s="1937"/>
      <c r="F162" s="1937"/>
      <c r="G162" s="1937"/>
      <c r="H162" s="1937"/>
      <c r="I162" s="1937"/>
      <c r="J162" s="1937"/>
      <c r="K162" s="1937"/>
      <c r="L162" s="1937"/>
      <c r="M162" s="1937"/>
      <c r="N162" s="1937"/>
      <c r="O162" s="1937"/>
      <c r="P162" s="1937"/>
      <c r="Q162" s="1937"/>
      <c r="R162" s="1937"/>
      <c r="S162" s="1937"/>
      <c r="T162" s="1937"/>
      <c r="U162" s="1937"/>
      <c r="V162" s="1937"/>
      <c r="W162" s="1937"/>
      <c r="X162" s="1937"/>
      <c r="Y162" s="1937"/>
      <c r="Z162" s="1937"/>
      <c r="AA162" s="1937"/>
      <c r="AB162" s="1937"/>
      <c r="AC162" s="1937"/>
      <c r="AD162" s="1937"/>
      <c r="AE162" s="1937"/>
      <c r="AF162" s="1937"/>
      <c r="AG162" s="1938"/>
      <c r="AH162" s="970"/>
      <c r="AI162" s="970"/>
      <c r="AJ162" s="970"/>
      <c r="AK162" s="970"/>
      <c r="AL162" s="970"/>
      <c r="AM162" s="970"/>
      <c r="AN162" s="970"/>
      <c r="AO162" s="970"/>
      <c r="AP162" s="970"/>
      <c r="AQ162" s="970"/>
      <c r="AR162" s="970"/>
      <c r="AS162" s="970"/>
      <c r="AT162" s="970"/>
      <c r="AU162" s="970"/>
      <c r="AV162" s="970"/>
      <c r="AW162" s="970"/>
      <c r="AX162" s="970"/>
      <c r="AY162" s="970"/>
      <c r="AZ162" s="970"/>
      <c r="BA162" s="970"/>
      <c r="BB162" s="970"/>
      <c r="BC162" s="970"/>
      <c r="BD162" s="970"/>
      <c r="BE162" s="973"/>
    </row>
    <row r="163" spans="1:57" ht="15.75" customHeight="1">
      <c r="A163" s="970"/>
      <c r="B163" s="970"/>
      <c r="C163" s="2081" t="s">
        <v>2011</v>
      </c>
      <c r="D163" s="2082"/>
      <c r="E163" s="2082"/>
      <c r="F163" s="2082"/>
      <c r="G163" s="2082"/>
      <c r="H163" s="2082"/>
      <c r="I163" s="2082"/>
      <c r="J163" s="2082"/>
      <c r="K163" s="2082"/>
      <c r="L163" s="2082"/>
      <c r="M163" s="2082"/>
      <c r="N163" s="2082"/>
      <c r="O163" s="2082"/>
      <c r="P163" s="2082"/>
      <c r="Q163" s="2082" t="s">
        <v>2012</v>
      </c>
      <c r="R163" s="2082"/>
      <c r="S163" s="2082"/>
      <c r="T163" s="2027" t="s">
        <v>2013</v>
      </c>
      <c r="U163" s="2027"/>
      <c r="V163" s="2027"/>
      <c r="W163" s="2027"/>
      <c r="X163" s="2027"/>
      <c r="Y163" s="2027"/>
      <c r="Z163" s="2027"/>
      <c r="AA163" s="2027"/>
      <c r="AB163" s="2082" t="s">
        <v>2014</v>
      </c>
      <c r="AC163" s="2082"/>
      <c r="AD163" s="2082"/>
      <c r="AE163" s="2082"/>
      <c r="AF163" s="2082"/>
      <c r="AG163" s="2090"/>
      <c r="AH163" s="970"/>
      <c r="AI163" s="970"/>
      <c r="AJ163" s="970"/>
      <c r="AK163" s="970"/>
      <c r="AL163" s="970"/>
      <c r="AM163" s="970"/>
      <c r="AN163" s="970"/>
      <c r="AO163" s="970"/>
      <c r="AP163" s="970"/>
      <c r="AQ163" s="970"/>
      <c r="AR163" s="970"/>
      <c r="AS163" s="970"/>
      <c r="AT163" s="970"/>
      <c r="AU163" s="970"/>
      <c r="AV163" s="970"/>
      <c r="AW163" s="970"/>
      <c r="AX163" s="970"/>
      <c r="AY163" s="970"/>
      <c r="AZ163" s="970"/>
      <c r="BA163" s="970"/>
      <c r="BB163" s="970"/>
      <c r="BC163" s="970"/>
      <c r="BD163" s="970"/>
      <c r="BE163" s="973"/>
    </row>
    <row r="164" spans="1:57" ht="15.75" customHeight="1">
      <c r="A164" s="970"/>
      <c r="B164" s="970"/>
      <c r="C164" s="2085" t="s">
        <v>2015</v>
      </c>
      <c r="D164" s="2086"/>
      <c r="E164" s="2086"/>
      <c r="F164" s="2086"/>
      <c r="G164" s="2086"/>
      <c r="H164" s="2086"/>
      <c r="I164" s="2086"/>
      <c r="J164" s="2086"/>
      <c r="K164" s="2086"/>
      <c r="L164" s="2086"/>
      <c r="M164" s="2086"/>
      <c r="N164" s="2086"/>
      <c r="O164" s="2086"/>
      <c r="P164" s="2086"/>
      <c r="Q164" s="2087">
        <v>55</v>
      </c>
      <c r="R164" s="2087"/>
      <c r="S164" s="2087"/>
      <c r="T164" s="2088"/>
      <c r="U164" s="2088"/>
      <c r="V164" s="2088"/>
      <c r="W164" s="2088"/>
      <c r="X164" s="2088"/>
      <c r="Y164" s="2088"/>
      <c r="Z164" s="2088"/>
      <c r="AA164" s="2088"/>
      <c r="AB164" s="1005"/>
      <c r="AC164" s="1005"/>
      <c r="AD164" s="1005"/>
      <c r="AE164" s="1005"/>
      <c r="AF164" s="1005"/>
      <c r="AG164" s="1006"/>
      <c r="AH164" s="970"/>
      <c r="AI164" s="970"/>
      <c r="AJ164" s="970"/>
      <c r="AK164" s="970"/>
      <c r="AL164" s="970"/>
      <c r="AM164" s="970"/>
      <c r="AN164" s="970"/>
      <c r="AO164" s="970"/>
      <c r="AP164" s="970" t="s">
        <v>254</v>
      </c>
      <c r="AQ164" s="970"/>
      <c r="AR164" s="970"/>
      <c r="AS164" s="970"/>
      <c r="AT164" s="970"/>
      <c r="AU164" s="970"/>
      <c r="AV164" s="970"/>
      <c r="AW164" s="970"/>
      <c r="AX164" s="970"/>
      <c r="AY164" s="970"/>
      <c r="AZ164" s="970"/>
      <c r="BA164" s="970"/>
      <c r="BB164" s="970"/>
      <c r="BC164" s="970"/>
      <c r="BD164" s="970"/>
      <c r="BE164" s="973"/>
    </row>
    <row r="165" spans="1:57" ht="15.75" customHeight="1">
      <c r="A165" s="970"/>
      <c r="B165" s="970"/>
      <c r="C165" s="2085" t="s">
        <v>2016</v>
      </c>
      <c r="D165" s="2086"/>
      <c r="E165" s="2086"/>
      <c r="F165" s="2086"/>
      <c r="G165" s="2086"/>
      <c r="H165" s="2086"/>
      <c r="I165" s="2086"/>
      <c r="J165" s="2086"/>
      <c r="K165" s="2086"/>
      <c r="L165" s="2086"/>
      <c r="M165" s="2086"/>
      <c r="N165" s="2086"/>
      <c r="O165" s="2086"/>
      <c r="P165" s="2086"/>
      <c r="Q165" s="2087">
        <v>55</v>
      </c>
      <c r="R165" s="2087"/>
      <c r="S165" s="2087"/>
      <c r="T165" s="2089"/>
      <c r="U165" s="2089"/>
      <c r="V165" s="2089"/>
      <c r="W165" s="2089"/>
      <c r="X165" s="2089"/>
      <c r="Y165" s="2089"/>
      <c r="Z165" s="2089"/>
      <c r="AA165" s="2089"/>
      <c r="AB165" s="1005"/>
      <c r="AC165" s="1005"/>
      <c r="AD165" s="1005"/>
      <c r="AE165" s="1005"/>
      <c r="AF165" s="1005"/>
      <c r="AG165" s="1006"/>
      <c r="AH165" s="970"/>
      <c r="AI165" s="970"/>
      <c r="AJ165" s="970"/>
      <c r="AK165" s="970"/>
      <c r="AL165" s="970"/>
      <c r="AM165" s="970"/>
      <c r="AN165" s="970"/>
      <c r="AO165" s="970"/>
      <c r="AP165" s="970"/>
      <c r="AQ165" s="970"/>
      <c r="AR165" s="970"/>
      <c r="AS165" s="970"/>
      <c r="AT165" s="970"/>
      <c r="AU165" s="970"/>
      <c r="AV165" s="970"/>
      <c r="AW165" s="970"/>
      <c r="AX165" s="970"/>
      <c r="AY165" s="970"/>
      <c r="AZ165" s="970"/>
      <c r="BA165" s="970"/>
      <c r="BB165" s="970"/>
      <c r="BC165" s="970"/>
      <c r="BD165" s="970"/>
      <c r="BE165" s="973"/>
    </row>
    <row r="166" spans="1:57" ht="15.75" customHeight="1">
      <c r="A166" s="970"/>
      <c r="B166" s="970"/>
      <c r="C166" s="2085" t="s">
        <v>2017</v>
      </c>
      <c r="D166" s="2086"/>
      <c r="E166" s="2086"/>
      <c r="F166" s="2086"/>
      <c r="G166" s="2086"/>
      <c r="H166" s="2086"/>
      <c r="I166" s="2086"/>
      <c r="J166" s="2086"/>
      <c r="K166" s="2086"/>
      <c r="L166" s="2086"/>
      <c r="M166" s="2086"/>
      <c r="N166" s="2086"/>
      <c r="O166" s="2086"/>
      <c r="P166" s="2086"/>
      <c r="Q166" s="2087">
        <v>55</v>
      </c>
      <c r="R166" s="2087"/>
      <c r="S166" s="2087"/>
      <c r="T166" s="2088"/>
      <c r="U166" s="2088"/>
      <c r="V166" s="2088"/>
      <c r="W166" s="2088"/>
      <c r="X166" s="2088"/>
      <c r="Y166" s="2088"/>
      <c r="Z166" s="2088"/>
      <c r="AA166" s="2088"/>
      <c r="AB166" s="1005"/>
      <c r="AC166" s="1005"/>
      <c r="AD166" s="1005"/>
      <c r="AE166" s="1005"/>
      <c r="AF166" s="1005"/>
      <c r="AG166" s="1006"/>
      <c r="AH166" s="970"/>
      <c r="AI166" s="970"/>
      <c r="AJ166" s="970"/>
      <c r="AK166" s="970"/>
      <c r="AL166" s="970"/>
      <c r="AM166" s="970"/>
      <c r="AN166" s="970"/>
      <c r="AO166" s="970"/>
      <c r="AP166" s="970"/>
      <c r="AQ166" s="970"/>
      <c r="AR166" s="970"/>
      <c r="AS166" s="970"/>
      <c r="AT166" s="970"/>
      <c r="AU166" s="970"/>
      <c r="AV166" s="970"/>
      <c r="AW166" s="970"/>
      <c r="AX166" s="970"/>
      <c r="AY166" s="970"/>
      <c r="AZ166" s="970"/>
      <c r="BA166" s="970"/>
      <c r="BB166" s="970"/>
      <c r="BC166" s="970"/>
      <c r="BD166" s="970"/>
      <c r="BE166" s="973"/>
    </row>
    <row r="167" spans="1:57" ht="15.75" customHeight="1">
      <c r="A167" s="970"/>
      <c r="B167" s="970"/>
      <c r="C167" s="2085" t="s">
        <v>1937</v>
      </c>
      <c r="D167" s="2086"/>
      <c r="E167" s="2086"/>
      <c r="F167" s="2086"/>
      <c r="G167" s="2086"/>
      <c r="H167" s="2086"/>
      <c r="I167" s="2086"/>
      <c r="J167" s="2086"/>
      <c r="K167" s="2086"/>
      <c r="L167" s="2086"/>
      <c r="M167" s="2086"/>
      <c r="N167" s="2086"/>
      <c r="O167" s="2086"/>
      <c r="P167" s="2086"/>
      <c r="Q167" s="2087">
        <v>55</v>
      </c>
      <c r="R167" s="2087"/>
      <c r="S167" s="2087"/>
      <c r="T167" s="2088"/>
      <c r="U167" s="2088"/>
      <c r="V167" s="2088"/>
      <c r="W167" s="2088"/>
      <c r="X167" s="2088"/>
      <c r="Y167" s="2088"/>
      <c r="Z167" s="2088"/>
      <c r="AA167" s="2088"/>
      <c r="AB167" s="2091">
        <v>0</v>
      </c>
      <c r="AC167" s="2091"/>
      <c r="AD167" s="2091"/>
      <c r="AE167" s="2091"/>
      <c r="AF167" s="2091"/>
      <c r="AG167" s="2092"/>
      <c r="AH167" s="970"/>
      <c r="AI167" s="970"/>
      <c r="AJ167" s="970"/>
      <c r="AK167" s="970"/>
      <c r="AL167" s="970"/>
      <c r="AM167" s="970"/>
      <c r="AN167" s="970"/>
      <c r="AO167" s="970"/>
      <c r="AP167" s="970"/>
      <c r="AQ167" s="970"/>
      <c r="AR167" s="970"/>
      <c r="AS167" s="970"/>
      <c r="AT167" s="970"/>
      <c r="AU167" s="970"/>
      <c r="AV167" s="970"/>
      <c r="AW167" s="970"/>
      <c r="AX167" s="970"/>
      <c r="AY167" s="970"/>
      <c r="AZ167" s="970"/>
      <c r="BA167" s="970"/>
      <c r="BB167" s="970"/>
      <c r="BC167" s="970"/>
      <c r="BD167" s="970"/>
      <c r="BE167" s="973"/>
    </row>
    <row r="168" spans="1:57" ht="15.75" customHeight="1">
      <c r="A168" s="970"/>
      <c r="B168" s="970"/>
      <c r="C168" s="2085" t="s">
        <v>233</v>
      </c>
      <c r="D168" s="2086"/>
      <c r="E168" s="2086"/>
      <c r="F168" s="2093" t="s">
        <v>2018</v>
      </c>
      <c r="G168" s="2093"/>
      <c r="H168" s="2093"/>
      <c r="I168" s="2093"/>
      <c r="J168" s="2093"/>
      <c r="K168" s="2093"/>
      <c r="L168" s="2093"/>
      <c r="M168" s="2093"/>
      <c r="N168" s="2093"/>
      <c r="O168" s="2093"/>
      <c r="P168" s="2093"/>
      <c r="Q168" s="2087">
        <v>55</v>
      </c>
      <c r="R168" s="2087"/>
      <c r="S168" s="2087"/>
      <c r="T168" s="2089"/>
      <c r="U168" s="2089"/>
      <c r="V168" s="2089"/>
      <c r="W168" s="2089"/>
      <c r="X168" s="2089"/>
      <c r="Y168" s="2089"/>
      <c r="Z168" s="2089"/>
      <c r="AA168" s="2089"/>
      <c r="AB168" s="2091">
        <v>0</v>
      </c>
      <c r="AC168" s="2091"/>
      <c r="AD168" s="2091"/>
      <c r="AE168" s="2091"/>
      <c r="AF168" s="2091"/>
      <c r="AG168" s="2092"/>
      <c r="AH168" s="970"/>
      <c r="AI168" s="970"/>
      <c r="AJ168" s="970"/>
      <c r="AK168" s="970"/>
      <c r="AL168" s="970"/>
      <c r="AM168" s="970"/>
      <c r="AN168" s="970"/>
      <c r="AO168" s="970"/>
      <c r="AP168" s="970"/>
      <c r="AQ168" s="970"/>
      <c r="AR168" s="970"/>
      <c r="AS168" s="970"/>
      <c r="AT168" s="970"/>
      <c r="AU168" s="970"/>
      <c r="AV168" s="970"/>
      <c r="AW168" s="970"/>
      <c r="AX168" s="970"/>
      <c r="AY168" s="970"/>
      <c r="AZ168" s="970"/>
      <c r="BA168" s="970"/>
      <c r="BB168" s="970"/>
      <c r="BC168" s="970"/>
      <c r="BD168" s="970"/>
      <c r="BE168" s="973"/>
    </row>
    <row r="169" spans="1:57" ht="15.75" customHeight="1">
      <c r="A169" s="970"/>
      <c r="B169" s="970"/>
      <c r="C169" s="2085" t="s">
        <v>233</v>
      </c>
      <c r="D169" s="2086"/>
      <c r="E169" s="2086"/>
      <c r="F169" s="2093" t="s">
        <v>2018</v>
      </c>
      <c r="G169" s="2093"/>
      <c r="H169" s="2093"/>
      <c r="I169" s="2093"/>
      <c r="J169" s="2093"/>
      <c r="K169" s="2093"/>
      <c r="L169" s="2093"/>
      <c r="M169" s="2093"/>
      <c r="N169" s="2093"/>
      <c r="O169" s="2093"/>
      <c r="P169" s="2093"/>
      <c r="Q169" s="2087">
        <v>55</v>
      </c>
      <c r="R169" s="2087"/>
      <c r="S169" s="2087"/>
      <c r="T169" s="2089"/>
      <c r="U169" s="2089"/>
      <c r="V169" s="2089"/>
      <c r="W169" s="2089"/>
      <c r="X169" s="2089"/>
      <c r="Y169" s="2089"/>
      <c r="Z169" s="2089"/>
      <c r="AA169" s="2089"/>
      <c r="AB169" s="2091">
        <v>0</v>
      </c>
      <c r="AC169" s="2091"/>
      <c r="AD169" s="2091"/>
      <c r="AE169" s="2091"/>
      <c r="AF169" s="2091"/>
      <c r="AG169" s="2092"/>
      <c r="AH169" s="970"/>
      <c r="AI169" s="970"/>
      <c r="AJ169" s="970"/>
      <c r="AK169" s="970" t="s">
        <v>254</v>
      </c>
      <c r="AL169" s="970"/>
      <c r="AM169" s="970"/>
      <c r="AN169" s="970"/>
      <c r="AO169" s="970"/>
      <c r="AP169" s="970"/>
      <c r="AQ169" s="970"/>
      <c r="AR169" s="970"/>
      <c r="AS169" s="970"/>
      <c r="AT169" s="970"/>
      <c r="AU169" s="970"/>
      <c r="AV169" s="970"/>
      <c r="AW169" s="970"/>
      <c r="AX169" s="970"/>
      <c r="AY169" s="970"/>
      <c r="AZ169" s="970"/>
      <c r="BA169" s="970"/>
      <c r="BB169" s="970"/>
      <c r="BC169" s="970"/>
      <c r="BD169" s="970"/>
      <c r="BE169" s="973"/>
    </row>
    <row r="170" spans="1:57" ht="15.75" customHeight="1" thickBot="1">
      <c r="A170" s="970"/>
      <c r="B170" s="970"/>
      <c r="C170" s="2094" t="s">
        <v>233</v>
      </c>
      <c r="D170" s="2095"/>
      <c r="E170" s="2095"/>
      <c r="F170" s="2096" t="s">
        <v>2018</v>
      </c>
      <c r="G170" s="2096"/>
      <c r="H170" s="2096"/>
      <c r="I170" s="2096"/>
      <c r="J170" s="2096"/>
      <c r="K170" s="2096"/>
      <c r="L170" s="2096"/>
      <c r="M170" s="2096"/>
      <c r="N170" s="2096"/>
      <c r="O170" s="2096"/>
      <c r="P170" s="2096"/>
      <c r="Q170" s="2097">
        <v>55</v>
      </c>
      <c r="R170" s="2097"/>
      <c r="S170" s="2097"/>
      <c r="T170" s="2098"/>
      <c r="U170" s="2098"/>
      <c r="V170" s="2098"/>
      <c r="W170" s="2098"/>
      <c r="X170" s="2098"/>
      <c r="Y170" s="2098"/>
      <c r="Z170" s="2098"/>
      <c r="AA170" s="2098"/>
      <c r="AB170" s="2099">
        <v>0</v>
      </c>
      <c r="AC170" s="2099"/>
      <c r="AD170" s="2099"/>
      <c r="AE170" s="2099"/>
      <c r="AF170" s="2099"/>
      <c r="AG170" s="2100"/>
      <c r="AH170" s="970"/>
      <c r="AI170" s="970"/>
      <c r="AJ170" s="970"/>
      <c r="AK170" s="970"/>
      <c r="AL170" s="970"/>
      <c r="AM170" s="970"/>
      <c r="AN170" s="970"/>
      <c r="AO170" s="970"/>
      <c r="AP170" s="970"/>
      <c r="AQ170" s="970"/>
      <c r="AR170" s="970"/>
      <c r="AS170" s="970"/>
      <c r="AT170" s="970"/>
      <c r="AU170" s="970"/>
      <c r="AV170" s="970"/>
      <c r="AW170" s="970"/>
      <c r="AX170" s="970"/>
      <c r="AY170" s="970"/>
      <c r="AZ170" s="970"/>
      <c r="BA170" s="970"/>
      <c r="BB170" s="970"/>
      <c r="BC170" s="970"/>
      <c r="BD170" s="970"/>
      <c r="BE170" s="973"/>
    </row>
    <row r="171" spans="1:57" ht="15.75" customHeight="1" thickBot="1">
      <c r="A171" s="970"/>
      <c r="B171" s="970"/>
      <c r="C171" s="970"/>
      <c r="D171" s="970"/>
      <c r="E171" s="970"/>
      <c r="F171" s="970"/>
      <c r="G171" s="970"/>
      <c r="H171" s="970"/>
      <c r="I171" s="970"/>
      <c r="J171" s="970"/>
      <c r="K171" s="970"/>
      <c r="L171" s="970"/>
      <c r="M171" s="970"/>
      <c r="N171" s="970"/>
      <c r="O171" s="970"/>
      <c r="P171" s="970"/>
      <c r="Q171" s="970"/>
      <c r="R171" s="970"/>
      <c r="S171" s="970"/>
      <c r="T171" s="970"/>
      <c r="U171" s="970"/>
      <c r="V171" s="970"/>
      <c r="W171" s="970"/>
      <c r="X171" s="970"/>
      <c r="Y171" s="970"/>
      <c r="Z171" s="970"/>
      <c r="AA171" s="970"/>
      <c r="AB171" s="970"/>
      <c r="AC171" s="970"/>
      <c r="AD171" s="970"/>
      <c r="AE171" s="970"/>
      <c r="AF171" s="970"/>
      <c r="AG171" s="970"/>
      <c r="AH171" s="970"/>
      <c r="AI171" s="970"/>
      <c r="AJ171" s="970"/>
      <c r="AK171" s="970"/>
      <c r="AL171" s="970"/>
      <c r="AM171" s="970"/>
      <c r="AN171" s="970"/>
      <c r="AO171" s="970"/>
      <c r="AP171" s="970"/>
      <c r="AQ171" s="970"/>
      <c r="AR171" s="970"/>
      <c r="AS171" s="970"/>
      <c r="AT171" s="970"/>
      <c r="AU171" s="970"/>
      <c r="AV171" s="970"/>
      <c r="AW171" s="970"/>
      <c r="AX171" s="970"/>
      <c r="AY171" s="970"/>
      <c r="AZ171" s="970"/>
      <c r="BA171" s="970"/>
      <c r="BB171" s="970"/>
      <c r="BC171" s="970"/>
      <c r="BD171" s="970"/>
      <c r="BE171" s="973"/>
    </row>
    <row r="172" spans="1:57" ht="15.75" customHeight="1">
      <c r="A172" s="970"/>
      <c r="B172" s="970"/>
      <c r="C172" s="1985" t="s">
        <v>2019</v>
      </c>
      <c r="D172" s="1986"/>
      <c r="E172" s="1986"/>
      <c r="F172" s="1986"/>
      <c r="G172" s="1986"/>
      <c r="H172" s="1986"/>
      <c r="I172" s="1986"/>
      <c r="J172" s="1986"/>
      <c r="K172" s="1986"/>
      <c r="L172" s="1986"/>
      <c r="M172" s="1986"/>
      <c r="N172" s="2036"/>
      <c r="O172" s="970"/>
      <c r="P172" s="2101" t="s">
        <v>2020</v>
      </c>
      <c r="Q172" s="2102"/>
      <c r="R172" s="2102"/>
      <c r="S172" s="2102"/>
      <c r="T172" s="2102"/>
      <c r="U172" s="2102"/>
      <c r="V172" s="2102"/>
      <c r="W172" s="2102"/>
      <c r="X172" s="2102"/>
      <c r="Y172" s="2102"/>
      <c r="Z172" s="2102"/>
      <c r="AA172" s="2102"/>
      <c r="AB172" s="2102"/>
      <c r="AC172" s="2102"/>
      <c r="AD172" s="2102"/>
      <c r="AE172" s="2102"/>
      <c r="AF172" s="2102"/>
      <c r="AG172" s="2102"/>
      <c r="AH172" s="2102"/>
      <c r="AI172" s="2102"/>
      <c r="AJ172" s="2102"/>
      <c r="AK172" s="2102"/>
      <c r="AL172" s="2102"/>
      <c r="AM172" s="2102"/>
      <c r="AN172" s="2102"/>
      <c r="AO172" s="2103"/>
      <c r="AP172" s="970"/>
      <c r="AQ172" s="970"/>
      <c r="AR172" s="970"/>
      <c r="AS172" s="970"/>
      <c r="AT172" s="970"/>
      <c r="AU172" s="970"/>
      <c r="AV172" s="970"/>
      <c r="AW172" s="970"/>
      <c r="AX172" s="970"/>
      <c r="AY172" s="970"/>
      <c r="AZ172" s="970"/>
      <c r="BA172" s="970"/>
      <c r="BB172" s="970"/>
      <c r="BC172" s="970"/>
      <c r="BD172" s="970"/>
      <c r="BE172" s="973"/>
    </row>
    <row r="173" spans="1:57" ht="15.75" customHeight="1">
      <c r="A173" s="970"/>
      <c r="B173" s="970"/>
      <c r="C173" s="2081" t="s">
        <v>2021</v>
      </c>
      <c r="D173" s="2082"/>
      <c r="E173" s="2082"/>
      <c r="F173" s="2082"/>
      <c r="G173" s="2082"/>
      <c r="H173" s="2082"/>
      <c r="I173" s="2082" t="s">
        <v>2022</v>
      </c>
      <c r="J173" s="2082"/>
      <c r="K173" s="2082"/>
      <c r="L173" s="2082"/>
      <c r="M173" s="2082"/>
      <c r="N173" s="2090"/>
      <c r="O173" s="970"/>
      <c r="P173" s="2005" t="s">
        <v>1964</v>
      </c>
      <c r="Q173" s="2006"/>
      <c r="R173" s="2006"/>
      <c r="S173" s="2006"/>
      <c r="T173" s="2006"/>
      <c r="U173" s="2006"/>
      <c r="V173" s="2006"/>
      <c r="W173" s="2006"/>
      <c r="X173" s="2006"/>
      <c r="Y173" s="2006"/>
      <c r="Z173" s="2006"/>
      <c r="AA173" s="2006"/>
      <c r="AB173" s="2006"/>
      <c r="AC173" s="2006"/>
      <c r="AD173" s="2006"/>
      <c r="AE173" s="2006"/>
      <c r="AF173" s="2006"/>
      <c r="AG173" s="2006"/>
      <c r="AH173" s="2006"/>
      <c r="AI173" s="2006"/>
      <c r="AJ173" s="2006"/>
      <c r="AK173" s="2006"/>
      <c r="AL173" s="2006"/>
      <c r="AM173" s="2006"/>
      <c r="AN173" s="2006"/>
      <c r="AO173" s="2007"/>
      <c r="AP173" s="970"/>
      <c r="AQ173" s="970"/>
      <c r="AR173" s="970"/>
      <c r="AS173" s="970"/>
      <c r="AT173" s="970"/>
      <c r="AU173" s="970"/>
      <c r="AV173" s="970"/>
      <c r="AW173" s="970"/>
      <c r="AX173" s="970"/>
      <c r="AY173" s="970"/>
      <c r="AZ173" s="970"/>
      <c r="BA173" s="970"/>
      <c r="BB173" s="970"/>
      <c r="BC173" s="970"/>
      <c r="BD173" s="970"/>
      <c r="BE173" s="973"/>
    </row>
    <row r="174" spans="1:57" ht="15.75" customHeight="1">
      <c r="A174" s="970"/>
      <c r="B174" s="970"/>
      <c r="C174" s="2011"/>
      <c r="D174" s="1943"/>
      <c r="E174" s="1943"/>
      <c r="F174" s="1943"/>
      <c r="G174" s="1943"/>
      <c r="H174" s="1943"/>
      <c r="I174" s="2088"/>
      <c r="J174" s="2088"/>
      <c r="K174" s="2088"/>
      <c r="L174" s="2088"/>
      <c r="M174" s="2088"/>
      <c r="N174" s="2104"/>
      <c r="O174" s="970"/>
      <c r="P174" s="2005"/>
      <c r="Q174" s="2006"/>
      <c r="R174" s="2006"/>
      <c r="S174" s="2006"/>
      <c r="T174" s="2006"/>
      <c r="U174" s="2006"/>
      <c r="V174" s="2006"/>
      <c r="W174" s="2006"/>
      <c r="X174" s="2006"/>
      <c r="Y174" s="2006"/>
      <c r="Z174" s="2006"/>
      <c r="AA174" s="2006"/>
      <c r="AB174" s="2006"/>
      <c r="AC174" s="2006"/>
      <c r="AD174" s="2006"/>
      <c r="AE174" s="2006"/>
      <c r="AF174" s="2006"/>
      <c r="AG174" s="2006"/>
      <c r="AH174" s="2006"/>
      <c r="AI174" s="2006"/>
      <c r="AJ174" s="2006"/>
      <c r="AK174" s="2006"/>
      <c r="AL174" s="2006"/>
      <c r="AM174" s="2006"/>
      <c r="AN174" s="2006"/>
      <c r="AO174" s="2007"/>
      <c r="AP174" s="970"/>
      <c r="AQ174" s="970"/>
      <c r="AR174" s="970"/>
      <c r="AS174" s="970"/>
      <c r="AT174" s="970"/>
      <c r="AU174" s="970"/>
      <c r="AV174" s="970"/>
      <c r="AW174" s="970"/>
      <c r="AX174" s="970"/>
      <c r="AY174" s="970"/>
      <c r="AZ174" s="970"/>
      <c r="BA174" s="970"/>
      <c r="BB174" s="970"/>
      <c r="BC174" s="970"/>
      <c r="BD174" s="970"/>
      <c r="BE174" s="973"/>
    </row>
    <row r="175" spans="1:57" ht="15.75" customHeight="1">
      <c r="A175" s="970"/>
      <c r="B175" s="970"/>
      <c r="C175" s="2011"/>
      <c r="D175" s="1943"/>
      <c r="E175" s="1943"/>
      <c r="F175" s="1943"/>
      <c r="G175" s="1943"/>
      <c r="H175" s="1943"/>
      <c r="I175" s="2088"/>
      <c r="J175" s="2088"/>
      <c r="K175" s="2088"/>
      <c r="L175" s="2088"/>
      <c r="M175" s="2088"/>
      <c r="N175" s="2104"/>
      <c r="O175" s="970"/>
      <c r="P175" s="2005"/>
      <c r="Q175" s="2006"/>
      <c r="R175" s="2006"/>
      <c r="S175" s="2006"/>
      <c r="T175" s="2006"/>
      <c r="U175" s="2006"/>
      <c r="V175" s="2006"/>
      <c r="W175" s="2006"/>
      <c r="X175" s="2006"/>
      <c r="Y175" s="2006"/>
      <c r="Z175" s="2006"/>
      <c r="AA175" s="2006"/>
      <c r="AB175" s="2006"/>
      <c r="AC175" s="2006"/>
      <c r="AD175" s="2006"/>
      <c r="AE175" s="2006"/>
      <c r="AF175" s="2006"/>
      <c r="AG175" s="2006"/>
      <c r="AH175" s="2006"/>
      <c r="AI175" s="2006"/>
      <c r="AJ175" s="2006"/>
      <c r="AK175" s="2006"/>
      <c r="AL175" s="2006"/>
      <c r="AM175" s="2006"/>
      <c r="AN175" s="2006"/>
      <c r="AO175" s="2007"/>
      <c r="AP175" s="970"/>
      <c r="AQ175" s="970"/>
      <c r="AR175" s="970"/>
      <c r="AS175" s="970"/>
      <c r="AT175" s="970"/>
      <c r="AU175" s="970"/>
      <c r="AV175" s="970"/>
      <c r="AW175" s="970"/>
      <c r="AX175" s="970"/>
      <c r="AY175" s="970"/>
      <c r="AZ175" s="970"/>
      <c r="BA175" s="970"/>
      <c r="BB175" s="970"/>
      <c r="BC175" s="970"/>
      <c r="BD175" s="970"/>
      <c r="BE175" s="973"/>
    </row>
    <row r="176" spans="1:57" ht="15.75" customHeight="1">
      <c r="A176" s="970"/>
      <c r="B176" s="970"/>
      <c r="C176" s="2011"/>
      <c r="D176" s="1943"/>
      <c r="E176" s="1943"/>
      <c r="F176" s="1943"/>
      <c r="G176" s="1943"/>
      <c r="H176" s="1943"/>
      <c r="I176" s="2088"/>
      <c r="J176" s="2088"/>
      <c r="K176" s="2088"/>
      <c r="L176" s="2088"/>
      <c r="M176" s="2088"/>
      <c r="N176" s="2104"/>
      <c r="O176" s="970"/>
      <c r="P176" s="2005"/>
      <c r="Q176" s="2006"/>
      <c r="R176" s="2006"/>
      <c r="S176" s="2006"/>
      <c r="T176" s="2006"/>
      <c r="U176" s="2006"/>
      <c r="V176" s="2006"/>
      <c r="W176" s="2006"/>
      <c r="X176" s="2006"/>
      <c r="Y176" s="2006"/>
      <c r="Z176" s="2006"/>
      <c r="AA176" s="2006"/>
      <c r="AB176" s="2006"/>
      <c r="AC176" s="2006"/>
      <c r="AD176" s="2006"/>
      <c r="AE176" s="2006"/>
      <c r="AF176" s="2006"/>
      <c r="AG176" s="2006"/>
      <c r="AH176" s="2006"/>
      <c r="AI176" s="2006"/>
      <c r="AJ176" s="2006"/>
      <c r="AK176" s="2006"/>
      <c r="AL176" s="2006"/>
      <c r="AM176" s="2006"/>
      <c r="AN176" s="2006"/>
      <c r="AO176" s="2007"/>
      <c r="AP176" s="970"/>
      <c r="AQ176" s="970"/>
      <c r="AR176" s="970"/>
      <c r="AS176" s="970"/>
      <c r="AT176" s="970"/>
      <c r="AU176" s="970"/>
      <c r="AV176" s="970"/>
      <c r="AW176" s="970"/>
      <c r="AX176" s="970"/>
      <c r="AY176" s="970"/>
      <c r="AZ176" s="970"/>
      <c r="BA176" s="970"/>
      <c r="BB176" s="970"/>
      <c r="BC176" s="970"/>
      <c r="BD176" s="970"/>
      <c r="BE176" s="973"/>
    </row>
    <row r="177" spans="1:57" ht="15.75" customHeight="1">
      <c r="A177" s="970"/>
      <c r="B177" s="970"/>
      <c r="C177" s="2011"/>
      <c r="D177" s="1943"/>
      <c r="E177" s="1943"/>
      <c r="F177" s="1943"/>
      <c r="G177" s="1943"/>
      <c r="H177" s="1943"/>
      <c r="I177" s="2088"/>
      <c r="J177" s="2088"/>
      <c r="K177" s="2088"/>
      <c r="L177" s="2088"/>
      <c r="M177" s="2088"/>
      <c r="N177" s="2104"/>
      <c r="O177" s="970"/>
      <c r="P177" s="2005"/>
      <c r="Q177" s="2006"/>
      <c r="R177" s="2006"/>
      <c r="S177" s="2006"/>
      <c r="T177" s="2006"/>
      <c r="U177" s="2006"/>
      <c r="V177" s="2006"/>
      <c r="W177" s="2006"/>
      <c r="X177" s="2006"/>
      <c r="Y177" s="2006"/>
      <c r="Z177" s="2006"/>
      <c r="AA177" s="2006"/>
      <c r="AB177" s="2006"/>
      <c r="AC177" s="2006"/>
      <c r="AD177" s="2006"/>
      <c r="AE177" s="2006"/>
      <c r="AF177" s="2006"/>
      <c r="AG177" s="2006"/>
      <c r="AH177" s="2006"/>
      <c r="AI177" s="2006"/>
      <c r="AJ177" s="2006"/>
      <c r="AK177" s="2006"/>
      <c r="AL177" s="2006"/>
      <c r="AM177" s="2006"/>
      <c r="AN177" s="2006"/>
      <c r="AO177" s="2007"/>
      <c r="AP177" s="970"/>
      <c r="AQ177" s="970"/>
      <c r="AR177" s="970"/>
      <c r="AS177" s="970"/>
      <c r="AT177" s="970"/>
      <c r="AU177" s="970"/>
      <c r="AV177" s="970"/>
      <c r="AW177" s="970"/>
      <c r="AX177" s="970"/>
      <c r="AY177" s="970"/>
      <c r="AZ177" s="970"/>
      <c r="BA177" s="970"/>
      <c r="BB177" s="970"/>
      <c r="BC177" s="970"/>
      <c r="BD177" s="970"/>
      <c r="BE177" s="973"/>
    </row>
    <row r="178" spans="1:57" ht="15.75" customHeight="1">
      <c r="A178" s="970"/>
      <c r="B178" s="970"/>
      <c r="C178" s="2011"/>
      <c r="D178" s="1943"/>
      <c r="E178" s="1943"/>
      <c r="F178" s="1943"/>
      <c r="G178" s="1943"/>
      <c r="H178" s="1943"/>
      <c r="I178" s="2088"/>
      <c r="J178" s="2088"/>
      <c r="K178" s="2088"/>
      <c r="L178" s="2088"/>
      <c r="M178" s="2088"/>
      <c r="N178" s="2104"/>
      <c r="O178" s="970"/>
      <c r="P178" s="2005"/>
      <c r="Q178" s="2006"/>
      <c r="R178" s="2006"/>
      <c r="S178" s="2006"/>
      <c r="T178" s="2006"/>
      <c r="U178" s="2006"/>
      <c r="V178" s="2006"/>
      <c r="W178" s="2006"/>
      <c r="X178" s="2006"/>
      <c r="Y178" s="2006"/>
      <c r="Z178" s="2006"/>
      <c r="AA178" s="2006"/>
      <c r="AB178" s="2006"/>
      <c r="AC178" s="2006"/>
      <c r="AD178" s="2006"/>
      <c r="AE178" s="2006"/>
      <c r="AF178" s="2006"/>
      <c r="AG178" s="2006"/>
      <c r="AH178" s="2006"/>
      <c r="AI178" s="2006"/>
      <c r="AJ178" s="2006"/>
      <c r="AK178" s="2006"/>
      <c r="AL178" s="2006"/>
      <c r="AM178" s="2006"/>
      <c r="AN178" s="2006"/>
      <c r="AO178" s="2007"/>
      <c r="AP178" s="970"/>
      <c r="AQ178" s="970"/>
      <c r="AR178" s="970"/>
      <c r="AS178" s="970"/>
      <c r="AT178" s="970"/>
      <c r="AU178" s="970"/>
      <c r="AV178" s="970"/>
      <c r="AW178" s="970"/>
      <c r="AX178" s="970"/>
      <c r="AY178" s="970"/>
      <c r="AZ178" s="970"/>
      <c r="BA178" s="970"/>
      <c r="BB178" s="970"/>
      <c r="BC178" s="970"/>
      <c r="BD178" s="970"/>
      <c r="BE178" s="973"/>
    </row>
    <row r="179" spans="1:57" ht="15.75" customHeight="1">
      <c r="A179" s="970"/>
      <c r="B179" s="970"/>
      <c r="C179" s="2011"/>
      <c r="D179" s="1943"/>
      <c r="E179" s="1943"/>
      <c r="F179" s="1943"/>
      <c r="G179" s="1943"/>
      <c r="H179" s="1943"/>
      <c r="I179" s="2088"/>
      <c r="J179" s="2088"/>
      <c r="K179" s="2088"/>
      <c r="L179" s="2088"/>
      <c r="M179" s="2088"/>
      <c r="N179" s="2104"/>
      <c r="O179" s="970"/>
      <c r="P179" s="2005"/>
      <c r="Q179" s="2006"/>
      <c r="R179" s="2006"/>
      <c r="S179" s="2006"/>
      <c r="T179" s="2006"/>
      <c r="U179" s="2006"/>
      <c r="V179" s="2006"/>
      <c r="W179" s="2006"/>
      <c r="X179" s="2006"/>
      <c r="Y179" s="2006"/>
      <c r="Z179" s="2006"/>
      <c r="AA179" s="2006"/>
      <c r="AB179" s="2006"/>
      <c r="AC179" s="2006"/>
      <c r="AD179" s="2006"/>
      <c r="AE179" s="2006"/>
      <c r="AF179" s="2006"/>
      <c r="AG179" s="2006"/>
      <c r="AH179" s="2006"/>
      <c r="AI179" s="2006"/>
      <c r="AJ179" s="2006"/>
      <c r="AK179" s="2006"/>
      <c r="AL179" s="2006"/>
      <c r="AM179" s="2006"/>
      <c r="AN179" s="2006"/>
      <c r="AO179" s="2007"/>
      <c r="AP179" s="970"/>
      <c r="AQ179" s="970"/>
      <c r="AR179" s="970"/>
      <c r="AS179" s="970"/>
      <c r="AT179" s="970"/>
      <c r="AU179" s="970"/>
      <c r="AV179" s="970"/>
      <c r="AW179" s="970"/>
      <c r="AX179" s="970"/>
      <c r="AY179" s="970"/>
      <c r="AZ179" s="970"/>
      <c r="BA179" s="970"/>
      <c r="BB179" s="970"/>
      <c r="BC179" s="970"/>
      <c r="BD179" s="970"/>
      <c r="BE179" s="973"/>
    </row>
    <row r="180" spans="1:57" ht="15.75" customHeight="1" thickBot="1">
      <c r="A180" s="970"/>
      <c r="B180" s="970"/>
      <c r="C180" s="2105"/>
      <c r="D180" s="2106"/>
      <c r="E180" s="2106"/>
      <c r="F180" s="2106"/>
      <c r="G180" s="2106"/>
      <c r="H180" s="2106"/>
      <c r="I180" s="2107"/>
      <c r="J180" s="2107"/>
      <c r="K180" s="2107"/>
      <c r="L180" s="2107"/>
      <c r="M180" s="2107"/>
      <c r="N180" s="2108"/>
      <c r="O180" s="970"/>
      <c r="P180" s="2008"/>
      <c r="Q180" s="2009"/>
      <c r="R180" s="2009"/>
      <c r="S180" s="2009"/>
      <c r="T180" s="2009"/>
      <c r="U180" s="2009"/>
      <c r="V180" s="2009"/>
      <c r="W180" s="2009"/>
      <c r="X180" s="2009"/>
      <c r="Y180" s="2009"/>
      <c r="Z180" s="2009"/>
      <c r="AA180" s="2009"/>
      <c r="AB180" s="2009"/>
      <c r="AC180" s="2009"/>
      <c r="AD180" s="2009"/>
      <c r="AE180" s="2009"/>
      <c r="AF180" s="2009"/>
      <c r="AG180" s="2009"/>
      <c r="AH180" s="2009"/>
      <c r="AI180" s="2009"/>
      <c r="AJ180" s="2009"/>
      <c r="AK180" s="2009"/>
      <c r="AL180" s="2009"/>
      <c r="AM180" s="2009"/>
      <c r="AN180" s="2009"/>
      <c r="AO180" s="2010"/>
      <c r="AP180" s="970"/>
      <c r="AQ180" s="970"/>
      <c r="AR180" s="970"/>
      <c r="AS180" s="970"/>
      <c r="AT180" s="970"/>
      <c r="AU180" s="970"/>
      <c r="AV180" s="970"/>
      <c r="AW180" s="970"/>
      <c r="AX180" s="970"/>
      <c r="AY180" s="970"/>
      <c r="AZ180" s="970"/>
      <c r="BA180" s="970"/>
      <c r="BB180" s="970"/>
      <c r="BC180" s="970"/>
      <c r="BD180" s="970"/>
      <c r="BE180" s="973"/>
    </row>
    <row r="181" spans="1:57" ht="15.75" customHeight="1" thickBot="1">
      <c r="A181" s="970"/>
      <c r="B181" s="970"/>
      <c r="C181" s="970"/>
      <c r="D181" s="970"/>
      <c r="E181" s="970"/>
      <c r="F181" s="970"/>
      <c r="G181" s="970"/>
      <c r="H181" s="970"/>
      <c r="I181" s="970"/>
      <c r="J181" s="970"/>
      <c r="K181" s="970"/>
      <c r="L181" s="970"/>
      <c r="M181" s="970"/>
      <c r="N181" s="970"/>
      <c r="O181" s="970"/>
      <c r="P181" s="970"/>
      <c r="Q181" s="970"/>
      <c r="R181" s="970"/>
      <c r="S181" s="970"/>
      <c r="T181" s="970"/>
      <c r="U181" s="970"/>
      <c r="V181" s="970"/>
      <c r="W181" s="970"/>
      <c r="X181" s="970"/>
      <c r="Y181" s="970"/>
      <c r="Z181" s="970"/>
      <c r="AA181" s="970"/>
      <c r="AB181" s="970"/>
      <c r="AC181" s="970"/>
      <c r="AD181" s="970"/>
      <c r="AE181" s="970"/>
      <c r="AF181" s="970"/>
      <c r="AG181" s="970"/>
      <c r="AH181" s="970"/>
      <c r="AI181" s="970"/>
      <c r="AJ181" s="970"/>
      <c r="AK181" s="970"/>
      <c r="AL181" s="970"/>
      <c r="AM181" s="970"/>
      <c r="AN181" s="970"/>
      <c r="AO181" s="970"/>
      <c r="AP181" s="970"/>
      <c r="AQ181" s="970"/>
      <c r="AR181" s="970"/>
      <c r="AS181" s="970"/>
      <c r="AT181" s="970"/>
      <c r="AU181" s="970"/>
      <c r="AV181" s="970"/>
      <c r="AW181" s="970"/>
      <c r="AX181" s="970"/>
      <c r="AY181" s="970"/>
      <c r="AZ181" s="970"/>
      <c r="BA181" s="970"/>
      <c r="BB181" s="970"/>
      <c r="BC181" s="970"/>
      <c r="BD181" s="970"/>
      <c r="BE181" s="973"/>
    </row>
    <row r="182" spans="1:57" ht="15.75" customHeight="1">
      <c r="A182" s="970"/>
      <c r="B182" s="970"/>
      <c r="C182" s="2112" t="s">
        <v>2023</v>
      </c>
      <c r="D182" s="2113"/>
      <c r="E182" s="2113"/>
      <c r="F182" s="2113"/>
      <c r="G182" s="2113"/>
      <c r="H182" s="2113"/>
      <c r="I182" s="2113"/>
      <c r="J182" s="2113"/>
      <c r="K182" s="2113"/>
      <c r="L182" s="2113"/>
      <c r="M182" s="2113"/>
      <c r="N182" s="2113"/>
      <c r="O182" s="2113"/>
      <c r="P182" s="2113"/>
      <c r="Q182" s="2113"/>
      <c r="R182" s="2113"/>
      <c r="S182" s="2113"/>
      <c r="T182" s="2113"/>
      <c r="U182" s="2113"/>
      <c r="V182" s="2113"/>
      <c r="W182" s="2113"/>
      <c r="X182" s="2113"/>
      <c r="Y182" s="2113"/>
      <c r="Z182" s="2113"/>
      <c r="AA182" s="2113"/>
      <c r="AB182" s="2113"/>
      <c r="AC182" s="2113"/>
      <c r="AD182" s="2113"/>
      <c r="AE182" s="2114"/>
      <c r="AF182" s="970"/>
      <c r="AG182" s="970"/>
      <c r="AH182" s="2122"/>
      <c r="AI182" s="2122"/>
      <c r="AJ182" s="2122"/>
      <c r="AK182" s="2122"/>
      <c r="AL182" s="2122"/>
      <c r="AM182" s="2122"/>
      <c r="AN182" s="2122"/>
      <c r="AO182" s="2122"/>
      <c r="AP182" s="2122"/>
      <c r="AQ182" s="2122"/>
      <c r="AR182" s="2122"/>
      <c r="AS182" s="2122"/>
      <c r="AT182" s="2122"/>
      <c r="AU182" s="2122"/>
      <c r="AV182" s="2122"/>
      <c r="AW182" s="2122"/>
      <c r="AX182" s="2122"/>
      <c r="AY182" s="2122"/>
      <c r="AZ182" s="2122"/>
      <c r="BA182" s="2122"/>
      <c r="BB182" s="2122"/>
      <c r="BC182" s="2122"/>
      <c r="BD182" s="2122"/>
      <c r="BE182" s="2122"/>
    </row>
    <row r="183" spans="1:57" ht="15.75" customHeight="1" thickBot="1">
      <c r="A183" s="970"/>
      <c r="B183" s="970"/>
      <c r="C183" s="2115"/>
      <c r="D183" s="2116"/>
      <c r="E183" s="2116"/>
      <c r="F183" s="2116"/>
      <c r="G183" s="2116"/>
      <c r="H183" s="2116"/>
      <c r="I183" s="2116"/>
      <c r="J183" s="2116"/>
      <c r="K183" s="2116"/>
      <c r="L183" s="2116"/>
      <c r="M183" s="2116"/>
      <c r="N183" s="2116"/>
      <c r="O183" s="2116"/>
      <c r="P183" s="2116"/>
      <c r="Q183" s="2116"/>
      <c r="R183" s="2116"/>
      <c r="S183" s="2116"/>
      <c r="T183" s="2116"/>
      <c r="U183" s="2116"/>
      <c r="V183" s="2116"/>
      <c r="W183" s="2116"/>
      <c r="X183" s="2116"/>
      <c r="Y183" s="2116"/>
      <c r="Z183" s="2116"/>
      <c r="AA183" s="2116"/>
      <c r="AB183" s="2116"/>
      <c r="AC183" s="2116"/>
      <c r="AD183" s="2116"/>
      <c r="AE183" s="2117"/>
      <c r="AF183" s="970"/>
      <c r="AG183" s="970"/>
      <c r="AH183" s="2122"/>
      <c r="AI183" s="2122"/>
      <c r="AJ183" s="2122"/>
      <c r="AK183" s="2122"/>
      <c r="AL183" s="2122"/>
      <c r="AM183" s="2122"/>
      <c r="AN183" s="2122"/>
      <c r="AO183" s="2122"/>
      <c r="AP183" s="2122"/>
      <c r="AQ183" s="2122"/>
      <c r="AR183" s="2122"/>
      <c r="AS183" s="2122"/>
      <c r="AT183" s="2122"/>
      <c r="AU183" s="2122"/>
      <c r="AV183" s="2122"/>
      <c r="AW183" s="2122"/>
      <c r="AX183" s="2122"/>
      <c r="AY183" s="2122"/>
      <c r="AZ183" s="2122"/>
      <c r="BA183" s="2122"/>
      <c r="BB183" s="2122"/>
      <c r="BC183" s="2122"/>
      <c r="BD183" s="2122"/>
      <c r="BE183" s="2122"/>
    </row>
    <row r="184" spans="1:57" ht="15.75" customHeight="1">
      <c r="A184" s="970"/>
      <c r="B184" s="970"/>
      <c r="C184" s="1985" t="s">
        <v>2011</v>
      </c>
      <c r="D184" s="1986"/>
      <c r="E184" s="1986"/>
      <c r="F184" s="1986"/>
      <c r="G184" s="1986"/>
      <c r="H184" s="1986"/>
      <c r="I184" s="1986"/>
      <c r="J184" s="1986"/>
      <c r="K184" s="1986"/>
      <c r="L184" s="1986"/>
      <c r="M184" s="1986"/>
      <c r="N184" s="1986" t="s">
        <v>2024</v>
      </c>
      <c r="O184" s="1986"/>
      <c r="P184" s="1986"/>
      <c r="Q184" s="1986"/>
      <c r="R184" s="1986"/>
      <c r="S184" s="1986"/>
      <c r="T184" s="1986"/>
      <c r="U184" s="1937" t="s">
        <v>2011</v>
      </c>
      <c r="V184" s="1937"/>
      <c r="W184" s="1937"/>
      <c r="X184" s="1937"/>
      <c r="Y184" s="1937"/>
      <c r="Z184" s="1937"/>
      <c r="AA184" s="1937"/>
      <c r="AB184" s="1937"/>
      <c r="AC184" s="1937"/>
      <c r="AD184" s="1937"/>
      <c r="AE184" s="1938"/>
      <c r="AF184" s="970"/>
      <c r="AG184" s="970"/>
      <c r="AH184" s="2122"/>
      <c r="AI184" s="2122"/>
      <c r="AJ184" s="2122"/>
      <c r="AK184" s="2122"/>
      <c r="AL184" s="2122"/>
      <c r="AM184" s="2122"/>
      <c r="AN184" s="2122"/>
      <c r="AO184" s="2122"/>
      <c r="AP184" s="2122"/>
      <c r="AQ184" s="2122"/>
      <c r="AR184" s="2122"/>
      <c r="AS184" s="2122"/>
      <c r="AT184" s="2122"/>
      <c r="AU184" s="2122"/>
      <c r="AV184" s="2122"/>
      <c r="AW184" s="2122"/>
      <c r="AX184" s="2122"/>
      <c r="AY184" s="2122"/>
      <c r="AZ184" s="2122"/>
      <c r="BA184" s="2122"/>
      <c r="BB184" s="2122"/>
      <c r="BC184" s="2122"/>
      <c r="BD184" s="2122"/>
      <c r="BE184" s="2122"/>
    </row>
    <row r="185" spans="1:57" ht="15.75" customHeight="1">
      <c r="A185" s="970"/>
      <c r="B185" s="970"/>
      <c r="C185" s="2109" t="s">
        <v>2025</v>
      </c>
      <c r="D185" s="2110"/>
      <c r="E185" s="2110"/>
      <c r="F185" s="2110"/>
      <c r="G185" s="2110"/>
      <c r="H185" s="2110"/>
      <c r="I185" s="2110"/>
      <c r="J185" s="2110"/>
      <c r="K185" s="2110"/>
      <c r="L185" s="2110"/>
      <c r="M185" s="2110"/>
      <c r="N185" s="2111">
        <f>'Sources and Uses Budget'!B105</f>
        <v>77153162</v>
      </c>
      <c r="O185" s="2111"/>
      <c r="P185" s="2111"/>
      <c r="Q185" s="2111"/>
      <c r="R185" s="2111"/>
      <c r="S185" s="2111"/>
      <c r="T185" s="2111"/>
      <c r="U185" s="2123"/>
      <c r="V185" s="2123"/>
      <c r="W185" s="2123"/>
      <c r="X185" s="2123"/>
      <c r="Y185" s="2123"/>
      <c r="Z185" s="2123"/>
      <c r="AA185" s="2123"/>
      <c r="AB185" s="2123"/>
      <c r="AC185" s="2123"/>
      <c r="AD185" s="2123"/>
      <c r="AE185" s="2124"/>
      <c r="AF185" s="970"/>
      <c r="AG185" s="970"/>
      <c r="AH185" s="2122"/>
      <c r="AI185" s="2122"/>
      <c r="AJ185" s="2122"/>
      <c r="AK185" s="2122"/>
      <c r="AL185" s="2122"/>
      <c r="AM185" s="2122"/>
      <c r="AN185" s="2122"/>
      <c r="AO185" s="2122"/>
      <c r="AP185" s="2122"/>
      <c r="AQ185" s="2122"/>
      <c r="AR185" s="2122"/>
      <c r="AS185" s="2122"/>
      <c r="AT185" s="2122"/>
      <c r="AU185" s="2122"/>
      <c r="AV185" s="2122"/>
      <c r="AW185" s="2122"/>
      <c r="AX185" s="2122"/>
      <c r="AY185" s="2122"/>
      <c r="AZ185" s="2122"/>
      <c r="BA185" s="2122"/>
      <c r="BB185" s="2122"/>
      <c r="BC185" s="2122"/>
      <c r="BD185" s="2122"/>
      <c r="BE185" s="2122"/>
    </row>
    <row r="186" spans="1:57" ht="15.75" customHeight="1">
      <c r="A186" s="970"/>
      <c r="B186" s="970"/>
      <c r="C186" s="2109" t="s">
        <v>2026</v>
      </c>
      <c r="D186" s="2110"/>
      <c r="E186" s="2110"/>
      <c r="F186" s="2110"/>
      <c r="G186" s="2110"/>
      <c r="H186" s="2110"/>
      <c r="I186" s="2110"/>
      <c r="J186" s="2110"/>
      <c r="K186" s="2110"/>
      <c r="L186" s="2110"/>
      <c r="M186" s="2110"/>
      <c r="N186" s="2111">
        <f>N185/J29</f>
        <v>771531.62</v>
      </c>
      <c r="O186" s="2111"/>
      <c r="P186" s="2111"/>
      <c r="Q186" s="2111"/>
      <c r="R186" s="2111"/>
      <c r="S186" s="2111"/>
      <c r="T186" s="2111"/>
      <c r="U186" s="1185"/>
      <c r="V186" s="1185"/>
      <c r="W186" s="1185"/>
      <c r="X186" s="1185"/>
      <c r="Y186" s="1185"/>
      <c r="Z186" s="1185"/>
      <c r="AA186" s="1185"/>
      <c r="AB186" s="1185"/>
      <c r="AC186" s="1185"/>
      <c r="AD186" s="1185"/>
      <c r="AE186" s="1186"/>
      <c r="AF186" s="970"/>
      <c r="AG186" s="970"/>
      <c r="AH186" s="2122"/>
      <c r="AI186" s="2122"/>
      <c r="AJ186" s="2122"/>
      <c r="AK186" s="2122"/>
      <c r="AL186" s="2122"/>
      <c r="AM186" s="2122"/>
      <c r="AN186" s="2122"/>
      <c r="AO186" s="2122"/>
      <c r="AP186" s="2122"/>
      <c r="AQ186" s="2122"/>
      <c r="AR186" s="2122"/>
      <c r="AS186" s="2122"/>
      <c r="AT186" s="2122"/>
      <c r="AU186" s="2122"/>
      <c r="AV186" s="2122"/>
      <c r="AW186" s="2122"/>
      <c r="AX186" s="2122"/>
      <c r="AY186" s="2122"/>
      <c r="AZ186" s="2122"/>
      <c r="BA186" s="2122"/>
      <c r="BB186" s="2122"/>
      <c r="BC186" s="2122"/>
      <c r="BD186" s="2122"/>
      <c r="BE186" s="2122"/>
    </row>
    <row r="187" spans="1:57" ht="15.75" customHeight="1">
      <c r="A187" s="970"/>
      <c r="B187" s="970"/>
      <c r="C187" s="2125" t="s">
        <v>2027</v>
      </c>
      <c r="D187" s="2126"/>
      <c r="E187" s="2126"/>
      <c r="F187" s="2126"/>
      <c r="G187" s="2126"/>
      <c r="H187" s="2126"/>
      <c r="I187" s="2126"/>
      <c r="J187" s="2126"/>
      <c r="K187" s="2126"/>
      <c r="L187" s="2126"/>
      <c r="M187" s="2126"/>
      <c r="N187" s="1979">
        <v>0</v>
      </c>
      <c r="O187" s="1979"/>
      <c r="P187" s="1979"/>
      <c r="Q187" s="1979"/>
      <c r="R187" s="1979"/>
      <c r="S187" s="1979"/>
      <c r="T187" s="1979"/>
      <c r="U187" s="1955"/>
      <c r="V187" s="1955"/>
      <c r="W187" s="1955"/>
      <c r="X187" s="1955"/>
      <c r="Y187" s="1955"/>
      <c r="Z187" s="1955"/>
      <c r="AA187" s="1955"/>
      <c r="AB187" s="1955"/>
      <c r="AC187" s="1955"/>
      <c r="AD187" s="1955"/>
      <c r="AE187" s="1956"/>
      <c r="AF187" s="970"/>
      <c r="AG187" s="970"/>
      <c r="AH187" s="2122"/>
      <c r="AI187" s="2122"/>
      <c r="AJ187" s="2122"/>
      <c r="AK187" s="2122"/>
      <c r="AL187" s="2122"/>
      <c r="AM187" s="2122"/>
      <c r="AN187" s="2122"/>
      <c r="AO187" s="2122"/>
      <c r="AP187" s="2122"/>
      <c r="AQ187" s="2122"/>
      <c r="AR187" s="2122"/>
      <c r="AS187" s="2122"/>
      <c r="AT187" s="2122"/>
      <c r="AU187" s="2122"/>
      <c r="AV187" s="2122"/>
      <c r="AW187" s="2122"/>
      <c r="AX187" s="2122"/>
      <c r="AY187" s="2122"/>
      <c r="AZ187" s="2122"/>
      <c r="BA187" s="2122"/>
      <c r="BB187" s="2122"/>
      <c r="BC187" s="2122"/>
      <c r="BD187" s="2122"/>
      <c r="BE187" s="2122"/>
    </row>
    <row r="188" spans="1:57" ht="15.75" customHeight="1" thickBot="1">
      <c r="A188" s="970"/>
      <c r="B188" s="970"/>
      <c r="C188" s="2109" t="s">
        <v>2028</v>
      </c>
      <c r="D188" s="2110"/>
      <c r="E188" s="2110"/>
      <c r="F188" s="2110"/>
      <c r="G188" s="2110"/>
      <c r="H188" s="2110"/>
      <c r="I188" s="2110"/>
      <c r="J188" s="2110"/>
      <c r="K188" s="2110"/>
      <c r="L188" s="2110"/>
      <c r="M188" s="2110"/>
      <c r="N188" s="2127">
        <f>SUM('Sources and Uses Budget'!B85:B86)</f>
        <v>3500000</v>
      </c>
      <c r="O188" s="2127"/>
      <c r="P188" s="2127"/>
      <c r="Q188" s="2127"/>
      <c r="R188" s="2127"/>
      <c r="S188" s="2127"/>
      <c r="T188" s="2127"/>
      <c r="U188" s="1955"/>
      <c r="V188" s="1955"/>
      <c r="W188" s="1955"/>
      <c r="X188" s="1955"/>
      <c r="Y188" s="1955"/>
      <c r="Z188" s="1955"/>
      <c r="AA188" s="1955"/>
      <c r="AB188" s="1955"/>
      <c r="AC188" s="1955"/>
      <c r="AD188" s="1955"/>
      <c r="AE188" s="1956"/>
      <c r="AF188" s="970"/>
      <c r="AG188" s="970"/>
      <c r="AH188" s="2122"/>
      <c r="AI188" s="2122"/>
      <c r="AJ188" s="2122"/>
      <c r="AK188" s="2122"/>
      <c r="AL188" s="2122"/>
      <c r="AM188" s="2122"/>
      <c r="AN188" s="2122"/>
      <c r="AO188" s="2122"/>
      <c r="AP188" s="2122"/>
      <c r="AQ188" s="2122"/>
      <c r="AR188" s="2122"/>
      <c r="AS188" s="2122"/>
      <c r="AT188" s="2122"/>
      <c r="AU188" s="2122"/>
      <c r="AV188" s="2122"/>
      <c r="AW188" s="2122"/>
      <c r="AX188" s="2122"/>
      <c r="AY188" s="2122"/>
      <c r="AZ188" s="2122"/>
      <c r="BA188" s="2122"/>
      <c r="BB188" s="2122"/>
      <c r="BC188" s="2122"/>
      <c r="BD188" s="2122"/>
      <c r="BE188" s="2122"/>
    </row>
    <row r="189" spans="1:57" ht="15.75" customHeight="1" thickBot="1">
      <c r="A189" s="970"/>
      <c r="B189" s="970"/>
      <c r="C189" s="2109" t="s">
        <v>2029</v>
      </c>
      <c r="D189" s="2110"/>
      <c r="E189" s="2110"/>
      <c r="F189" s="2110"/>
      <c r="G189" s="2110"/>
      <c r="H189" s="2110"/>
      <c r="I189" s="2110"/>
      <c r="J189" s="2110"/>
      <c r="K189" s="2110"/>
      <c r="L189" s="2110"/>
      <c r="M189" s="2110"/>
      <c r="N189" s="2127">
        <f>'Sources and Uses Budget'!B8</f>
        <v>100000</v>
      </c>
      <c r="O189" s="2127"/>
      <c r="P189" s="2127"/>
      <c r="Q189" s="2127"/>
      <c r="R189" s="2127"/>
      <c r="S189" s="2127"/>
      <c r="T189" s="2127"/>
      <c r="U189" s="1955"/>
      <c r="V189" s="1955"/>
      <c r="W189" s="1955"/>
      <c r="X189" s="1955"/>
      <c r="Y189" s="1955"/>
      <c r="Z189" s="1955"/>
      <c r="AA189" s="1955"/>
      <c r="AB189" s="1955"/>
      <c r="AC189" s="1955"/>
      <c r="AD189" s="1955"/>
      <c r="AE189" s="1956"/>
      <c r="AF189" s="970"/>
      <c r="AG189" s="970"/>
      <c r="AH189" s="2131" t="s">
        <v>1435</v>
      </c>
      <c r="AI189" s="2132"/>
      <c r="AJ189" s="2132"/>
      <c r="AK189" s="2132"/>
      <c r="AL189" s="2132"/>
      <c r="AM189" s="2132"/>
      <c r="AN189" s="2132"/>
      <c r="AO189" s="2132"/>
      <c r="AP189" s="2132"/>
      <c r="AQ189" s="2132"/>
      <c r="AR189" s="2132"/>
      <c r="AS189" s="2132"/>
      <c r="AT189" s="2132"/>
      <c r="AU189" s="2132"/>
      <c r="AV189" s="2132"/>
      <c r="AW189" s="2132"/>
      <c r="AX189" s="2132"/>
      <c r="AY189" s="2132"/>
      <c r="AZ189" s="2132"/>
      <c r="BA189" s="2132"/>
      <c r="BB189" s="2132"/>
      <c r="BC189" s="2132"/>
      <c r="BD189" s="2132"/>
      <c r="BE189" s="2133"/>
    </row>
    <row r="190" spans="1:57" ht="15.75" customHeight="1">
      <c r="A190" s="970"/>
      <c r="B190" s="970"/>
      <c r="C190" s="2109" t="s">
        <v>2030</v>
      </c>
      <c r="D190" s="2110"/>
      <c r="E190" s="2110"/>
      <c r="F190" s="2110"/>
      <c r="G190" s="2110"/>
      <c r="H190" s="2110"/>
      <c r="I190" s="2110"/>
      <c r="J190" s="2110"/>
      <c r="K190" s="2110"/>
      <c r="L190" s="2110"/>
      <c r="M190" s="2110"/>
      <c r="N190" s="2118">
        <v>0</v>
      </c>
      <c r="O190" s="2118"/>
      <c r="P190" s="2118"/>
      <c r="Q190" s="2118"/>
      <c r="R190" s="2118"/>
      <c r="S190" s="2118"/>
      <c r="T190" s="2118"/>
      <c r="U190" s="1955"/>
      <c r="V190" s="1955"/>
      <c r="W190" s="1955"/>
      <c r="X190" s="1955"/>
      <c r="Y190" s="1955"/>
      <c r="Z190" s="1955"/>
      <c r="AA190" s="1955"/>
      <c r="AB190" s="1955"/>
      <c r="AC190" s="1955"/>
      <c r="AD190" s="1955"/>
      <c r="AE190" s="1956"/>
      <c r="AF190" s="970"/>
      <c r="AG190" s="970"/>
      <c r="AH190" s="2134" t="s">
        <v>1435</v>
      </c>
      <c r="AI190" s="2135"/>
      <c r="AJ190" s="2135"/>
      <c r="AK190" s="2135"/>
      <c r="AL190" s="2135"/>
      <c r="AM190" s="2135"/>
      <c r="AN190" s="2135"/>
      <c r="AO190" s="2135"/>
      <c r="AP190" s="2135"/>
      <c r="AQ190" s="2135"/>
      <c r="AR190" s="2135"/>
      <c r="AS190" s="2135"/>
      <c r="AT190" s="2135"/>
      <c r="AU190" s="2136">
        <v>0</v>
      </c>
      <c r="AV190" s="2136"/>
      <c r="AW190" s="2136"/>
      <c r="AX190" s="2136"/>
      <c r="AY190" s="2136"/>
      <c r="AZ190" s="2136"/>
      <c r="BA190" s="2136"/>
      <c r="BB190" s="2136"/>
      <c r="BC190" s="2137"/>
      <c r="BD190" s="2138"/>
      <c r="BE190" s="2139"/>
    </row>
    <row r="191" spans="1:57" ht="15.75" customHeight="1">
      <c r="A191" s="970"/>
      <c r="B191" s="970"/>
      <c r="C191" s="2109" t="s">
        <v>2031</v>
      </c>
      <c r="D191" s="2110"/>
      <c r="E191" s="2110"/>
      <c r="F191" s="2110"/>
      <c r="G191" s="2110"/>
      <c r="H191" s="2110"/>
      <c r="I191" s="2110"/>
      <c r="J191" s="2110"/>
      <c r="K191" s="2110"/>
      <c r="L191" s="2110"/>
      <c r="M191" s="2110"/>
      <c r="N191" s="2118">
        <v>0</v>
      </c>
      <c r="O191" s="2118"/>
      <c r="P191" s="2118"/>
      <c r="Q191" s="2118"/>
      <c r="R191" s="2118"/>
      <c r="S191" s="2118"/>
      <c r="T191" s="2118"/>
      <c r="U191" s="1955"/>
      <c r="V191" s="1955"/>
      <c r="W191" s="1955"/>
      <c r="X191" s="1955"/>
      <c r="Y191" s="1955"/>
      <c r="Z191" s="1955"/>
      <c r="AA191" s="1955"/>
      <c r="AB191" s="1955"/>
      <c r="AC191" s="1955"/>
      <c r="AD191" s="1955"/>
      <c r="AE191" s="1956"/>
      <c r="AF191" s="970"/>
      <c r="AG191" s="970"/>
      <c r="AH191" s="2119" t="s">
        <v>2032</v>
      </c>
      <c r="AI191" s="2120"/>
      <c r="AJ191" s="2120"/>
      <c r="AK191" s="2120"/>
      <c r="AL191" s="2120"/>
      <c r="AM191" s="2120"/>
      <c r="AN191" s="2120"/>
      <c r="AO191" s="2120"/>
      <c r="AP191" s="2120"/>
      <c r="AQ191" s="2120"/>
      <c r="AR191" s="2120"/>
      <c r="AS191" s="2120"/>
      <c r="AT191" s="2120"/>
      <c r="AU191" s="2121"/>
      <c r="AV191" s="2121"/>
      <c r="AW191" s="2121"/>
      <c r="AX191" s="2121"/>
      <c r="AY191" s="2121"/>
      <c r="AZ191" s="2121"/>
      <c r="BA191" s="2121"/>
      <c r="BB191" s="2121"/>
      <c r="BC191" s="2128"/>
      <c r="BD191" s="2129"/>
      <c r="BE191" s="2130"/>
    </row>
    <row r="192" spans="1:57" ht="15.75" customHeight="1">
      <c r="A192" s="970"/>
      <c r="B192" s="970"/>
      <c r="C192" s="2144" t="s">
        <v>1053</v>
      </c>
      <c r="D192" s="2087"/>
      <c r="E192" s="2140" t="s">
        <v>2018</v>
      </c>
      <c r="F192" s="2140"/>
      <c r="G192" s="2140"/>
      <c r="H192" s="2140"/>
      <c r="I192" s="2140"/>
      <c r="J192" s="2140"/>
      <c r="K192" s="2140"/>
      <c r="L192" s="2140"/>
      <c r="M192" s="2140"/>
      <c r="N192" s="2118">
        <v>0</v>
      </c>
      <c r="O192" s="2118"/>
      <c r="P192" s="2118"/>
      <c r="Q192" s="2118"/>
      <c r="R192" s="2118"/>
      <c r="S192" s="2118"/>
      <c r="T192" s="2118"/>
      <c r="U192" s="1955"/>
      <c r="V192" s="1955"/>
      <c r="W192" s="1955"/>
      <c r="X192" s="1955"/>
      <c r="Y192" s="1955"/>
      <c r="Z192" s="1955"/>
      <c r="AA192" s="1955"/>
      <c r="AB192" s="1955"/>
      <c r="AC192" s="1955"/>
      <c r="AD192" s="1955"/>
      <c r="AE192" s="1956"/>
      <c r="AF192" s="970"/>
      <c r="AG192" s="970"/>
      <c r="AH192" s="2145" t="s">
        <v>2033</v>
      </c>
      <c r="AI192" s="2146"/>
      <c r="AJ192" s="2146"/>
      <c r="AK192" s="2146"/>
      <c r="AL192" s="2146"/>
      <c r="AM192" s="2146"/>
      <c r="AN192" s="2146"/>
      <c r="AO192" s="2146"/>
      <c r="AP192" s="2146"/>
      <c r="AQ192" s="2146"/>
      <c r="AR192" s="2146"/>
      <c r="AS192" s="2146"/>
      <c r="AT192" s="2146"/>
      <c r="AU192" s="2147">
        <f>SUM(AU190:BB191)</f>
        <v>0</v>
      </c>
      <c r="AV192" s="2147"/>
      <c r="AW192" s="2147"/>
      <c r="AX192" s="2147"/>
      <c r="AY192" s="2147"/>
      <c r="AZ192" s="2147"/>
      <c r="BA192" s="2147"/>
      <c r="BB192" s="2147"/>
      <c r="BC192" s="2128"/>
      <c r="BD192" s="2129"/>
      <c r="BE192" s="2130"/>
    </row>
    <row r="193" spans="1:57" ht="15.75" customHeight="1" thickBot="1">
      <c r="A193" s="970"/>
      <c r="B193" s="970"/>
      <c r="C193" s="2011" t="s">
        <v>1053</v>
      </c>
      <c r="D193" s="1943"/>
      <c r="E193" s="2140" t="s">
        <v>2018</v>
      </c>
      <c r="F193" s="2140"/>
      <c r="G193" s="2140"/>
      <c r="H193" s="2140"/>
      <c r="I193" s="2140"/>
      <c r="J193" s="2140"/>
      <c r="K193" s="2140"/>
      <c r="L193" s="2140"/>
      <c r="M193" s="2140"/>
      <c r="N193" s="2118">
        <v>0</v>
      </c>
      <c r="O193" s="2118"/>
      <c r="P193" s="2118"/>
      <c r="Q193" s="2118"/>
      <c r="R193" s="2118"/>
      <c r="S193" s="2118"/>
      <c r="T193" s="2118"/>
      <c r="U193" s="1955"/>
      <c r="V193" s="1955"/>
      <c r="W193" s="1955"/>
      <c r="X193" s="1955"/>
      <c r="Y193" s="1955"/>
      <c r="Z193" s="1955"/>
      <c r="AA193" s="1955"/>
      <c r="AB193" s="1955"/>
      <c r="AC193" s="1955"/>
      <c r="AD193" s="1955"/>
      <c r="AE193" s="1956"/>
      <c r="AF193" s="970"/>
      <c r="AG193" s="970"/>
      <c r="AH193" s="1007"/>
      <c r="AI193" s="1008"/>
      <c r="AJ193" s="1008"/>
      <c r="AK193" s="1008"/>
      <c r="AL193" s="1008"/>
      <c r="AM193" s="1008"/>
      <c r="AN193" s="1008"/>
      <c r="AO193" s="1008"/>
      <c r="AP193" s="1008"/>
      <c r="AQ193" s="1008"/>
      <c r="AR193" s="1008"/>
      <c r="AS193" s="1008"/>
      <c r="AT193" s="1008"/>
      <c r="AU193" s="1008"/>
      <c r="AV193" s="1008"/>
      <c r="AW193" s="1008"/>
      <c r="AX193" s="1008"/>
      <c r="AY193" s="1008"/>
      <c r="AZ193" s="1008"/>
      <c r="BA193" s="1008"/>
      <c r="BB193" s="1008"/>
      <c r="BC193" s="2141"/>
      <c r="BD193" s="2142"/>
      <c r="BE193" s="2143"/>
    </row>
    <row r="194" spans="1:57" ht="15.75" customHeight="1" thickBot="1">
      <c r="A194" s="970"/>
      <c r="B194" s="970"/>
      <c r="C194" s="2165" t="s">
        <v>1053</v>
      </c>
      <c r="D194" s="2166"/>
      <c r="E194" s="2167" t="s">
        <v>2018</v>
      </c>
      <c r="F194" s="2167"/>
      <c r="G194" s="2167"/>
      <c r="H194" s="2167"/>
      <c r="I194" s="2167"/>
      <c r="J194" s="2167"/>
      <c r="K194" s="2167"/>
      <c r="L194" s="2167"/>
      <c r="M194" s="2168"/>
      <c r="N194" s="2169">
        <v>0</v>
      </c>
      <c r="O194" s="2169"/>
      <c r="P194" s="2169"/>
      <c r="Q194" s="2169"/>
      <c r="R194" s="2169"/>
      <c r="S194" s="2169"/>
      <c r="T194" s="2170"/>
      <c r="U194" s="2171"/>
      <c r="V194" s="2172"/>
      <c r="W194" s="2172"/>
      <c r="X194" s="2172"/>
      <c r="Y194" s="2172"/>
      <c r="Z194" s="2172"/>
      <c r="AA194" s="2172"/>
      <c r="AB194" s="2172"/>
      <c r="AC194" s="2172"/>
      <c r="AD194" s="2172"/>
      <c r="AE194" s="2173"/>
      <c r="AF194" s="970"/>
      <c r="AG194" s="970"/>
      <c r="AH194" s="2174" t="s">
        <v>2034</v>
      </c>
      <c r="AI194" s="2175"/>
      <c r="AJ194" s="2175"/>
      <c r="AK194" s="2175"/>
      <c r="AL194" s="2175"/>
      <c r="AM194" s="2175"/>
      <c r="AN194" s="2175"/>
      <c r="AO194" s="2175"/>
      <c r="AP194" s="2175"/>
      <c r="AQ194" s="2175"/>
      <c r="AR194" s="2175"/>
      <c r="AS194" s="2175"/>
      <c r="AT194" s="2175"/>
      <c r="AU194" s="2176"/>
      <c r="AV194" s="2176"/>
      <c r="AW194" s="2176"/>
      <c r="AX194" s="2176"/>
      <c r="AY194" s="2176"/>
      <c r="AZ194" s="2176"/>
      <c r="BA194" s="2176"/>
      <c r="BB194" s="2176"/>
      <c r="BC194" s="951"/>
      <c r="BD194" s="951"/>
      <c r="BE194" s="1009"/>
    </row>
    <row r="195" spans="1:57" ht="15.75" customHeight="1">
      <c r="A195" s="970"/>
      <c r="B195" s="970"/>
      <c r="C195" s="2148" t="s">
        <v>2035</v>
      </c>
      <c r="D195" s="2149"/>
      <c r="E195" s="2149"/>
      <c r="F195" s="2149"/>
      <c r="G195" s="2149"/>
      <c r="H195" s="2149"/>
      <c r="I195" s="2149"/>
      <c r="J195" s="2149"/>
      <c r="K195" s="2149"/>
      <c r="L195" s="2149"/>
      <c r="M195" s="2149"/>
      <c r="N195" s="2150">
        <f>SUM(N187:T194)</f>
        <v>3600000</v>
      </c>
      <c r="O195" s="2150"/>
      <c r="P195" s="2150"/>
      <c r="Q195" s="2150"/>
      <c r="R195" s="2150"/>
      <c r="S195" s="2150"/>
      <c r="T195" s="2151"/>
      <c r="U195" s="970"/>
      <c r="V195" s="970"/>
      <c r="W195" s="970"/>
      <c r="X195" s="970"/>
      <c r="Y195" s="970"/>
      <c r="Z195" s="970"/>
      <c r="AA195" s="970"/>
      <c r="AB195" s="970"/>
      <c r="AC195" s="970"/>
      <c r="AD195" s="970"/>
      <c r="AE195" s="970"/>
      <c r="AF195" s="970"/>
      <c r="AG195" s="970"/>
      <c r="AH195" s="2152" t="s">
        <v>2036</v>
      </c>
      <c r="AI195" s="2153"/>
      <c r="AJ195" s="2153"/>
      <c r="AK195" s="2153"/>
      <c r="AL195" s="2153"/>
      <c r="AM195" s="2153"/>
      <c r="AN195" s="2153"/>
      <c r="AO195" s="2153"/>
      <c r="AP195" s="2153"/>
      <c r="AQ195" s="2153"/>
      <c r="AR195" s="2153"/>
      <c r="AS195" s="2153"/>
      <c r="AT195" s="2153"/>
      <c r="AU195" s="2153"/>
      <c r="AV195" s="2153"/>
      <c r="AW195" s="2153"/>
      <c r="AX195" s="2153"/>
      <c r="AY195" s="2153"/>
      <c r="AZ195" s="2153"/>
      <c r="BA195" s="2153"/>
      <c r="BB195" s="2153"/>
      <c r="BC195" s="2153"/>
      <c r="BD195" s="2153"/>
      <c r="BE195" s="2154"/>
    </row>
    <row r="196" spans="1:57" ht="15.75" customHeight="1" thickBot="1">
      <c r="A196" s="970"/>
      <c r="B196" s="970"/>
      <c r="C196" s="2158" t="s">
        <v>2037</v>
      </c>
      <c r="D196" s="2159"/>
      <c r="E196" s="2159"/>
      <c r="F196" s="2159"/>
      <c r="G196" s="2159"/>
      <c r="H196" s="2159"/>
      <c r="I196" s="2159"/>
      <c r="J196" s="2159"/>
      <c r="K196" s="2159"/>
      <c r="L196" s="2159"/>
      <c r="M196" s="2159"/>
      <c r="N196" s="2160">
        <f>(N185-N195)/J29</f>
        <v>735531.62</v>
      </c>
      <c r="O196" s="2161"/>
      <c r="P196" s="2161"/>
      <c r="Q196" s="2161"/>
      <c r="R196" s="2161"/>
      <c r="S196" s="2161"/>
      <c r="T196" s="2162"/>
      <c r="U196" s="974"/>
      <c r="V196" s="970"/>
      <c r="W196" s="970"/>
      <c r="X196" s="970"/>
      <c r="Y196" s="970"/>
      <c r="Z196" s="970"/>
      <c r="AA196" s="970"/>
      <c r="AB196" s="970"/>
      <c r="AC196" s="970"/>
      <c r="AD196" s="970"/>
      <c r="AE196" s="970"/>
      <c r="AF196" s="970"/>
      <c r="AG196" s="970"/>
      <c r="AH196" s="2155"/>
      <c r="AI196" s="2156"/>
      <c r="AJ196" s="2156"/>
      <c r="AK196" s="2156"/>
      <c r="AL196" s="2156"/>
      <c r="AM196" s="2156"/>
      <c r="AN196" s="2156"/>
      <c r="AO196" s="2156"/>
      <c r="AP196" s="2156"/>
      <c r="AQ196" s="2156"/>
      <c r="AR196" s="2156"/>
      <c r="AS196" s="2156"/>
      <c r="AT196" s="2156"/>
      <c r="AU196" s="2156"/>
      <c r="AV196" s="2156"/>
      <c r="AW196" s="2156"/>
      <c r="AX196" s="2156"/>
      <c r="AY196" s="2156"/>
      <c r="AZ196" s="2156"/>
      <c r="BA196" s="2156"/>
      <c r="BB196" s="2156"/>
      <c r="BC196" s="2156"/>
      <c r="BD196" s="2156"/>
      <c r="BE196" s="2157"/>
    </row>
    <row r="197" spans="1:57" ht="15.75" customHeight="1">
      <c r="A197" s="970"/>
      <c r="B197" s="970"/>
      <c r="C197" s="970"/>
      <c r="D197" s="970"/>
      <c r="E197" s="970"/>
      <c r="F197" s="970"/>
      <c r="G197" s="970"/>
      <c r="H197" s="970"/>
      <c r="I197" s="970"/>
      <c r="J197" s="970"/>
      <c r="K197" s="970"/>
      <c r="L197" s="970"/>
      <c r="M197" s="970"/>
      <c r="N197" s="970"/>
      <c r="O197" s="970"/>
      <c r="P197" s="970"/>
      <c r="Q197" s="970"/>
      <c r="R197" s="970"/>
      <c r="S197" s="970"/>
      <c r="T197" s="970"/>
      <c r="U197" s="970"/>
      <c r="V197" s="970"/>
      <c r="W197" s="970"/>
      <c r="X197" s="970"/>
      <c r="Y197" s="970"/>
      <c r="Z197" s="970"/>
      <c r="AA197" s="970"/>
      <c r="AB197" s="970"/>
      <c r="AC197" s="970"/>
      <c r="AD197" s="970"/>
      <c r="AE197" s="970"/>
      <c r="AF197" s="970"/>
      <c r="AG197" s="970"/>
      <c r="AH197" s="2163"/>
      <c r="AI197" s="2163"/>
      <c r="AJ197" s="2163"/>
      <c r="AK197" s="2163"/>
      <c r="AL197" s="2163"/>
      <c r="AM197" s="2163"/>
      <c r="AN197" s="2163"/>
      <c r="AO197" s="2163"/>
      <c r="AP197" s="2163"/>
      <c r="AQ197" s="2163"/>
      <c r="AR197" s="2163"/>
      <c r="AS197" s="2164"/>
      <c r="AT197" s="2164"/>
      <c r="AU197" s="2164"/>
      <c r="AV197" s="2164"/>
      <c r="AW197" s="2164"/>
      <c r="AX197" s="2164"/>
      <c r="AY197" s="2164"/>
      <c r="AZ197" s="2164"/>
      <c r="BA197" s="2164"/>
      <c r="BB197" s="2164"/>
      <c r="BC197" s="2164"/>
      <c r="BD197" s="2164"/>
      <c r="BE197" s="973"/>
    </row>
    <row r="198" spans="1:57" ht="15.75" customHeight="1" thickBot="1">
      <c r="A198" s="970"/>
      <c r="B198" s="970"/>
      <c r="C198" s="970"/>
      <c r="D198" s="970"/>
      <c r="E198" s="970"/>
      <c r="F198" s="970"/>
      <c r="G198" s="970"/>
      <c r="H198" s="970"/>
      <c r="I198" s="970"/>
      <c r="J198" s="970"/>
      <c r="K198" s="970"/>
      <c r="L198" s="970"/>
      <c r="M198" s="970"/>
      <c r="N198" s="970"/>
      <c r="O198" s="970"/>
      <c r="P198" s="970"/>
      <c r="Q198" s="970"/>
      <c r="R198" s="970"/>
      <c r="S198" s="970"/>
      <c r="T198" s="970"/>
      <c r="U198" s="970"/>
      <c r="V198" s="970"/>
      <c r="W198" s="970"/>
      <c r="X198" s="970"/>
      <c r="Y198" s="970"/>
      <c r="Z198" s="970"/>
      <c r="AA198" s="970"/>
      <c r="AB198" s="970"/>
      <c r="AC198" s="970"/>
      <c r="AD198" s="970"/>
      <c r="AE198" s="970"/>
      <c r="AF198" s="970"/>
      <c r="AG198" s="970"/>
      <c r="AH198" s="970"/>
      <c r="AI198" s="970"/>
      <c r="AJ198" s="970"/>
      <c r="AK198" s="970"/>
      <c r="AL198" s="970"/>
      <c r="AM198" s="970"/>
      <c r="AN198" s="970"/>
      <c r="AO198" s="970"/>
      <c r="AP198" s="970"/>
      <c r="AQ198" s="970"/>
      <c r="AR198" s="970"/>
      <c r="AS198" s="970"/>
      <c r="AT198" s="970"/>
      <c r="AU198" s="970"/>
      <c r="AV198" s="970"/>
      <c r="AW198" s="970"/>
      <c r="AX198" s="970"/>
      <c r="AY198" s="970"/>
      <c r="AZ198" s="970"/>
      <c r="BA198" s="970"/>
      <c r="BB198" s="970"/>
      <c r="BC198" s="970"/>
      <c r="BD198" s="970"/>
      <c r="BE198" s="973"/>
    </row>
    <row r="199" spans="1:57" ht="15.75" customHeight="1" thickBot="1">
      <c r="A199" s="970"/>
      <c r="B199" s="970"/>
      <c r="C199" s="2182" t="s">
        <v>2038</v>
      </c>
      <c r="D199" s="2183"/>
      <c r="E199" s="2183"/>
      <c r="F199" s="2183"/>
      <c r="G199" s="2183"/>
      <c r="H199" s="2183"/>
      <c r="I199" s="2183"/>
      <c r="J199" s="2183"/>
      <c r="K199" s="2183"/>
      <c r="L199" s="2183"/>
      <c r="M199" s="2183"/>
      <c r="N199" s="2183"/>
      <c r="O199" s="2183"/>
      <c r="P199" s="2183"/>
      <c r="Q199" s="2183"/>
      <c r="R199" s="2183"/>
      <c r="S199" s="2183"/>
      <c r="T199" s="2183"/>
      <c r="U199" s="2183"/>
      <c r="V199" s="2183"/>
      <c r="W199" s="2183"/>
      <c r="X199" s="2183"/>
      <c r="Y199" s="2183"/>
      <c r="Z199" s="2183"/>
      <c r="AA199" s="2183"/>
      <c r="AB199" s="2183"/>
      <c r="AC199" s="2183"/>
      <c r="AD199" s="2183"/>
      <c r="AE199" s="2184"/>
      <c r="AF199" s="970"/>
      <c r="AG199" s="970"/>
      <c r="AH199" s="970"/>
      <c r="AI199" s="970"/>
      <c r="AJ199" s="970"/>
      <c r="AK199" s="970"/>
      <c r="AL199" s="970"/>
      <c r="AM199" s="970"/>
      <c r="AN199" s="970"/>
      <c r="AO199" s="970"/>
      <c r="AP199" s="970"/>
      <c r="AQ199" s="970"/>
      <c r="AR199" s="970"/>
      <c r="AS199" s="970"/>
      <c r="AT199" s="970"/>
      <c r="AU199" s="970"/>
      <c r="AV199" s="970"/>
      <c r="AW199" s="970"/>
      <c r="AX199" s="970"/>
      <c r="AY199" s="970"/>
      <c r="AZ199" s="970"/>
      <c r="BA199" s="970"/>
      <c r="BB199" s="970"/>
      <c r="BC199" s="970"/>
      <c r="BD199" s="970"/>
      <c r="BE199" s="973"/>
    </row>
    <row r="200" spans="1:57" ht="15.75" customHeight="1">
      <c r="A200" s="970"/>
      <c r="B200" s="970"/>
      <c r="C200" s="2185" t="s">
        <v>2039</v>
      </c>
      <c r="D200" s="2185"/>
      <c r="E200" s="2185"/>
      <c r="F200" s="2185"/>
      <c r="G200" s="2185"/>
      <c r="H200" s="2185"/>
      <c r="I200" s="2185"/>
      <c r="J200" s="2185"/>
      <c r="K200" s="2185"/>
      <c r="L200" s="2185"/>
      <c r="M200" s="2185"/>
      <c r="N200" s="2185"/>
      <c r="O200" s="2186" t="s">
        <v>2040</v>
      </c>
      <c r="P200" s="2186"/>
      <c r="Q200" s="2186"/>
      <c r="R200" s="2186"/>
      <c r="S200" s="2186"/>
      <c r="T200" s="2186"/>
      <c r="U200" s="2186"/>
      <c r="V200" s="2186"/>
      <c r="W200" s="2186"/>
      <c r="X200" s="2186" t="s">
        <v>2041</v>
      </c>
      <c r="Y200" s="2186"/>
      <c r="Z200" s="2186"/>
      <c r="AA200" s="2186"/>
      <c r="AB200" s="2186"/>
      <c r="AC200" s="2186"/>
      <c r="AD200" s="2186"/>
      <c r="AE200" s="2186"/>
      <c r="AF200" s="970"/>
      <c r="AG200" s="970"/>
      <c r="AH200" s="970"/>
      <c r="AI200" s="970"/>
      <c r="AJ200" s="970"/>
      <c r="AK200" s="970"/>
      <c r="AL200" s="970"/>
      <c r="AM200" s="970"/>
      <c r="AN200" s="970"/>
      <c r="AO200" s="970"/>
      <c r="AP200" s="970"/>
      <c r="AQ200" s="970"/>
      <c r="AR200" s="970"/>
      <c r="AS200" s="970"/>
      <c r="AT200" s="970"/>
      <c r="AU200" s="970"/>
      <c r="AV200" s="970"/>
      <c r="AW200" s="970"/>
      <c r="AX200" s="970"/>
      <c r="AY200" s="970"/>
      <c r="AZ200" s="970"/>
      <c r="BA200" s="970"/>
      <c r="BB200" s="970"/>
      <c r="BC200" s="970"/>
      <c r="BD200" s="970"/>
      <c r="BE200" s="973"/>
    </row>
    <row r="201" spans="1:57" ht="15.75" customHeight="1">
      <c r="A201" s="970"/>
      <c r="B201" s="970"/>
      <c r="C201" s="2177" t="s">
        <v>2042</v>
      </c>
      <c r="D201" s="2177"/>
      <c r="E201" s="2177"/>
      <c r="F201" s="2177"/>
      <c r="G201" s="2177"/>
      <c r="H201" s="2177"/>
      <c r="I201" s="2177"/>
      <c r="J201" s="2177"/>
      <c r="K201" s="2177"/>
      <c r="L201" s="2177"/>
      <c r="M201" s="2177"/>
      <c r="N201" s="2177"/>
      <c r="O201" s="2178" t="s">
        <v>2043</v>
      </c>
      <c r="P201" s="2178"/>
      <c r="Q201" s="2178"/>
      <c r="R201" s="2178"/>
      <c r="S201" s="2178"/>
      <c r="T201" s="2178"/>
      <c r="U201" s="2178"/>
      <c r="V201" s="2178"/>
      <c r="W201" s="2178"/>
      <c r="X201" s="2179">
        <v>0.03</v>
      </c>
      <c r="Y201" s="2179"/>
      <c r="Z201" s="2179"/>
      <c r="AA201" s="2179"/>
      <c r="AB201" s="2179"/>
      <c r="AC201" s="2179"/>
      <c r="AD201" s="2179"/>
      <c r="AE201" s="2179"/>
      <c r="AF201" s="970"/>
      <c r="AG201" s="970"/>
      <c r="AH201" s="970"/>
      <c r="AI201" s="970"/>
      <c r="AJ201" s="970"/>
      <c r="AK201" s="970"/>
      <c r="AL201" s="970"/>
      <c r="AM201" s="970"/>
      <c r="AN201" s="970"/>
      <c r="AO201" s="970"/>
      <c r="AP201" s="970"/>
      <c r="AQ201" s="970"/>
      <c r="AR201" s="970"/>
      <c r="AS201" s="970"/>
      <c r="AT201" s="970"/>
      <c r="AU201" s="970"/>
      <c r="AV201" s="970"/>
      <c r="AW201" s="970"/>
      <c r="AX201" s="970"/>
      <c r="AY201" s="970"/>
      <c r="AZ201" s="970"/>
      <c r="BA201" s="970"/>
      <c r="BB201" s="970"/>
      <c r="BC201" s="970"/>
      <c r="BD201" s="970"/>
      <c r="BE201" s="973"/>
    </row>
    <row r="202" spans="1:57" ht="15.75" customHeight="1">
      <c r="A202" s="970"/>
      <c r="B202" s="970"/>
      <c r="C202" s="2177" t="s">
        <v>2044</v>
      </c>
      <c r="D202" s="2177"/>
      <c r="E202" s="2177"/>
      <c r="F202" s="2177"/>
      <c r="G202" s="2177"/>
      <c r="H202" s="2177"/>
      <c r="I202" s="2177"/>
      <c r="J202" s="2177"/>
      <c r="K202" s="2177"/>
      <c r="L202" s="2177"/>
      <c r="M202" s="2177"/>
      <c r="N202" s="2177"/>
      <c r="O202" s="2178" t="s">
        <v>2043</v>
      </c>
      <c r="P202" s="2178"/>
      <c r="Q202" s="2178"/>
      <c r="R202" s="2178"/>
      <c r="S202" s="2178"/>
      <c r="T202" s="2178"/>
      <c r="U202" s="2178"/>
      <c r="V202" s="2178"/>
      <c r="W202" s="2178"/>
      <c r="X202" s="2179">
        <v>0.03</v>
      </c>
      <c r="Y202" s="2179"/>
      <c r="Z202" s="2179"/>
      <c r="AA202" s="2179"/>
      <c r="AB202" s="2179"/>
      <c r="AC202" s="2179"/>
      <c r="AD202" s="2179"/>
      <c r="AE202" s="2179"/>
      <c r="AF202" s="970"/>
      <c r="AG202" s="970"/>
      <c r="AH202" s="970"/>
      <c r="AI202" s="970"/>
      <c r="AJ202" s="970"/>
      <c r="AK202" s="970"/>
      <c r="AL202" s="970"/>
      <c r="AM202" s="970"/>
      <c r="AN202" s="970"/>
      <c r="AO202" s="970"/>
      <c r="AP202" s="970"/>
      <c r="AQ202" s="970"/>
      <c r="AR202" s="970"/>
      <c r="AS202" s="970"/>
      <c r="AT202" s="970"/>
      <c r="AU202" s="970"/>
      <c r="AV202" s="970"/>
      <c r="AW202" s="970"/>
      <c r="AX202" s="970"/>
      <c r="AY202" s="970"/>
      <c r="AZ202" s="970"/>
      <c r="BA202" s="970"/>
      <c r="BB202" s="970"/>
      <c r="BC202" s="970"/>
      <c r="BD202" s="970"/>
      <c r="BE202" s="973"/>
    </row>
    <row r="203" spans="1:57" ht="15.75" customHeight="1">
      <c r="A203" s="970"/>
      <c r="B203" s="970"/>
      <c r="C203" s="2177" t="s">
        <v>2045</v>
      </c>
      <c r="D203" s="2177"/>
      <c r="E203" s="2177"/>
      <c r="F203" s="2177"/>
      <c r="G203" s="2177"/>
      <c r="H203" s="2177"/>
      <c r="I203" s="2177"/>
      <c r="J203" s="2177"/>
      <c r="K203" s="2177"/>
      <c r="L203" s="2177"/>
      <c r="M203" s="2177"/>
      <c r="N203" s="2177"/>
      <c r="O203" s="2180">
        <f>SUM(O201:W202)</f>
        <v>0</v>
      </c>
      <c r="P203" s="2181"/>
      <c r="Q203" s="2181"/>
      <c r="R203" s="2181"/>
      <c r="S203" s="2181"/>
      <c r="T203" s="2181"/>
      <c r="U203" s="2181"/>
      <c r="V203" s="2181"/>
      <c r="W203" s="2181"/>
      <c r="X203" s="2181" t="s">
        <v>2046</v>
      </c>
      <c r="Y203" s="2181"/>
      <c r="Z203" s="2181"/>
      <c r="AA203" s="2181"/>
      <c r="AB203" s="2181"/>
      <c r="AC203" s="2181"/>
      <c r="AD203" s="2181"/>
      <c r="AE203" s="2181"/>
      <c r="AF203" s="970"/>
      <c r="AG203" s="970"/>
      <c r="AH203" s="970"/>
      <c r="AI203" s="970"/>
      <c r="AJ203" s="970"/>
      <c r="AK203" s="970"/>
      <c r="AL203" s="970"/>
      <c r="AM203" s="970"/>
      <c r="AN203" s="970"/>
      <c r="AO203" s="970"/>
      <c r="AP203" s="970"/>
      <c r="AQ203" s="970"/>
      <c r="AR203" s="970"/>
      <c r="AS203" s="970"/>
      <c r="AT203" s="970"/>
      <c r="AU203" s="970"/>
      <c r="AV203" s="970"/>
      <c r="AW203" s="970"/>
      <c r="AX203" s="970"/>
      <c r="AY203" s="970"/>
      <c r="AZ203" s="970"/>
      <c r="BA203" s="970"/>
      <c r="BB203" s="970"/>
      <c r="BC203" s="970"/>
      <c r="BD203" s="970"/>
      <c r="BE203" s="973"/>
    </row>
    <row r="204" spans="1:57" ht="15.75" customHeight="1">
      <c r="A204" s="970"/>
      <c r="B204" s="970"/>
      <c r="C204" s="2187" t="s">
        <v>2047</v>
      </c>
      <c r="D204" s="2187"/>
      <c r="E204" s="2187"/>
      <c r="F204" s="2187"/>
      <c r="G204" s="2187"/>
      <c r="H204" s="2187"/>
      <c r="I204" s="2187"/>
      <c r="J204" s="2187"/>
      <c r="K204" s="2187"/>
      <c r="L204" s="2187"/>
      <c r="M204" s="2187"/>
      <c r="N204" s="2187"/>
      <c r="O204" s="2187"/>
      <c r="P204" s="2187"/>
      <c r="Q204" s="2187"/>
      <c r="R204" s="2187"/>
      <c r="S204" s="2187"/>
      <c r="T204" s="2187"/>
      <c r="U204" s="2187"/>
      <c r="V204" s="2187"/>
      <c r="W204" s="2187"/>
      <c r="X204" s="2187"/>
      <c r="Y204" s="2187"/>
      <c r="Z204" s="2187"/>
      <c r="AA204" s="2187"/>
      <c r="AB204" s="2187"/>
      <c r="AC204" s="2187"/>
      <c r="AD204" s="2187"/>
      <c r="AE204" s="2187"/>
      <c r="AF204" s="970"/>
      <c r="AG204" s="970"/>
      <c r="AH204" s="970"/>
      <c r="AI204" s="970"/>
      <c r="AJ204" s="970"/>
      <c r="AK204" s="970"/>
      <c r="AL204" s="970"/>
      <c r="AM204" s="970"/>
      <c r="AN204" s="970"/>
      <c r="AO204" s="970"/>
      <c r="AP204" s="970"/>
      <c r="AQ204" s="970"/>
      <c r="AR204" s="970"/>
      <c r="AS204" s="970"/>
      <c r="AT204" s="970"/>
      <c r="AU204" s="970"/>
      <c r="AV204" s="970"/>
      <c r="AW204" s="970"/>
      <c r="AX204" s="970"/>
      <c r="AY204" s="970"/>
      <c r="AZ204" s="970"/>
      <c r="BA204" s="970"/>
      <c r="BB204" s="970"/>
      <c r="BC204" s="970"/>
      <c r="BD204" s="970"/>
      <c r="BE204" s="973"/>
    </row>
    <row r="205" spans="1:57" ht="15.75" customHeight="1" thickBot="1">
      <c r="A205" s="970"/>
      <c r="B205" s="970"/>
      <c r="C205" s="970"/>
      <c r="D205" s="970"/>
      <c r="E205" s="970"/>
      <c r="F205" s="970"/>
      <c r="G205" s="970"/>
      <c r="H205" s="970"/>
      <c r="I205" s="970"/>
      <c r="J205" s="970"/>
      <c r="K205" s="970"/>
      <c r="L205" s="970"/>
      <c r="M205" s="970"/>
      <c r="N205" s="970"/>
      <c r="O205" s="970"/>
      <c r="P205" s="970"/>
      <c r="Q205" s="970"/>
      <c r="R205" s="970"/>
      <c r="S205" s="970"/>
      <c r="T205" s="970"/>
      <c r="U205" s="970"/>
      <c r="V205" s="970"/>
      <c r="W205" s="970"/>
      <c r="X205" s="970"/>
      <c r="Y205" s="970"/>
      <c r="Z205" s="970"/>
      <c r="AA205" s="970"/>
      <c r="AB205" s="970"/>
      <c r="AC205" s="970"/>
      <c r="AD205" s="970"/>
      <c r="AE205" s="970"/>
      <c r="AF205" s="970"/>
      <c r="AG205" s="970"/>
      <c r="AH205" s="970"/>
      <c r="AI205" s="970"/>
      <c r="AJ205" s="970"/>
      <c r="AK205" s="970"/>
      <c r="AL205" s="970"/>
      <c r="AM205" s="970"/>
      <c r="AN205" s="970"/>
      <c r="AO205" s="970"/>
      <c r="AP205" s="970"/>
      <c r="AQ205" s="970"/>
      <c r="AR205" s="970"/>
      <c r="AS205" s="970"/>
      <c r="AT205" s="970"/>
      <c r="AU205" s="970"/>
      <c r="AV205" s="970"/>
      <c r="AW205" s="970"/>
      <c r="AX205" s="970"/>
      <c r="AY205" s="970"/>
      <c r="AZ205" s="970"/>
      <c r="BA205" s="970"/>
      <c r="BB205" s="970"/>
      <c r="BC205" s="970"/>
      <c r="BD205" s="970"/>
      <c r="BE205" s="973"/>
    </row>
    <row r="206" spans="1:57" ht="15.75" customHeight="1" thickBot="1">
      <c r="A206" s="970"/>
      <c r="B206" s="970"/>
      <c r="C206" s="2188" t="s">
        <v>2048</v>
      </c>
      <c r="D206" s="2189"/>
      <c r="E206" s="2189"/>
      <c r="F206" s="2189"/>
      <c r="G206" s="2189"/>
      <c r="H206" s="2189"/>
      <c r="I206" s="2189"/>
      <c r="J206" s="2189"/>
      <c r="K206" s="2189"/>
      <c r="L206" s="2189"/>
      <c r="M206" s="2189"/>
      <c r="N206" s="2189"/>
      <c r="O206" s="2189"/>
      <c r="P206" s="2189"/>
      <c r="Q206" s="2189"/>
      <c r="R206" s="2189"/>
      <c r="S206" s="2189"/>
      <c r="T206" s="2189"/>
      <c r="U206" s="2189"/>
      <c r="V206" s="2189"/>
      <c r="W206" s="2189"/>
      <c r="X206" s="2189"/>
      <c r="Y206" s="2189"/>
      <c r="Z206" s="2189"/>
      <c r="AA206" s="2189"/>
      <c r="AB206" s="2189"/>
      <c r="AC206" s="2189"/>
      <c r="AD206" s="2189"/>
      <c r="AE206" s="2189"/>
      <c r="AF206" s="2189"/>
      <c r="AG206" s="2189"/>
      <c r="AH206" s="2189"/>
      <c r="AI206" s="2189"/>
      <c r="AJ206" s="2189"/>
      <c r="AK206" s="2190"/>
      <c r="AL206" s="970"/>
      <c r="AM206" s="970"/>
      <c r="AN206" s="970"/>
      <c r="AO206" s="970"/>
      <c r="AP206" s="970"/>
      <c r="AQ206" s="970"/>
      <c r="AR206" s="970"/>
      <c r="AS206" s="970"/>
      <c r="AT206" s="970"/>
      <c r="AU206" s="970"/>
      <c r="AV206" s="970"/>
      <c r="AW206" s="970"/>
      <c r="AX206" s="970"/>
      <c r="AY206" s="970"/>
      <c r="AZ206" s="970"/>
      <c r="BA206" s="970"/>
      <c r="BB206" s="970"/>
      <c r="BC206" s="970"/>
      <c r="BD206" s="970"/>
      <c r="BE206" s="973"/>
    </row>
    <row r="207" spans="1:57" ht="15.75" customHeight="1">
      <c r="A207" s="970"/>
      <c r="B207" s="970"/>
      <c r="C207" s="2191" t="s">
        <v>2049</v>
      </c>
      <c r="D207" s="2192"/>
      <c r="E207" s="2192"/>
      <c r="F207" s="2193"/>
      <c r="G207" s="2197" t="s">
        <v>2050</v>
      </c>
      <c r="H207" s="2192"/>
      <c r="I207" s="2192"/>
      <c r="J207" s="2192"/>
      <c r="K207" s="2192"/>
      <c r="L207" s="2192"/>
      <c r="M207" s="2192"/>
      <c r="N207" s="2192"/>
      <c r="O207" s="2193"/>
      <c r="P207" s="2199" t="s">
        <v>2051</v>
      </c>
      <c r="Q207" s="2200"/>
      <c r="R207" s="2200"/>
      <c r="S207" s="2200"/>
      <c r="T207" s="2201"/>
      <c r="U207" s="2205" t="s">
        <v>2052</v>
      </c>
      <c r="V207" s="2206"/>
      <c r="W207" s="2206"/>
      <c r="X207" s="2207"/>
      <c r="Y207" s="2205" t="s">
        <v>2053</v>
      </c>
      <c r="Z207" s="2206"/>
      <c r="AA207" s="2206"/>
      <c r="AB207" s="2207"/>
      <c r="AC207" s="2205" t="s">
        <v>2054</v>
      </c>
      <c r="AD207" s="2206"/>
      <c r="AE207" s="2206"/>
      <c r="AF207" s="2207"/>
      <c r="AG207" s="2197" t="s">
        <v>2055</v>
      </c>
      <c r="AH207" s="2192"/>
      <c r="AI207" s="2192"/>
      <c r="AJ207" s="2192"/>
      <c r="AK207" s="2211"/>
      <c r="AL207" s="970"/>
      <c r="AM207" s="970"/>
      <c r="AN207" s="970"/>
      <c r="AO207" s="970"/>
      <c r="AP207" s="970"/>
      <c r="AQ207" s="970"/>
      <c r="AR207" s="970"/>
      <c r="AS207" s="970"/>
      <c r="AT207" s="970"/>
      <c r="AU207" s="970"/>
      <c r="AV207" s="970"/>
      <c r="AW207" s="970"/>
      <c r="AX207" s="970"/>
      <c r="AY207" s="970"/>
      <c r="AZ207" s="970"/>
      <c r="BA207" s="970"/>
      <c r="BB207" s="970"/>
      <c r="BC207" s="970"/>
      <c r="BD207" s="970"/>
      <c r="BE207" s="973"/>
    </row>
    <row r="208" spans="1:57" ht="15.75" customHeight="1">
      <c r="A208" s="970"/>
      <c r="B208" s="970"/>
      <c r="C208" s="2194"/>
      <c r="D208" s="2195"/>
      <c r="E208" s="2195"/>
      <c r="F208" s="2196"/>
      <c r="G208" s="2198"/>
      <c r="H208" s="2195"/>
      <c r="I208" s="2195"/>
      <c r="J208" s="2195"/>
      <c r="K208" s="2195"/>
      <c r="L208" s="2195"/>
      <c r="M208" s="2195"/>
      <c r="N208" s="2195"/>
      <c r="O208" s="2196"/>
      <c r="P208" s="2202"/>
      <c r="Q208" s="2203"/>
      <c r="R208" s="2203"/>
      <c r="S208" s="2203"/>
      <c r="T208" s="2204"/>
      <c r="U208" s="2208"/>
      <c r="V208" s="2209"/>
      <c r="W208" s="2209"/>
      <c r="X208" s="2210"/>
      <c r="Y208" s="2208"/>
      <c r="Z208" s="2209"/>
      <c r="AA208" s="2209"/>
      <c r="AB208" s="2210"/>
      <c r="AC208" s="2208"/>
      <c r="AD208" s="2209"/>
      <c r="AE208" s="2209"/>
      <c r="AF208" s="2210"/>
      <c r="AG208" s="2198"/>
      <c r="AH208" s="2195"/>
      <c r="AI208" s="2195"/>
      <c r="AJ208" s="2195"/>
      <c r="AK208" s="2212"/>
      <c r="AL208" s="970"/>
      <c r="AM208" s="970"/>
      <c r="AN208" s="970"/>
      <c r="AO208" s="970"/>
      <c r="AP208" s="970"/>
      <c r="AQ208" s="970"/>
      <c r="AR208" s="970"/>
      <c r="AS208" s="970"/>
      <c r="AT208" s="970"/>
      <c r="AU208" s="970"/>
      <c r="AV208" s="970"/>
      <c r="AW208" s="970"/>
      <c r="AX208" s="970"/>
      <c r="AY208" s="970"/>
      <c r="AZ208" s="970"/>
      <c r="BA208" s="970"/>
      <c r="BB208" s="970"/>
      <c r="BC208" s="970"/>
      <c r="BD208" s="970"/>
      <c r="BE208" s="973"/>
    </row>
    <row r="209" spans="1:57" ht="15.75" customHeight="1">
      <c r="A209" s="970"/>
      <c r="B209" s="970"/>
      <c r="C209" s="2216">
        <v>1</v>
      </c>
      <c r="D209" s="2217"/>
      <c r="E209" s="2217"/>
      <c r="F209" s="2217"/>
      <c r="G209" s="2218" t="s">
        <v>2056</v>
      </c>
      <c r="H209" s="2218"/>
      <c r="I209" s="2218"/>
      <c r="J209" s="2218"/>
      <c r="K209" s="2218"/>
      <c r="L209" s="2218"/>
      <c r="M209" s="2218"/>
      <c r="N209" s="2218"/>
      <c r="O209" s="2218"/>
      <c r="P209" s="2219"/>
      <c r="Q209" s="2222"/>
      <c r="R209" s="2222"/>
      <c r="S209" s="2222"/>
      <c r="T209" s="2222"/>
      <c r="U209" s="2220" t="s">
        <v>2056</v>
      </c>
      <c r="V209" s="2220"/>
      <c r="W209" s="2220"/>
      <c r="X209" s="2220"/>
      <c r="Y209" s="2220" t="s">
        <v>2056</v>
      </c>
      <c r="Z209" s="2220"/>
      <c r="AA209" s="2220"/>
      <c r="AB209" s="2220"/>
      <c r="AC209" s="2221" t="s">
        <v>2056</v>
      </c>
      <c r="AD209" s="2221"/>
      <c r="AE209" s="2221"/>
      <c r="AF209" s="2221"/>
      <c r="AG209" s="2213"/>
      <c r="AH209" s="2214"/>
      <c r="AI209" s="2214"/>
      <c r="AJ209" s="2214"/>
      <c r="AK209" s="2215"/>
      <c r="AL209" s="970"/>
      <c r="AM209" s="970"/>
      <c r="AN209" s="970"/>
      <c r="AO209" s="970"/>
      <c r="AP209" s="970"/>
      <c r="AQ209" s="970"/>
      <c r="AR209" s="970"/>
      <c r="AS209" s="970"/>
      <c r="AT209" s="970"/>
      <c r="AU209" s="970"/>
      <c r="AV209" s="970"/>
      <c r="AW209" s="970"/>
      <c r="AX209" s="970"/>
      <c r="AY209" s="970"/>
      <c r="AZ209" s="970"/>
      <c r="BA209" s="970"/>
      <c r="BB209" s="970"/>
      <c r="BC209" s="970"/>
      <c r="BD209" s="970"/>
      <c r="BE209" s="973"/>
    </row>
    <row r="210" spans="1:57" ht="15.75" customHeight="1">
      <c r="A210" s="970"/>
      <c r="B210" s="970"/>
      <c r="C210" s="2216">
        <v>2</v>
      </c>
      <c r="D210" s="2217"/>
      <c r="E210" s="2217"/>
      <c r="F210" s="2217"/>
      <c r="G210" s="2218" t="s">
        <v>2056</v>
      </c>
      <c r="H210" s="2218"/>
      <c r="I210" s="2218"/>
      <c r="J210" s="2218"/>
      <c r="K210" s="2218"/>
      <c r="L210" s="2218"/>
      <c r="M210" s="2218"/>
      <c r="N210" s="2218"/>
      <c r="O210" s="2218"/>
      <c r="P210" s="2219"/>
      <c r="Q210" s="2219"/>
      <c r="R210" s="2219"/>
      <c r="S210" s="2219"/>
      <c r="T210" s="2219"/>
      <c r="U210" s="2220" t="s">
        <v>2056</v>
      </c>
      <c r="V210" s="2220"/>
      <c r="W210" s="2220"/>
      <c r="X210" s="2220"/>
      <c r="Y210" s="2220" t="s">
        <v>2056</v>
      </c>
      <c r="Z210" s="2220"/>
      <c r="AA210" s="2220"/>
      <c r="AB210" s="2220"/>
      <c r="AC210" s="2221" t="s">
        <v>2056</v>
      </c>
      <c r="AD210" s="2221"/>
      <c r="AE210" s="2221"/>
      <c r="AF210" s="2221"/>
      <c r="AG210" s="2213"/>
      <c r="AH210" s="2214"/>
      <c r="AI210" s="2214"/>
      <c r="AJ210" s="2214"/>
      <c r="AK210" s="2215"/>
      <c r="AL210" s="970"/>
      <c r="AM210" s="970"/>
      <c r="AN210" s="970"/>
      <c r="AO210" s="970"/>
      <c r="AP210" s="970"/>
      <c r="AQ210" s="970"/>
      <c r="AR210" s="970"/>
      <c r="AS210" s="970"/>
      <c r="AT210" s="970"/>
      <c r="AU210" s="970"/>
      <c r="AV210" s="970"/>
      <c r="AW210" s="970"/>
      <c r="AX210" s="970"/>
      <c r="AY210" s="970"/>
      <c r="AZ210" s="970"/>
      <c r="BA210" s="970"/>
      <c r="BB210" s="970"/>
      <c r="BC210" s="970"/>
      <c r="BD210" s="970"/>
      <c r="BE210" s="973"/>
    </row>
    <row r="211" spans="1:57" ht="15.75" customHeight="1">
      <c r="A211" s="970"/>
      <c r="B211" s="970"/>
      <c r="C211" s="2216">
        <v>3</v>
      </c>
      <c r="D211" s="2217"/>
      <c r="E211" s="2217"/>
      <c r="F211" s="2217"/>
      <c r="G211" s="2218" t="s">
        <v>2056</v>
      </c>
      <c r="H211" s="2218"/>
      <c r="I211" s="2218"/>
      <c r="J211" s="2218"/>
      <c r="K211" s="2218"/>
      <c r="L211" s="2218"/>
      <c r="M211" s="2218"/>
      <c r="N211" s="2218"/>
      <c r="O211" s="2218"/>
      <c r="P211" s="2219"/>
      <c r="Q211" s="2219"/>
      <c r="R211" s="2219"/>
      <c r="S211" s="2219"/>
      <c r="T211" s="2219"/>
      <c r="U211" s="2220" t="s">
        <v>2056</v>
      </c>
      <c r="V211" s="2220"/>
      <c r="W211" s="2220"/>
      <c r="X211" s="2220"/>
      <c r="Y211" s="2220" t="s">
        <v>2056</v>
      </c>
      <c r="Z211" s="2220"/>
      <c r="AA211" s="2220"/>
      <c r="AB211" s="2220"/>
      <c r="AC211" s="2221" t="s">
        <v>2056</v>
      </c>
      <c r="AD211" s="2221"/>
      <c r="AE211" s="2221"/>
      <c r="AF211" s="2221"/>
      <c r="AG211" s="2213"/>
      <c r="AH211" s="2214"/>
      <c r="AI211" s="2214"/>
      <c r="AJ211" s="2214"/>
      <c r="AK211" s="2215"/>
      <c r="AL211" s="970"/>
      <c r="AM211" s="970"/>
      <c r="AN211" s="970"/>
      <c r="AO211" s="970"/>
      <c r="AP211" s="970"/>
      <c r="AQ211" s="970"/>
      <c r="AR211" s="970"/>
      <c r="AS211" s="970"/>
      <c r="AT211" s="970"/>
      <c r="AU211" s="970"/>
      <c r="AV211" s="970"/>
      <c r="AW211" s="970"/>
      <c r="AX211" s="970"/>
      <c r="AY211" s="970"/>
      <c r="AZ211" s="970"/>
      <c r="BA211" s="970"/>
      <c r="BB211" s="970"/>
      <c r="BC211" s="970"/>
      <c r="BD211" s="970"/>
      <c r="BE211" s="973"/>
    </row>
    <row r="212" spans="1:57" ht="15.75" customHeight="1">
      <c r="A212" s="970"/>
      <c r="B212" s="970"/>
      <c r="C212" s="2216">
        <v>4</v>
      </c>
      <c r="D212" s="2217"/>
      <c r="E212" s="2217"/>
      <c r="F212" s="2217"/>
      <c r="G212" s="2218" t="s">
        <v>2056</v>
      </c>
      <c r="H212" s="2218"/>
      <c r="I212" s="2218"/>
      <c r="J212" s="2218"/>
      <c r="K212" s="2218"/>
      <c r="L212" s="2218"/>
      <c r="M212" s="2218"/>
      <c r="N212" s="2218"/>
      <c r="O212" s="2218"/>
      <c r="P212" s="2219"/>
      <c r="Q212" s="2219"/>
      <c r="R212" s="2219"/>
      <c r="S212" s="2219"/>
      <c r="T212" s="2219"/>
      <c r="U212" s="2220" t="s">
        <v>2056</v>
      </c>
      <c r="V212" s="2220"/>
      <c r="W212" s="2220"/>
      <c r="X212" s="2220"/>
      <c r="Y212" s="2220" t="s">
        <v>2056</v>
      </c>
      <c r="Z212" s="2220"/>
      <c r="AA212" s="2220"/>
      <c r="AB212" s="2220"/>
      <c r="AC212" s="2221" t="s">
        <v>2056</v>
      </c>
      <c r="AD212" s="2221"/>
      <c r="AE212" s="2221"/>
      <c r="AF212" s="2221"/>
      <c r="AG212" s="2213"/>
      <c r="AH212" s="2214"/>
      <c r="AI212" s="2214"/>
      <c r="AJ212" s="2214"/>
      <c r="AK212" s="2215"/>
      <c r="AL212" s="970"/>
      <c r="AM212" s="970"/>
      <c r="AN212" s="970"/>
      <c r="AO212" s="970"/>
      <c r="AP212" s="970"/>
      <c r="AQ212" s="970"/>
      <c r="AR212" s="970"/>
      <c r="AS212" s="970"/>
      <c r="AT212" s="970"/>
      <c r="AU212" s="970"/>
      <c r="AV212" s="970"/>
      <c r="AW212" s="970"/>
      <c r="AX212" s="970"/>
      <c r="AY212" s="970"/>
      <c r="AZ212" s="970"/>
      <c r="BA212" s="970"/>
      <c r="BB212" s="970"/>
      <c r="BC212" s="970"/>
      <c r="BD212" s="970"/>
      <c r="BE212" s="973"/>
    </row>
    <row r="213" spans="1:57" ht="15.75" customHeight="1">
      <c r="A213" s="970"/>
      <c r="B213" s="970"/>
      <c r="C213" s="2216">
        <v>5</v>
      </c>
      <c r="D213" s="2217"/>
      <c r="E213" s="2217"/>
      <c r="F213" s="2217"/>
      <c r="G213" s="2218" t="s">
        <v>2056</v>
      </c>
      <c r="H213" s="2218"/>
      <c r="I213" s="2218"/>
      <c r="J213" s="2218"/>
      <c r="K213" s="2218"/>
      <c r="L213" s="2218"/>
      <c r="M213" s="2218"/>
      <c r="N213" s="2218"/>
      <c r="O213" s="2218"/>
      <c r="P213" s="2219"/>
      <c r="Q213" s="2219"/>
      <c r="R213" s="2219"/>
      <c r="S213" s="2219"/>
      <c r="T213" s="2219"/>
      <c r="U213" s="2220" t="s">
        <v>2056</v>
      </c>
      <c r="V213" s="2220"/>
      <c r="W213" s="2220"/>
      <c r="X213" s="2220"/>
      <c r="Y213" s="2220" t="s">
        <v>2056</v>
      </c>
      <c r="Z213" s="2220"/>
      <c r="AA213" s="2220"/>
      <c r="AB213" s="2220"/>
      <c r="AC213" s="2221" t="s">
        <v>2056</v>
      </c>
      <c r="AD213" s="2221"/>
      <c r="AE213" s="2221"/>
      <c r="AF213" s="2221"/>
      <c r="AG213" s="2213"/>
      <c r="AH213" s="2214"/>
      <c r="AI213" s="2214"/>
      <c r="AJ213" s="2214"/>
      <c r="AK213" s="2215"/>
      <c r="AL213" s="970"/>
      <c r="AM213" s="970"/>
      <c r="AN213" s="970"/>
      <c r="AO213" s="970"/>
      <c r="AP213" s="970"/>
      <c r="AQ213" s="970"/>
      <c r="AR213" s="970"/>
      <c r="AS213" s="970"/>
      <c r="AT213" s="970"/>
      <c r="AU213" s="970"/>
      <c r="AV213" s="970"/>
      <c r="AW213" s="970"/>
      <c r="AX213" s="970"/>
      <c r="AY213" s="970"/>
      <c r="AZ213" s="970"/>
      <c r="BA213" s="970"/>
      <c r="BB213" s="970"/>
      <c r="BC213" s="970"/>
      <c r="BD213" s="970"/>
      <c r="BE213" s="973"/>
    </row>
    <row r="214" spans="1:57" ht="15.75" customHeight="1">
      <c r="A214" s="970"/>
      <c r="B214" s="970"/>
      <c r="C214" s="2216">
        <v>6</v>
      </c>
      <c r="D214" s="2217"/>
      <c r="E214" s="2217"/>
      <c r="F214" s="2217"/>
      <c r="G214" s="2218" t="s">
        <v>2056</v>
      </c>
      <c r="H214" s="2218"/>
      <c r="I214" s="2218"/>
      <c r="J214" s="2218"/>
      <c r="K214" s="2218"/>
      <c r="L214" s="2218"/>
      <c r="M214" s="2218"/>
      <c r="N214" s="2218"/>
      <c r="O214" s="2218"/>
      <c r="P214" s="2219"/>
      <c r="Q214" s="2219"/>
      <c r="R214" s="2219"/>
      <c r="S214" s="2219"/>
      <c r="T214" s="2219"/>
      <c r="U214" s="2220"/>
      <c r="V214" s="2220"/>
      <c r="W214" s="2220"/>
      <c r="X214" s="2220"/>
      <c r="Y214" s="2220"/>
      <c r="Z214" s="2220"/>
      <c r="AA214" s="2220"/>
      <c r="AB214" s="2220"/>
      <c r="AC214" s="2221" t="s">
        <v>2056</v>
      </c>
      <c r="AD214" s="2221"/>
      <c r="AE214" s="2221"/>
      <c r="AF214" s="2221"/>
      <c r="AG214" s="2213"/>
      <c r="AH214" s="2214"/>
      <c r="AI214" s="2214"/>
      <c r="AJ214" s="2214"/>
      <c r="AK214" s="2215"/>
      <c r="AL214" s="970"/>
      <c r="AM214" s="970"/>
      <c r="AN214" s="970"/>
      <c r="AO214" s="970"/>
      <c r="AP214" s="970"/>
      <c r="AQ214" s="970"/>
      <c r="AR214" s="970"/>
      <c r="AS214" s="970"/>
      <c r="AT214" s="970"/>
      <c r="AU214" s="970"/>
      <c r="AV214" s="970"/>
      <c r="AW214" s="970"/>
      <c r="AX214" s="970"/>
      <c r="AY214" s="970"/>
      <c r="AZ214" s="970"/>
      <c r="BA214" s="970"/>
      <c r="BB214" s="970"/>
      <c r="BC214" s="970"/>
      <c r="BD214" s="970"/>
      <c r="BE214" s="973"/>
    </row>
    <row r="215" spans="1:57" ht="15.75" customHeight="1">
      <c r="A215" s="970"/>
      <c r="B215" s="970"/>
      <c r="C215" s="2216">
        <v>7</v>
      </c>
      <c r="D215" s="2217"/>
      <c r="E215" s="2217"/>
      <c r="F215" s="2217"/>
      <c r="G215" s="2218"/>
      <c r="H215" s="2218"/>
      <c r="I215" s="2218"/>
      <c r="J215" s="2218"/>
      <c r="K215" s="2218"/>
      <c r="L215" s="2218"/>
      <c r="M215" s="2218"/>
      <c r="N215" s="2218"/>
      <c r="O215" s="2218"/>
      <c r="P215" s="2219"/>
      <c r="Q215" s="2219"/>
      <c r="R215" s="2219"/>
      <c r="S215" s="2219"/>
      <c r="T215" s="2219"/>
      <c r="U215" s="2220"/>
      <c r="V215" s="2220"/>
      <c r="W215" s="2220"/>
      <c r="X215" s="2220"/>
      <c r="Y215" s="2220"/>
      <c r="Z215" s="2220"/>
      <c r="AA215" s="2220"/>
      <c r="AB215" s="2220"/>
      <c r="AC215" s="2221" t="s">
        <v>2056</v>
      </c>
      <c r="AD215" s="2221"/>
      <c r="AE215" s="2221"/>
      <c r="AF215" s="2221"/>
      <c r="AG215" s="2213"/>
      <c r="AH215" s="2214"/>
      <c r="AI215" s="2214"/>
      <c r="AJ215" s="2214"/>
      <c r="AK215" s="2215"/>
      <c r="AL215" s="970"/>
      <c r="AM215" s="970"/>
      <c r="AN215" s="970"/>
      <c r="AO215" s="970"/>
      <c r="AP215" s="970"/>
      <c r="AQ215" s="970"/>
      <c r="AR215" s="970"/>
      <c r="AS215" s="970"/>
      <c r="AT215" s="970"/>
      <c r="AU215" s="970"/>
      <c r="AV215" s="970"/>
      <c r="AW215" s="970"/>
      <c r="AX215" s="970"/>
      <c r="AY215" s="970"/>
      <c r="AZ215" s="970"/>
      <c r="BA215" s="970"/>
      <c r="BB215" s="970"/>
      <c r="BC215" s="970"/>
      <c r="BD215" s="970"/>
      <c r="BE215" s="973"/>
    </row>
    <row r="216" spans="1:57" ht="15.75" customHeight="1">
      <c r="A216" s="970"/>
      <c r="B216" s="970"/>
      <c r="C216" s="2235" t="s">
        <v>2057</v>
      </c>
      <c r="D216" s="2236"/>
      <c r="E216" s="2236"/>
      <c r="F216" s="2236"/>
      <c r="G216" s="2236"/>
      <c r="H216" s="2236"/>
      <c r="I216" s="2236"/>
      <c r="J216" s="2236"/>
      <c r="K216" s="2236"/>
      <c r="L216" s="2236"/>
      <c r="M216" s="2236"/>
      <c r="N216" s="2236"/>
      <c r="O216" s="2236"/>
      <c r="P216" s="2237"/>
      <c r="Q216" s="2237"/>
      <c r="R216" s="2237"/>
      <c r="S216" s="2237"/>
      <c r="T216" s="2237"/>
      <c r="U216" s="2238">
        <f>-SUM(U209:U215)</f>
        <v>0</v>
      </c>
      <c r="V216" s="2238"/>
      <c r="W216" s="2238"/>
      <c r="X216" s="2238"/>
      <c r="Y216" s="2238">
        <f>-SUM(Y209:Y215)</f>
        <v>0</v>
      </c>
      <c r="Z216" s="2238"/>
      <c r="AA216" s="2238"/>
      <c r="AB216" s="2238"/>
      <c r="AC216" s="2239">
        <f>-SUM(AC209:AC215)</f>
        <v>0</v>
      </c>
      <c r="AD216" s="2239"/>
      <c r="AE216" s="2239"/>
      <c r="AF216" s="2239"/>
      <c r="AG216" s="2240"/>
      <c r="AH216" s="2241"/>
      <c r="AI216" s="2241"/>
      <c r="AJ216" s="2241"/>
      <c r="AK216" s="2242"/>
      <c r="AL216" s="970"/>
      <c r="AM216" s="970"/>
      <c r="AN216" s="970"/>
      <c r="AO216" s="970"/>
      <c r="AP216" s="970"/>
      <c r="AQ216" s="970"/>
      <c r="AR216" s="970"/>
      <c r="AS216" s="970"/>
      <c r="AT216" s="970"/>
      <c r="AU216" s="970"/>
      <c r="AV216" s="970"/>
      <c r="AW216" s="970"/>
      <c r="AX216" s="970"/>
      <c r="AY216" s="970"/>
      <c r="AZ216" s="970"/>
      <c r="BA216" s="970"/>
      <c r="BB216" s="970"/>
      <c r="BC216" s="970"/>
      <c r="BD216" s="970"/>
      <c r="BE216" s="973"/>
    </row>
    <row r="217" spans="1:57" ht="15.75" customHeight="1">
      <c r="A217" s="970"/>
      <c r="B217" s="970"/>
      <c r="C217" s="970" t="s">
        <v>2058</v>
      </c>
      <c r="D217" s="970"/>
      <c r="E217" s="970"/>
      <c r="F217" s="970"/>
      <c r="G217" s="970"/>
      <c r="H217" s="970"/>
      <c r="I217" s="970"/>
      <c r="J217" s="970"/>
      <c r="K217" s="970"/>
      <c r="L217" s="970"/>
      <c r="M217" s="970"/>
      <c r="N217" s="970"/>
      <c r="O217" s="970"/>
      <c r="P217" s="970"/>
      <c r="Q217" s="970"/>
      <c r="R217" s="970"/>
      <c r="S217" s="970"/>
      <c r="T217" s="970"/>
      <c r="U217" s="970"/>
      <c r="V217" s="970"/>
      <c r="W217" s="970"/>
      <c r="X217" s="970"/>
      <c r="Y217" s="970"/>
      <c r="Z217" s="970"/>
      <c r="AA217" s="970"/>
      <c r="AB217" s="970"/>
      <c r="AC217" s="970"/>
      <c r="AD217" s="970"/>
      <c r="AE217" s="970"/>
      <c r="AF217" s="970"/>
      <c r="AG217" s="970"/>
      <c r="AH217" s="970"/>
      <c r="AI217" s="970"/>
      <c r="AJ217" s="970"/>
      <c r="AK217" s="970"/>
      <c r="AL217" s="970"/>
      <c r="AM217" s="970"/>
      <c r="AN217" s="970"/>
      <c r="AO217" s="970"/>
      <c r="AP217" s="970"/>
      <c r="AQ217" s="970"/>
      <c r="AR217" s="970"/>
      <c r="AS217" s="970"/>
      <c r="AT217" s="970"/>
      <c r="AU217" s="970"/>
      <c r="AV217" s="970"/>
      <c r="AW217" s="970"/>
      <c r="AX217" s="970"/>
      <c r="AY217" s="970"/>
      <c r="AZ217" s="970"/>
      <c r="BA217" s="970"/>
      <c r="BB217" s="970"/>
      <c r="BC217" s="970"/>
      <c r="BD217" s="970"/>
      <c r="BE217" s="973"/>
    </row>
    <row r="218" spans="1:57" ht="15.75" customHeight="1">
      <c r="A218" s="970"/>
      <c r="B218" s="970"/>
      <c r="C218" s="970"/>
      <c r="D218" s="970"/>
      <c r="E218" s="970"/>
      <c r="F218" s="970"/>
      <c r="G218" s="970"/>
      <c r="H218" s="970"/>
      <c r="I218" s="970"/>
      <c r="J218" s="970"/>
      <c r="K218" s="970"/>
      <c r="L218" s="970"/>
      <c r="M218" s="970"/>
      <c r="N218" s="970"/>
      <c r="O218" s="970"/>
      <c r="P218" s="970"/>
      <c r="Q218" s="970"/>
      <c r="R218" s="970"/>
      <c r="S218" s="970"/>
      <c r="T218" s="970"/>
      <c r="U218" s="970"/>
      <c r="V218" s="970"/>
      <c r="W218" s="970"/>
      <c r="X218" s="970"/>
      <c r="Y218" s="970"/>
      <c r="Z218" s="970"/>
      <c r="AA218" s="970"/>
      <c r="AB218" s="970"/>
      <c r="AC218" s="970"/>
      <c r="AD218" s="970"/>
      <c r="AE218" s="970"/>
      <c r="AF218" s="970"/>
      <c r="AG218" s="970"/>
      <c r="AH218" s="970"/>
      <c r="AI218" s="970"/>
      <c r="AJ218" s="970"/>
      <c r="AK218" s="970"/>
      <c r="AL218" s="970"/>
      <c r="AM218" s="970"/>
      <c r="AN218" s="970"/>
      <c r="AO218" s="970"/>
      <c r="AP218" s="970"/>
      <c r="AQ218" s="970"/>
      <c r="AR218" s="970"/>
      <c r="AS218" s="970"/>
      <c r="AT218" s="970"/>
      <c r="AU218" s="970"/>
      <c r="AV218" s="970"/>
      <c r="AW218" s="970"/>
      <c r="AX218" s="970"/>
      <c r="AY218" s="970"/>
      <c r="AZ218" s="970"/>
      <c r="BA218" s="970"/>
      <c r="BB218" s="970"/>
      <c r="BC218" s="970"/>
      <c r="BD218" s="970"/>
      <c r="BE218" s="973"/>
    </row>
    <row r="219" spans="1:57" ht="15.75" customHeight="1">
      <c r="A219" s="970"/>
      <c r="B219" s="970"/>
      <c r="C219" s="970"/>
      <c r="D219" s="970"/>
      <c r="E219" s="970"/>
      <c r="F219" s="970"/>
      <c r="G219" s="970"/>
      <c r="H219" s="970"/>
      <c r="I219" s="970"/>
      <c r="J219" s="970"/>
      <c r="K219" s="970"/>
      <c r="L219" s="970"/>
      <c r="M219" s="970"/>
      <c r="N219" s="970"/>
      <c r="O219" s="970"/>
      <c r="P219" s="970"/>
      <c r="Q219" s="970"/>
      <c r="R219" s="970"/>
      <c r="S219" s="970"/>
      <c r="T219" s="970"/>
      <c r="U219" s="970"/>
      <c r="V219" s="970"/>
      <c r="W219" s="970"/>
      <c r="X219" s="970"/>
      <c r="Y219" s="970"/>
      <c r="Z219" s="970"/>
      <c r="AA219" s="970"/>
      <c r="AB219" s="970"/>
      <c r="AC219" s="970"/>
      <c r="AD219" s="970"/>
      <c r="AE219" s="970"/>
      <c r="AF219" s="970"/>
      <c r="AG219" s="970"/>
      <c r="AH219" s="970"/>
      <c r="AI219" s="970"/>
      <c r="AJ219" s="970"/>
      <c r="AK219" s="970"/>
      <c r="AL219" s="970"/>
      <c r="AM219" s="970"/>
      <c r="AN219" s="970"/>
      <c r="AO219" s="970"/>
      <c r="AP219" s="970"/>
      <c r="AQ219" s="970"/>
      <c r="AR219" s="970"/>
      <c r="AS219" s="970"/>
      <c r="AT219" s="970"/>
      <c r="AU219" s="970"/>
      <c r="AV219" s="970"/>
      <c r="AW219" s="970"/>
      <c r="AX219" s="970"/>
      <c r="AY219" s="970"/>
      <c r="AZ219" s="970"/>
      <c r="BA219" s="970"/>
      <c r="BB219" s="970"/>
      <c r="BC219" s="970"/>
      <c r="BD219" s="970"/>
      <c r="BE219" s="973"/>
    </row>
    <row r="220" spans="1:57" ht="15.75" customHeight="1" thickBot="1">
      <c r="A220" s="970"/>
      <c r="B220" s="970"/>
      <c r="C220" s="970"/>
      <c r="D220" s="970"/>
      <c r="E220" s="970"/>
      <c r="F220" s="970"/>
      <c r="G220" s="970"/>
      <c r="H220" s="970"/>
      <c r="I220" s="970"/>
      <c r="J220" s="970"/>
      <c r="K220" s="970"/>
      <c r="L220" s="970"/>
      <c r="M220" s="970"/>
      <c r="N220" s="970"/>
      <c r="O220" s="970"/>
      <c r="P220" s="970"/>
      <c r="Q220" s="970"/>
      <c r="R220" s="970"/>
      <c r="S220" s="970"/>
      <c r="T220" s="970"/>
      <c r="U220" s="970"/>
      <c r="V220" s="970"/>
      <c r="W220" s="970"/>
      <c r="X220" s="970"/>
      <c r="Y220" s="970"/>
      <c r="Z220" s="970"/>
      <c r="AA220" s="970"/>
      <c r="AB220" s="970"/>
      <c r="AC220" s="970"/>
      <c r="AD220" s="970"/>
      <c r="AE220" s="970"/>
      <c r="AF220" s="970"/>
      <c r="AG220" s="970"/>
      <c r="AH220" s="970"/>
      <c r="AI220" s="970"/>
      <c r="AJ220" s="970"/>
      <c r="AK220" s="970"/>
      <c r="AL220" s="970"/>
      <c r="AM220" s="970"/>
      <c r="AN220" s="970"/>
      <c r="AO220" s="970"/>
      <c r="AP220" s="970"/>
      <c r="AQ220" s="970"/>
      <c r="AR220" s="970"/>
      <c r="AS220" s="970"/>
      <c r="AT220" s="970"/>
      <c r="AU220" s="970"/>
      <c r="AV220" s="970"/>
      <c r="AW220" s="970"/>
      <c r="AX220" s="970"/>
      <c r="AY220" s="970"/>
      <c r="AZ220" s="970"/>
      <c r="BA220" s="970"/>
      <c r="BB220" s="970"/>
      <c r="BC220" s="970"/>
      <c r="BD220" s="970"/>
      <c r="BE220" s="973"/>
    </row>
    <row r="221" spans="1:57" ht="15.75" customHeight="1">
      <c r="A221" s="970"/>
      <c r="B221" s="2223" t="s">
        <v>2059</v>
      </c>
      <c r="C221" s="2224"/>
      <c r="D221" s="2224"/>
      <c r="E221" s="2224"/>
      <c r="F221" s="2224"/>
      <c r="G221" s="2224"/>
      <c r="H221" s="2224"/>
      <c r="I221" s="2224"/>
      <c r="J221" s="2224"/>
      <c r="K221" s="2224"/>
      <c r="L221" s="2224"/>
      <c r="M221" s="2224"/>
      <c r="N221" s="2224"/>
      <c r="O221" s="2224"/>
      <c r="P221" s="2224"/>
      <c r="Q221" s="2224"/>
      <c r="R221" s="2224"/>
      <c r="S221" s="2224"/>
      <c r="T221" s="2224"/>
      <c r="U221" s="2224"/>
      <c r="V221" s="2224"/>
      <c r="W221" s="2224"/>
      <c r="X221" s="2224"/>
      <c r="Y221" s="2224"/>
      <c r="Z221" s="2224"/>
      <c r="AA221" s="2224"/>
      <c r="AB221" s="2224"/>
      <c r="AC221" s="2224"/>
      <c r="AD221" s="2224"/>
      <c r="AE221" s="2224"/>
      <c r="AF221" s="2224"/>
      <c r="AG221" s="2224"/>
      <c r="AH221" s="2224"/>
      <c r="AI221" s="2224"/>
      <c r="AJ221" s="2224"/>
      <c r="AK221" s="2224"/>
      <c r="AL221" s="2224"/>
      <c r="AM221" s="2224"/>
      <c r="AN221" s="2224"/>
      <c r="AO221" s="2224"/>
      <c r="AP221" s="2224"/>
      <c r="AQ221" s="2224"/>
      <c r="AR221" s="2224"/>
      <c r="AS221" s="2224"/>
      <c r="AT221" s="2224"/>
      <c r="AU221" s="2224"/>
      <c r="AV221" s="2224"/>
      <c r="AW221" s="2224"/>
      <c r="AX221" s="2224"/>
      <c r="AY221" s="2224"/>
      <c r="AZ221" s="2224"/>
      <c r="BA221" s="2224"/>
      <c r="BB221" s="2224"/>
      <c r="BC221" s="2224"/>
      <c r="BD221" s="2225"/>
      <c r="BE221" s="973"/>
    </row>
    <row r="222" spans="1:57" ht="15.75" customHeight="1">
      <c r="A222" s="970"/>
      <c r="B222" s="2226"/>
      <c r="C222" s="2227"/>
      <c r="D222" s="2227"/>
      <c r="E222" s="2227"/>
      <c r="F222" s="2227"/>
      <c r="G222" s="2227"/>
      <c r="H222" s="2227"/>
      <c r="I222" s="2227"/>
      <c r="J222" s="2227"/>
      <c r="K222" s="2227"/>
      <c r="L222" s="2227"/>
      <c r="M222" s="2227"/>
      <c r="N222" s="2227"/>
      <c r="O222" s="2227"/>
      <c r="P222" s="2227"/>
      <c r="Q222" s="2227"/>
      <c r="R222" s="2227"/>
      <c r="S222" s="2227"/>
      <c r="T222" s="2227"/>
      <c r="U222" s="2227"/>
      <c r="V222" s="2227"/>
      <c r="W222" s="2227"/>
      <c r="X222" s="2227"/>
      <c r="Y222" s="2227"/>
      <c r="Z222" s="2227"/>
      <c r="AA222" s="2227"/>
      <c r="AB222" s="2227"/>
      <c r="AC222" s="2227"/>
      <c r="AD222" s="2227"/>
      <c r="AE222" s="2227"/>
      <c r="AF222" s="2227"/>
      <c r="AG222" s="2227"/>
      <c r="AH222" s="2227"/>
      <c r="AI222" s="2227"/>
      <c r="AJ222" s="2227"/>
      <c r="AK222" s="2227"/>
      <c r="AL222" s="2227"/>
      <c r="AM222" s="2227"/>
      <c r="AN222" s="2227"/>
      <c r="AO222" s="2227"/>
      <c r="AP222" s="2227"/>
      <c r="AQ222" s="2227"/>
      <c r="AR222" s="2227"/>
      <c r="AS222" s="2227"/>
      <c r="AT222" s="2227"/>
      <c r="AU222" s="2227"/>
      <c r="AV222" s="2227"/>
      <c r="AW222" s="2227"/>
      <c r="AX222" s="2227"/>
      <c r="AY222" s="2227"/>
      <c r="AZ222" s="2227"/>
      <c r="BA222" s="2227"/>
      <c r="BB222" s="2227"/>
      <c r="BC222" s="2227"/>
      <c r="BD222" s="2228"/>
      <c r="BE222" s="973"/>
    </row>
    <row r="223" spans="1:57" ht="15.75" customHeight="1">
      <c r="A223" s="970"/>
      <c r="B223" s="2229" t="s">
        <v>2060</v>
      </c>
      <c r="C223" s="2230"/>
      <c r="D223" s="2230"/>
      <c r="E223" s="2230"/>
      <c r="F223" s="2230"/>
      <c r="G223" s="2230"/>
      <c r="H223" s="2230"/>
      <c r="I223" s="2230"/>
      <c r="J223" s="2230"/>
      <c r="K223" s="2230"/>
      <c r="L223" s="2230"/>
      <c r="M223" s="2230"/>
      <c r="N223" s="2230"/>
      <c r="O223" s="2230"/>
      <c r="P223" s="2230"/>
      <c r="Q223" s="2230"/>
      <c r="R223" s="2230"/>
      <c r="S223" s="2230"/>
      <c r="T223" s="2230"/>
      <c r="U223" s="2230"/>
      <c r="V223" s="2230"/>
      <c r="W223" s="2230"/>
      <c r="X223" s="2230"/>
      <c r="Y223" s="2230"/>
      <c r="Z223" s="2230"/>
      <c r="AA223" s="2230"/>
      <c r="AB223" s="2230"/>
      <c r="AC223" s="2230"/>
      <c r="AD223" s="2230"/>
      <c r="AE223" s="2230"/>
      <c r="AF223" s="2230"/>
      <c r="AG223" s="2230"/>
      <c r="AH223" s="2230"/>
      <c r="AI223" s="2230"/>
      <c r="AJ223" s="2230"/>
      <c r="AK223" s="2230"/>
      <c r="AL223" s="2230"/>
      <c r="AM223" s="2230"/>
      <c r="AN223" s="2230"/>
      <c r="AO223" s="2230"/>
      <c r="AP223" s="2230"/>
      <c r="AQ223" s="2230"/>
      <c r="AR223" s="2230"/>
      <c r="AS223" s="2230"/>
      <c r="AT223" s="2230"/>
      <c r="AU223" s="2230"/>
      <c r="AV223" s="2230"/>
      <c r="AW223" s="2230"/>
      <c r="AX223" s="2230"/>
      <c r="AY223" s="2230"/>
      <c r="AZ223" s="2230"/>
      <c r="BA223" s="2230"/>
      <c r="BB223" s="2230"/>
      <c r="BC223" s="2230"/>
      <c r="BD223" s="2231"/>
      <c r="BE223" s="973"/>
    </row>
    <row r="224" spans="1:57" ht="15.75" customHeight="1">
      <c r="A224" s="970"/>
      <c r="B224" s="2229" t="s">
        <v>2061</v>
      </c>
      <c r="C224" s="2230"/>
      <c r="D224" s="2230"/>
      <c r="E224" s="2230"/>
      <c r="F224" s="2230"/>
      <c r="G224" s="2230"/>
      <c r="H224" s="2230"/>
      <c r="I224" s="2230"/>
      <c r="J224" s="2230"/>
      <c r="K224" s="2230"/>
      <c r="L224" s="2230"/>
      <c r="M224" s="2230"/>
      <c r="N224" s="2230"/>
      <c r="O224" s="2230"/>
      <c r="P224" s="2230"/>
      <c r="Q224" s="2230"/>
      <c r="R224" s="2230"/>
      <c r="S224" s="2230"/>
      <c r="T224" s="2230"/>
      <c r="U224" s="2230"/>
      <c r="V224" s="2230"/>
      <c r="W224" s="2230"/>
      <c r="X224" s="2230"/>
      <c r="Y224" s="2230"/>
      <c r="Z224" s="2230"/>
      <c r="AA224" s="2230"/>
      <c r="AB224" s="2230"/>
      <c r="AC224" s="2230"/>
      <c r="AD224" s="2230"/>
      <c r="AE224" s="2230"/>
      <c r="AF224" s="2230"/>
      <c r="AG224" s="2230"/>
      <c r="AH224" s="2230"/>
      <c r="AI224" s="2230"/>
      <c r="AJ224" s="2230"/>
      <c r="AK224" s="2230"/>
      <c r="AL224" s="2230"/>
      <c r="AM224" s="2230"/>
      <c r="AN224" s="2230"/>
      <c r="AO224" s="2230"/>
      <c r="AP224" s="2230"/>
      <c r="AQ224" s="2230"/>
      <c r="AR224" s="2230"/>
      <c r="AS224" s="2230"/>
      <c r="AT224" s="2230"/>
      <c r="AU224" s="2230"/>
      <c r="AV224" s="2230"/>
      <c r="AW224" s="2230"/>
      <c r="AX224" s="2230"/>
      <c r="AY224" s="2230"/>
      <c r="AZ224" s="2230"/>
      <c r="BA224" s="2230"/>
      <c r="BB224" s="2230"/>
      <c r="BC224" s="2230"/>
      <c r="BD224" s="2231"/>
      <c r="BE224" s="973"/>
    </row>
    <row r="225" spans="1:57" ht="15.75" customHeight="1">
      <c r="A225" s="970"/>
      <c r="B225" s="969"/>
      <c r="C225" s="970"/>
      <c r="D225" s="970"/>
      <c r="E225" s="970"/>
      <c r="F225" s="970"/>
      <c r="G225" s="970"/>
      <c r="H225" s="970"/>
      <c r="I225" s="970"/>
      <c r="J225" s="970"/>
      <c r="K225" s="970"/>
      <c r="L225" s="970"/>
      <c r="M225" s="970"/>
      <c r="N225" s="970"/>
      <c r="O225" s="970"/>
      <c r="P225" s="970"/>
      <c r="Q225" s="970"/>
      <c r="R225" s="970"/>
      <c r="S225" s="970"/>
      <c r="T225" s="970"/>
      <c r="U225" s="970"/>
      <c r="V225" s="970"/>
      <c r="W225" s="970"/>
      <c r="X225" s="970"/>
      <c r="Y225" s="970"/>
      <c r="Z225" s="970"/>
      <c r="AA225" s="970"/>
      <c r="AB225" s="970"/>
      <c r="AC225" s="970"/>
      <c r="AD225" s="970"/>
      <c r="AE225" s="970"/>
      <c r="AF225" s="970"/>
      <c r="AG225" s="970"/>
      <c r="AH225" s="970"/>
      <c r="AI225" s="970"/>
      <c r="AJ225" s="970"/>
      <c r="AK225" s="970"/>
      <c r="AL225" s="970"/>
      <c r="AM225" s="970"/>
      <c r="AN225" s="970"/>
      <c r="AO225" s="970"/>
      <c r="AP225" s="970"/>
      <c r="AQ225" s="970"/>
      <c r="AR225" s="970"/>
      <c r="AS225" s="970"/>
      <c r="AT225" s="970"/>
      <c r="AU225" s="970"/>
      <c r="AV225" s="970"/>
      <c r="AW225" s="970"/>
      <c r="AX225" s="970"/>
      <c r="AY225" s="970"/>
      <c r="AZ225" s="970"/>
      <c r="BA225" s="970"/>
      <c r="BB225" s="970"/>
      <c r="BC225" s="970"/>
      <c r="BD225" s="973"/>
      <c r="BE225" s="973"/>
    </row>
    <row r="226" spans="1:57" ht="15.75" customHeight="1">
      <c r="A226" s="970"/>
      <c r="B226" s="2232" t="s">
        <v>2062</v>
      </c>
      <c r="C226" s="2122"/>
      <c r="D226" s="2122"/>
      <c r="E226" s="2122"/>
      <c r="F226" s="2122"/>
      <c r="G226" s="2122"/>
      <c r="H226" s="2122"/>
      <c r="I226" s="2122"/>
      <c r="J226" s="2122"/>
      <c r="K226" s="2122"/>
      <c r="L226" s="2122"/>
      <c r="M226" s="2122"/>
      <c r="N226" s="2122"/>
      <c r="O226" s="2122"/>
      <c r="P226" s="2122"/>
      <c r="Q226" s="2122"/>
      <c r="R226" s="2122"/>
      <c r="S226" s="2122"/>
      <c r="T226" s="2122"/>
      <c r="U226" s="2122"/>
      <c r="V226" s="2122"/>
      <c r="W226" s="2122"/>
      <c r="X226" s="2122"/>
      <c r="Y226" s="2122"/>
      <c r="Z226" s="2122"/>
      <c r="AA226" s="2122"/>
      <c r="AB226" s="2122"/>
      <c r="AC226" s="2122"/>
      <c r="AD226" s="2122"/>
      <c r="AE226" s="2122"/>
      <c r="AF226" s="2122"/>
      <c r="AG226" s="2122"/>
      <c r="AH226" s="2122"/>
      <c r="AI226" s="2122"/>
      <c r="AJ226" s="2122"/>
      <c r="AK226" s="2122"/>
      <c r="AL226" s="2122"/>
      <c r="AM226" s="2122"/>
      <c r="AN226" s="2122"/>
      <c r="AO226" s="2122"/>
      <c r="AP226" s="2122"/>
      <c r="AQ226" s="2122"/>
      <c r="AR226" s="2122"/>
      <c r="AS226" s="2122"/>
      <c r="AT226" s="2122"/>
      <c r="AU226" s="2122"/>
      <c r="AV226" s="2122"/>
      <c r="AW226" s="2122"/>
      <c r="AX226" s="2122"/>
      <c r="AY226" s="2122"/>
      <c r="AZ226" s="2122"/>
      <c r="BA226" s="2122"/>
      <c r="BB226" s="2122"/>
      <c r="BC226" s="2122"/>
      <c r="BD226" s="2233"/>
      <c r="BE226" s="973"/>
    </row>
    <row r="227" spans="1:57" ht="15.75" customHeight="1">
      <c r="A227" s="970"/>
      <c r="B227" s="1010"/>
      <c r="C227" s="970"/>
      <c r="D227" s="970"/>
      <c r="E227" s="970"/>
      <c r="F227" s="970"/>
      <c r="G227" s="970"/>
      <c r="H227" s="970"/>
      <c r="I227" s="970"/>
      <c r="J227" s="970"/>
      <c r="K227" s="970"/>
      <c r="L227" s="970"/>
      <c r="M227" s="970"/>
      <c r="N227" s="970"/>
      <c r="O227" s="970"/>
      <c r="P227" s="970"/>
      <c r="Q227" s="970"/>
      <c r="R227" s="970"/>
      <c r="S227" s="970"/>
      <c r="T227" s="970"/>
      <c r="U227" s="970"/>
      <c r="V227" s="970"/>
      <c r="W227" s="970"/>
      <c r="X227" s="970"/>
      <c r="Y227" s="970"/>
      <c r="Z227" s="970"/>
      <c r="AA227" s="970"/>
      <c r="AB227" s="970"/>
      <c r="AC227" s="970"/>
      <c r="AD227" s="970"/>
      <c r="AE227" s="970"/>
      <c r="AF227" s="970"/>
      <c r="AG227" s="970"/>
      <c r="AH227" s="970"/>
      <c r="AI227" s="970"/>
      <c r="AJ227" s="970"/>
      <c r="AK227" s="970"/>
      <c r="AL227" s="970"/>
      <c r="AM227" s="970"/>
      <c r="AN227" s="970"/>
      <c r="AO227" s="970"/>
      <c r="AP227" s="970"/>
      <c r="AQ227" s="970"/>
      <c r="AR227" s="970"/>
      <c r="AS227" s="970"/>
      <c r="AT227" s="970"/>
      <c r="AU227" s="970"/>
      <c r="AV227" s="970"/>
      <c r="AW227" s="970"/>
      <c r="AX227" s="970"/>
      <c r="AY227" s="970"/>
      <c r="AZ227" s="970"/>
      <c r="BA227" s="970"/>
      <c r="BB227" s="970"/>
      <c r="BC227" s="970"/>
      <c r="BD227" s="973"/>
      <c r="BE227" s="973"/>
    </row>
    <row r="228" spans="1:57" ht="15.75" customHeight="1">
      <c r="A228" s="970"/>
      <c r="B228" s="1011"/>
      <c r="C228" s="970"/>
      <c r="D228" s="970"/>
      <c r="E228" s="970"/>
      <c r="F228" s="970"/>
      <c r="G228" s="970"/>
      <c r="H228" s="971" t="s">
        <v>2063</v>
      </c>
      <c r="I228" s="970"/>
      <c r="J228" s="970"/>
      <c r="K228" s="970"/>
      <c r="L228" s="970"/>
      <c r="M228" s="970"/>
      <c r="N228" s="970"/>
      <c r="O228" s="970"/>
      <c r="P228" s="970"/>
      <c r="Q228" s="970"/>
      <c r="R228" s="970"/>
      <c r="S228" s="970"/>
      <c r="T228" s="970"/>
      <c r="U228" s="970"/>
      <c r="V228" s="970"/>
      <c r="W228" s="970"/>
      <c r="X228" s="970"/>
      <c r="Y228" s="970"/>
      <c r="Z228" s="970"/>
      <c r="AA228" s="970"/>
      <c r="AB228" s="970"/>
      <c r="AC228" s="970"/>
      <c r="AD228" s="970"/>
      <c r="AE228" s="970"/>
      <c r="AF228" s="970"/>
      <c r="AG228" s="970"/>
      <c r="AH228" s="970"/>
      <c r="AI228" s="970"/>
      <c r="AJ228" s="970"/>
      <c r="AK228" s="970"/>
      <c r="AL228" s="970"/>
      <c r="AM228" s="970"/>
      <c r="AN228" s="970"/>
      <c r="AO228" s="970"/>
      <c r="AP228" s="970"/>
      <c r="AQ228" s="970"/>
      <c r="AR228" s="970"/>
      <c r="AS228" s="970"/>
      <c r="AT228" s="970"/>
      <c r="AU228" s="970"/>
      <c r="AV228" s="970"/>
      <c r="AW228" s="970"/>
      <c r="AX228" s="970"/>
      <c r="AY228" s="970"/>
      <c r="AZ228" s="970"/>
      <c r="BA228" s="970"/>
      <c r="BB228" s="970"/>
      <c r="BC228" s="970"/>
      <c r="BD228" s="973"/>
      <c r="BE228" s="973"/>
    </row>
    <row r="229" spans="1:57" ht="15.75" customHeight="1">
      <c r="A229" s="970"/>
      <c r="B229" s="1011"/>
      <c r="C229" s="970"/>
      <c r="D229" s="970"/>
      <c r="E229" s="970"/>
      <c r="F229" s="970"/>
      <c r="G229" s="970"/>
      <c r="H229" s="970"/>
      <c r="I229" s="970"/>
      <c r="J229" s="970"/>
      <c r="K229" s="970"/>
      <c r="L229" s="970"/>
      <c r="M229" s="970"/>
      <c r="N229" s="970"/>
      <c r="O229" s="970"/>
      <c r="P229" s="970"/>
      <c r="Q229" s="970"/>
      <c r="R229" s="970"/>
      <c r="S229" s="970"/>
      <c r="T229" s="970"/>
      <c r="U229" s="970"/>
      <c r="V229" s="970"/>
      <c r="W229" s="970"/>
      <c r="X229" s="970"/>
      <c r="Y229" s="970"/>
      <c r="Z229" s="970"/>
      <c r="AA229" s="970"/>
      <c r="AB229" s="970"/>
      <c r="AC229" s="970"/>
      <c r="AD229" s="970"/>
      <c r="AE229" s="970"/>
      <c r="AF229" s="970"/>
      <c r="AG229" s="970"/>
      <c r="AH229" s="970"/>
      <c r="AI229" s="970"/>
      <c r="AJ229" s="970"/>
      <c r="AK229" s="970"/>
      <c r="AL229" s="970"/>
      <c r="AM229" s="970"/>
      <c r="AN229" s="970"/>
      <c r="AO229" s="970"/>
      <c r="AP229" s="970"/>
      <c r="AQ229" s="970"/>
      <c r="AR229" s="970"/>
      <c r="AS229" s="970"/>
      <c r="AT229" s="970"/>
      <c r="AU229" s="970"/>
      <c r="AV229" s="970"/>
      <c r="AW229" s="970"/>
      <c r="AX229" s="970"/>
      <c r="AY229" s="970"/>
      <c r="AZ229" s="970"/>
      <c r="BA229" s="970"/>
      <c r="BB229" s="970"/>
      <c r="BC229" s="970"/>
      <c r="BD229" s="973"/>
      <c r="BE229" s="973"/>
    </row>
    <row r="230" spans="1:57" ht="15.75" customHeight="1">
      <c r="A230" s="970"/>
      <c r="B230" s="1011"/>
      <c r="C230" s="970"/>
      <c r="D230" s="970"/>
      <c r="E230" s="970"/>
      <c r="F230" s="970"/>
      <c r="G230" s="970"/>
      <c r="H230" s="2234" t="s">
        <v>2064</v>
      </c>
      <c r="I230" s="2234"/>
      <c r="J230" s="2234"/>
      <c r="K230" s="2234"/>
      <c r="L230" s="2234"/>
      <c r="M230" s="2234"/>
      <c r="N230" s="2234"/>
      <c r="O230" s="2234"/>
      <c r="P230" s="2234"/>
      <c r="Q230" s="2234"/>
      <c r="R230" s="2234"/>
      <c r="S230" s="2234"/>
      <c r="T230" s="2234"/>
      <c r="U230" s="2234"/>
      <c r="V230" s="2234"/>
      <c r="W230" s="2234"/>
      <c r="X230" s="2234"/>
      <c r="Y230" s="2234"/>
      <c r="Z230" s="2234"/>
      <c r="AA230" s="2234"/>
      <c r="AB230" s="2234"/>
      <c r="AC230" s="2234"/>
      <c r="AD230" s="2234"/>
      <c r="AE230" s="2234"/>
      <c r="AF230" s="2234"/>
      <c r="AG230" s="2234"/>
      <c r="AH230" s="2234"/>
      <c r="AI230" s="2234"/>
      <c r="AJ230" s="2234"/>
      <c r="AK230" s="2234"/>
      <c r="AL230" s="2234"/>
      <c r="AM230" s="2234"/>
      <c r="AN230" s="2234"/>
      <c r="AO230" s="2234"/>
      <c r="AP230" s="2234"/>
      <c r="AQ230" s="2234"/>
      <c r="AR230" s="2234"/>
      <c r="AS230" s="2234"/>
      <c r="AT230" s="2234"/>
      <c r="AU230" s="2234"/>
      <c r="AV230" s="2234"/>
      <c r="AW230" s="2234"/>
      <c r="AX230" s="2234"/>
      <c r="AY230" s="2234"/>
      <c r="AZ230" s="970"/>
      <c r="BA230" s="970"/>
      <c r="BB230" s="970"/>
      <c r="BC230" s="970"/>
      <c r="BD230" s="973"/>
      <c r="BE230" s="973"/>
    </row>
    <row r="231" spans="1:57" ht="15.75" customHeight="1">
      <c r="A231" s="970"/>
      <c r="B231" s="1011"/>
      <c r="C231" s="970"/>
      <c r="D231" s="970"/>
      <c r="E231" s="970"/>
      <c r="F231" s="970"/>
      <c r="G231" s="970"/>
      <c r="H231" s="970"/>
      <c r="I231" s="970"/>
      <c r="J231" s="970"/>
      <c r="K231" s="970"/>
      <c r="L231" s="970"/>
      <c r="M231" s="970"/>
      <c r="N231" s="970"/>
      <c r="O231" s="970"/>
      <c r="P231" s="970"/>
      <c r="Q231" s="970"/>
      <c r="R231" s="970"/>
      <c r="S231" s="970"/>
      <c r="T231" s="970"/>
      <c r="U231" s="970"/>
      <c r="V231" s="970"/>
      <c r="W231" s="970"/>
      <c r="X231" s="970"/>
      <c r="Y231" s="970"/>
      <c r="Z231" s="970"/>
      <c r="AA231" s="970"/>
      <c r="AB231" s="970"/>
      <c r="AC231" s="970"/>
      <c r="AD231" s="970"/>
      <c r="AE231" s="970"/>
      <c r="AF231" s="970"/>
      <c r="AG231" s="970"/>
      <c r="AH231" s="970"/>
      <c r="AI231" s="970"/>
      <c r="AJ231" s="970"/>
      <c r="AK231" s="970"/>
      <c r="AL231" s="970"/>
      <c r="AM231" s="970"/>
      <c r="AN231" s="970"/>
      <c r="AO231" s="970"/>
      <c r="AP231" s="970"/>
      <c r="AQ231" s="970"/>
      <c r="AR231" s="970"/>
      <c r="AS231" s="970"/>
      <c r="AT231" s="970"/>
      <c r="AU231" s="970"/>
      <c r="AV231" s="970"/>
      <c r="AW231" s="970"/>
      <c r="AX231" s="970"/>
      <c r="AY231" s="970"/>
      <c r="AZ231" s="970"/>
      <c r="BA231" s="970"/>
      <c r="BB231" s="970"/>
      <c r="BC231" s="970"/>
      <c r="BD231" s="973"/>
      <c r="BE231" s="973"/>
    </row>
    <row r="232" spans="1:57" ht="15.75" customHeight="1">
      <c r="A232" s="970"/>
      <c r="B232" s="1011"/>
      <c r="C232" s="970"/>
      <c r="D232" s="970"/>
      <c r="E232" s="970"/>
      <c r="F232" s="970"/>
      <c r="G232" s="970"/>
      <c r="H232" s="2252" t="s">
        <v>2065</v>
      </c>
      <c r="I232" s="2252"/>
      <c r="J232" s="2252"/>
      <c r="K232" s="2252"/>
      <c r="L232" s="2252"/>
      <c r="M232" s="2252"/>
      <c r="N232" s="2252"/>
      <c r="O232" s="2252"/>
      <c r="P232" s="2252"/>
      <c r="Q232" s="2252"/>
      <c r="R232" s="2252"/>
      <c r="S232" s="2252"/>
      <c r="T232" s="2252"/>
      <c r="U232" s="2252"/>
      <c r="V232" s="2252"/>
      <c r="W232" s="2252"/>
      <c r="X232" s="2252"/>
      <c r="Y232" s="2252"/>
      <c r="Z232" s="2252"/>
      <c r="AA232" s="2252"/>
      <c r="AB232" s="2252"/>
      <c r="AC232" s="2252"/>
      <c r="AD232" s="2252"/>
      <c r="AE232" s="2252"/>
      <c r="AF232" s="2252"/>
      <c r="AG232" s="2252"/>
      <c r="AH232" s="2252"/>
      <c r="AI232" s="2252"/>
      <c r="AJ232" s="2252"/>
      <c r="AK232" s="2252"/>
      <c r="AL232" s="2252"/>
      <c r="AM232" s="2252"/>
      <c r="AN232" s="2252"/>
      <c r="AO232" s="2252"/>
      <c r="AP232" s="2252"/>
      <c r="AQ232" s="2252"/>
      <c r="AR232" s="2252"/>
      <c r="AS232" s="2252"/>
      <c r="AT232" s="2252"/>
      <c r="AU232" s="2252"/>
      <c r="AV232" s="2252"/>
      <c r="AW232" s="2252"/>
      <c r="AX232" s="2252"/>
      <c r="AY232" s="2252"/>
      <c r="AZ232" s="2252"/>
      <c r="BA232" s="970"/>
      <c r="BB232" s="970"/>
      <c r="BC232" s="970"/>
      <c r="BD232" s="973"/>
      <c r="BE232" s="973"/>
    </row>
    <row r="233" spans="1:57" ht="15.75" customHeight="1">
      <c r="A233" s="970"/>
      <c r="B233" s="969"/>
      <c r="C233" s="970"/>
      <c r="D233" s="970"/>
      <c r="E233" s="970"/>
      <c r="F233" s="970"/>
      <c r="G233" s="970"/>
      <c r="H233" s="2252"/>
      <c r="I233" s="2252"/>
      <c r="J233" s="2252"/>
      <c r="K233" s="2252"/>
      <c r="L233" s="2252"/>
      <c r="M233" s="2252"/>
      <c r="N233" s="2252"/>
      <c r="O233" s="2252"/>
      <c r="P233" s="2252"/>
      <c r="Q233" s="2252"/>
      <c r="R233" s="2252"/>
      <c r="S233" s="2252"/>
      <c r="T233" s="2252"/>
      <c r="U233" s="2252"/>
      <c r="V233" s="2252"/>
      <c r="W233" s="2252"/>
      <c r="X233" s="2252"/>
      <c r="Y233" s="2252"/>
      <c r="Z233" s="2252"/>
      <c r="AA233" s="2252"/>
      <c r="AB233" s="2252"/>
      <c r="AC233" s="2252"/>
      <c r="AD233" s="2252"/>
      <c r="AE233" s="2252"/>
      <c r="AF233" s="2252"/>
      <c r="AG233" s="2252"/>
      <c r="AH233" s="2252"/>
      <c r="AI233" s="2252"/>
      <c r="AJ233" s="2252"/>
      <c r="AK233" s="2252"/>
      <c r="AL233" s="2252"/>
      <c r="AM233" s="2252"/>
      <c r="AN233" s="2252"/>
      <c r="AO233" s="2252"/>
      <c r="AP233" s="2252"/>
      <c r="AQ233" s="2252"/>
      <c r="AR233" s="2252"/>
      <c r="AS233" s="2252"/>
      <c r="AT233" s="2252"/>
      <c r="AU233" s="2252"/>
      <c r="AV233" s="2252"/>
      <c r="AW233" s="2252"/>
      <c r="AX233" s="2252"/>
      <c r="AY233" s="2252"/>
      <c r="AZ233" s="2252"/>
      <c r="BA233" s="970"/>
      <c r="BB233" s="970"/>
      <c r="BC233" s="970"/>
      <c r="BD233" s="973"/>
      <c r="BE233" s="973"/>
    </row>
    <row r="234" spans="1:57" ht="15.75" customHeight="1">
      <c r="A234" s="970"/>
      <c r="B234" s="969"/>
      <c r="C234" s="970"/>
      <c r="D234" s="970"/>
      <c r="E234" s="970"/>
      <c r="F234" s="970"/>
      <c r="G234" s="970"/>
      <c r="H234" s="2252"/>
      <c r="I234" s="2252"/>
      <c r="J234" s="2252"/>
      <c r="K234" s="2252"/>
      <c r="L234" s="2252"/>
      <c r="M234" s="2252"/>
      <c r="N234" s="2252"/>
      <c r="O234" s="2252"/>
      <c r="P234" s="2252"/>
      <c r="Q234" s="2252"/>
      <c r="R234" s="2252"/>
      <c r="S234" s="2252"/>
      <c r="T234" s="2252"/>
      <c r="U234" s="2252"/>
      <c r="V234" s="2252"/>
      <c r="W234" s="2252"/>
      <c r="X234" s="2252"/>
      <c r="Y234" s="2252"/>
      <c r="Z234" s="2252"/>
      <c r="AA234" s="2252"/>
      <c r="AB234" s="2252"/>
      <c r="AC234" s="2252"/>
      <c r="AD234" s="2252"/>
      <c r="AE234" s="2252"/>
      <c r="AF234" s="2252"/>
      <c r="AG234" s="2252"/>
      <c r="AH234" s="2252"/>
      <c r="AI234" s="2252"/>
      <c r="AJ234" s="2252"/>
      <c r="AK234" s="2252"/>
      <c r="AL234" s="2252"/>
      <c r="AM234" s="2252"/>
      <c r="AN234" s="2252"/>
      <c r="AO234" s="2252"/>
      <c r="AP234" s="2252"/>
      <c r="AQ234" s="2252"/>
      <c r="AR234" s="2252"/>
      <c r="AS234" s="2252"/>
      <c r="AT234" s="2252"/>
      <c r="AU234" s="2252"/>
      <c r="AV234" s="2252"/>
      <c r="AW234" s="2252"/>
      <c r="AX234" s="2252"/>
      <c r="AY234" s="2252"/>
      <c r="AZ234" s="2252"/>
      <c r="BA234" s="970"/>
      <c r="BB234" s="970"/>
      <c r="BC234" s="970"/>
      <c r="BD234" s="973"/>
      <c r="BE234" s="973"/>
    </row>
    <row r="235" spans="1:57" ht="15.75" customHeight="1">
      <c r="A235" s="970"/>
      <c r="B235" s="969"/>
      <c r="C235" s="970"/>
      <c r="D235" s="970"/>
      <c r="E235" s="970"/>
      <c r="F235" s="970"/>
      <c r="G235" s="970"/>
      <c r="H235" s="2252"/>
      <c r="I235" s="2252"/>
      <c r="J235" s="2252"/>
      <c r="K235" s="2252"/>
      <c r="L235" s="2252"/>
      <c r="M235" s="2252"/>
      <c r="N235" s="2252"/>
      <c r="O235" s="2252"/>
      <c r="P235" s="2252"/>
      <c r="Q235" s="2252"/>
      <c r="R235" s="2252"/>
      <c r="S235" s="2252"/>
      <c r="T235" s="2252"/>
      <c r="U235" s="2252"/>
      <c r="V235" s="2252"/>
      <c r="W235" s="2252"/>
      <c r="X235" s="2252"/>
      <c r="Y235" s="2252"/>
      <c r="Z235" s="2252"/>
      <c r="AA235" s="2252"/>
      <c r="AB235" s="2252"/>
      <c r="AC235" s="2252"/>
      <c r="AD235" s="2252"/>
      <c r="AE235" s="2252"/>
      <c r="AF235" s="2252"/>
      <c r="AG235" s="2252"/>
      <c r="AH235" s="2252"/>
      <c r="AI235" s="2252"/>
      <c r="AJ235" s="2252"/>
      <c r="AK235" s="2252"/>
      <c r="AL235" s="2252"/>
      <c r="AM235" s="2252"/>
      <c r="AN235" s="2252"/>
      <c r="AO235" s="2252"/>
      <c r="AP235" s="2252"/>
      <c r="AQ235" s="2252"/>
      <c r="AR235" s="2252"/>
      <c r="AS235" s="2252"/>
      <c r="AT235" s="2252"/>
      <c r="AU235" s="2252"/>
      <c r="AV235" s="2252"/>
      <c r="AW235" s="2252"/>
      <c r="AX235" s="2252"/>
      <c r="AY235" s="2252"/>
      <c r="AZ235" s="2252"/>
      <c r="BA235" s="970"/>
      <c r="BB235" s="970"/>
      <c r="BC235" s="970"/>
      <c r="BD235" s="973"/>
      <c r="BE235" s="973"/>
    </row>
    <row r="236" spans="1:57" ht="15.75" customHeight="1">
      <c r="A236" s="970"/>
      <c r="B236" s="969"/>
      <c r="C236" s="970"/>
      <c r="D236" s="970"/>
      <c r="E236" s="970"/>
      <c r="F236" s="970"/>
      <c r="G236" s="970"/>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c r="AL236" s="970"/>
      <c r="AM236" s="970"/>
      <c r="AN236" s="970"/>
      <c r="AO236" s="970"/>
      <c r="AP236" s="970"/>
      <c r="AQ236" s="970"/>
      <c r="AR236" s="970"/>
      <c r="AS236" s="970"/>
      <c r="AT236" s="970"/>
      <c r="AU236" s="970"/>
      <c r="AV236" s="970"/>
      <c r="AW236" s="970"/>
      <c r="AX236" s="970"/>
      <c r="AY236" s="970"/>
      <c r="AZ236" s="970"/>
      <c r="BA236" s="970"/>
      <c r="BB236" s="970"/>
      <c r="BC236" s="970"/>
      <c r="BD236" s="973"/>
      <c r="BE236" s="973"/>
    </row>
    <row r="237" spans="1:57" ht="15.75" customHeight="1" thickBot="1">
      <c r="A237" s="970"/>
      <c r="B237" s="1012"/>
      <c r="C237" s="1013"/>
      <c r="D237" s="1013"/>
      <c r="E237" s="1013"/>
      <c r="F237" s="1013"/>
      <c r="G237" s="1013"/>
      <c r="H237" s="2253" t="s">
        <v>2066</v>
      </c>
      <c r="I237" s="2253"/>
      <c r="J237" s="2253"/>
      <c r="K237" s="2253"/>
      <c r="L237" s="2253"/>
      <c r="M237" s="2253"/>
      <c r="N237" s="2253"/>
      <c r="O237" s="2253"/>
      <c r="P237" s="2253"/>
      <c r="Q237" s="2253"/>
      <c r="R237" s="2253"/>
      <c r="S237" s="2253"/>
      <c r="T237" s="2253"/>
      <c r="U237" s="2253"/>
      <c r="V237" s="2253"/>
      <c r="W237" s="2253"/>
      <c r="X237" s="2253"/>
      <c r="Y237" s="2253"/>
      <c r="Z237" s="2253"/>
      <c r="AA237" s="2253"/>
      <c r="AB237" s="2253"/>
      <c r="AC237" s="2253"/>
      <c r="AD237" s="2253"/>
      <c r="AE237" s="2253"/>
      <c r="AF237" s="2253"/>
      <c r="AG237" s="2253"/>
      <c r="AH237" s="2253"/>
      <c r="AI237" s="2253"/>
      <c r="AJ237" s="2253"/>
      <c r="AK237" s="2253"/>
      <c r="AL237" s="2253"/>
      <c r="AM237" s="2253"/>
      <c r="AN237" s="2253"/>
      <c r="AO237" s="2253"/>
      <c r="AP237" s="2253"/>
      <c r="AQ237" s="2253"/>
      <c r="AR237" s="2253"/>
      <c r="AS237" s="2253"/>
      <c r="AT237" s="2253"/>
      <c r="AU237" s="2253"/>
      <c r="AV237" s="2253"/>
      <c r="AW237" s="1013"/>
      <c r="AX237" s="1013"/>
      <c r="AY237" s="1013"/>
      <c r="AZ237" s="1013"/>
      <c r="BA237" s="1013"/>
      <c r="BB237" s="1013"/>
      <c r="BC237" s="1013"/>
      <c r="BD237" s="1014"/>
      <c r="BE237" s="973"/>
    </row>
    <row r="238" spans="1:57" ht="15.75" customHeight="1" thickBot="1">
      <c r="A238" s="970"/>
      <c r="B238" s="1015"/>
      <c r="C238" s="1016"/>
      <c r="D238" s="1016"/>
      <c r="E238" s="1016"/>
      <c r="F238" s="1016"/>
      <c r="G238" s="1016"/>
      <c r="H238" s="1016"/>
      <c r="I238" s="1016"/>
      <c r="J238" s="1016"/>
      <c r="K238" s="1016"/>
      <c r="L238" s="1016"/>
      <c r="M238" s="1016"/>
      <c r="N238" s="1016"/>
      <c r="O238" s="1016"/>
      <c r="P238" s="1016"/>
      <c r="Q238" s="1016"/>
      <c r="R238" s="1016"/>
      <c r="S238" s="1016"/>
      <c r="T238" s="1016"/>
      <c r="U238" s="1016"/>
      <c r="V238" s="1016"/>
      <c r="W238" s="1016"/>
      <c r="X238" s="1016"/>
      <c r="Y238" s="1016"/>
      <c r="Z238" s="1016"/>
      <c r="AA238" s="1016"/>
      <c r="AB238" s="1016"/>
      <c r="AC238" s="1016"/>
      <c r="AD238" s="1016"/>
      <c r="AE238" s="1016"/>
      <c r="AF238" s="1016"/>
      <c r="AG238" s="1016"/>
      <c r="AH238" s="1016"/>
      <c r="AI238" s="1016"/>
      <c r="AJ238" s="1016"/>
      <c r="AK238" s="1016"/>
      <c r="AL238" s="1016"/>
      <c r="AM238" s="1016"/>
      <c r="AN238" s="1016"/>
      <c r="AO238" s="1016"/>
      <c r="AP238" s="1016"/>
      <c r="AQ238" s="1016"/>
      <c r="AR238" s="1016"/>
      <c r="AS238" s="1016"/>
      <c r="AT238" s="1016"/>
      <c r="AU238" s="1016"/>
      <c r="AV238" s="1016"/>
      <c r="AW238" s="1016"/>
      <c r="AX238" s="1016"/>
      <c r="AY238" s="1016"/>
      <c r="AZ238" s="1016"/>
      <c r="BA238" s="1016"/>
      <c r="BB238" s="1016"/>
      <c r="BC238" s="1016"/>
      <c r="BD238" s="1017"/>
      <c r="BE238" s="973"/>
    </row>
    <row r="239" spans="1:57" ht="30" customHeight="1" thickBot="1">
      <c r="A239" s="970"/>
      <c r="B239" s="1015"/>
      <c r="C239" s="1016"/>
      <c r="D239" s="1016"/>
      <c r="E239" s="1016"/>
      <c r="F239" s="1016"/>
      <c r="G239" s="1016"/>
      <c r="H239" s="2243" t="s">
        <v>2067</v>
      </c>
      <c r="I239" s="2243"/>
      <c r="J239" s="2243"/>
      <c r="K239" s="2243"/>
      <c r="L239" s="1016"/>
      <c r="M239" s="1016"/>
      <c r="N239" s="1016"/>
      <c r="O239" s="1016"/>
      <c r="P239" s="1016"/>
      <c r="Q239" s="1016"/>
      <c r="R239" s="1016"/>
      <c r="S239" s="2254"/>
      <c r="T239" s="2255"/>
      <c r="U239" s="2255"/>
      <c r="V239" s="2255"/>
      <c r="W239" s="2255"/>
      <c r="X239" s="2255"/>
      <c r="Y239" s="2255"/>
      <c r="Z239" s="2255"/>
      <c r="AA239" s="2255"/>
      <c r="AB239" s="2255"/>
      <c r="AC239" s="2255"/>
      <c r="AD239" s="2255"/>
      <c r="AE239" s="2255"/>
      <c r="AF239" s="2255"/>
      <c r="AG239" s="2255"/>
      <c r="AH239" s="2255"/>
      <c r="AI239" s="2255"/>
      <c r="AJ239" s="2256"/>
      <c r="AK239" s="1016"/>
      <c r="AL239" s="1016"/>
      <c r="AM239" s="1016"/>
      <c r="AN239" s="1016"/>
      <c r="AO239" s="1016"/>
      <c r="AP239" s="1016"/>
      <c r="AQ239" s="1016"/>
      <c r="AR239" s="1016"/>
      <c r="AS239" s="1016"/>
      <c r="AT239" s="1016"/>
      <c r="AU239" s="1016"/>
      <c r="AV239" s="1016"/>
      <c r="AW239" s="1016"/>
      <c r="AX239" s="1016"/>
      <c r="AY239" s="1016"/>
      <c r="AZ239" s="1016"/>
      <c r="BA239" s="1016"/>
      <c r="BB239" s="1016"/>
      <c r="BC239" s="1016"/>
      <c r="BD239" s="1017"/>
      <c r="BE239" s="973"/>
    </row>
    <row r="240" spans="1:57" ht="15.75" customHeight="1" thickBot="1">
      <c r="A240" s="970"/>
      <c r="B240" s="1015"/>
      <c r="C240" s="1016"/>
      <c r="D240" s="1016"/>
      <c r="E240" s="1016"/>
      <c r="F240" s="1016"/>
      <c r="G240" s="1016"/>
      <c r="H240" s="1018"/>
      <c r="I240" s="1018"/>
      <c r="J240" s="1018"/>
      <c r="K240" s="1018"/>
      <c r="L240" s="1016"/>
      <c r="M240" s="1016"/>
      <c r="N240" s="1016"/>
      <c r="O240" s="1016"/>
      <c r="P240" s="1016"/>
      <c r="Q240" s="1016"/>
      <c r="R240" s="1016"/>
      <c r="S240" s="1016"/>
      <c r="T240" s="1016"/>
      <c r="U240" s="1016"/>
      <c r="V240" s="1016"/>
      <c r="W240" s="1016"/>
      <c r="X240" s="1016"/>
      <c r="Y240" s="1016"/>
      <c r="Z240" s="1016"/>
      <c r="AA240" s="1016"/>
      <c r="AB240" s="1016"/>
      <c r="AC240" s="1016"/>
      <c r="AD240" s="1016"/>
      <c r="AE240" s="1016"/>
      <c r="AF240" s="1016"/>
      <c r="AG240" s="1016"/>
      <c r="AH240" s="1016"/>
      <c r="AI240" s="1016"/>
      <c r="AJ240" s="1016"/>
      <c r="AK240" s="1016"/>
      <c r="AL240" s="1016"/>
      <c r="AM240" s="1016"/>
      <c r="AN240" s="1016"/>
      <c r="AO240" s="1016"/>
      <c r="AP240" s="1016"/>
      <c r="AQ240" s="1016"/>
      <c r="AR240" s="1016"/>
      <c r="AS240" s="1016"/>
      <c r="AT240" s="1016"/>
      <c r="AU240" s="1016"/>
      <c r="AV240" s="1016"/>
      <c r="AW240" s="1016"/>
      <c r="AX240" s="1016"/>
      <c r="AY240" s="1016"/>
      <c r="AZ240" s="1016"/>
      <c r="BA240" s="1016"/>
      <c r="BB240" s="1016"/>
      <c r="BC240" s="1016"/>
      <c r="BD240" s="1017"/>
      <c r="BE240" s="973"/>
    </row>
    <row r="241" spans="1:57" ht="15.75" customHeight="1" thickBot="1">
      <c r="A241" s="970"/>
      <c r="B241" s="1015"/>
      <c r="C241" s="1016"/>
      <c r="D241" s="1016"/>
      <c r="E241" s="1016"/>
      <c r="F241" s="1016"/>
      <c r="G241" s="1016"/>
      <c r="H241" s="2243" t="s">
        <v>1966</v>
      </c>
      <c r="I241" s="2243"/>
      <c r="J241" s="2243"/>
      <c r="K241" s="1018"/>
      <c r="L241" s="1016"/>
      <c r="M241" s="1016"/>
      <c r="N241" s="1016"/>
      <c r="O241" s="1016"/>
      <c r="P241" s="1016"/>
      <c r="Q241" s="1016"/>
      <c r="R241" s="1016"/>
      <c r="S241" s="2244"/>
      <c r="T241" s="2245"/>
      <c r="U241" s="2245"/>
      <c r="V241" s="2245"/>
      <c r="W241" s="2245"/>
      <c r="X241" s="2245"/>
      <c r="Y241" s="2245"/>
      <c r="Z241" s="2245"/>
      <c r="AA241" s="2245"/>
      <c r="AB241" s="2245"/>
      <c r="AC241" s="2245"/>
      <c r="AD241" s="2245"/>
      <c r="AE241" s="2245"/>
      <c r="AF241" s="2245"/>
      <c r="AG241" s="2245"/>
      <c r="AH241" s="2245"/>
      <c r="AI241" s="2245"/>
      <c r="AJ241" s="2246"/>
      <c r="AK241" s="1016"/>
      <c r="AL241" s="1016"/>
      <c r="AM241" s="1016"/>
      <c r="AN241" s="1016"/>
      <c r="AO241" s="1016"/>
      <c r="AP241" s="1016"/>
      <c r="AQ241" s="1016"/>
      <c r="AR241" s="1016"/>
      <c r="AS241" s="1016"/>
      <c r="AT241" s="1016"/>
      <c r="AU241" s="1016"/>
      <c r="AV241" s="1016"/>
      <c r="AW241" s="1016"/>
      <c r="AX241" s="1016"/>
      <c r="AY241" s="1016"/>
      <c r="AZ241" s="1016"/>
      <c r="BA241" s="1016"/>
      <c r="BB241" s="1016"/>
      <c r="BC241" s="1016"/>
      <c r="BD241" s="1017"/>
      <c r="BE241" s="973"/>
    </row>
    <row r="242" spans="1:57" ht="15.75" customHeight="1" thickBot="1">
      <c r="A242" s="970"/>
      <c r="B242" s="1015"/>
      <c r="C242" s="1016"/>
      <c r="D242" s="1016"/>
      <c r="E242" s="1016"/>
      <c r="F242" s="1016"/>
      <c r="G242" s="1016"/>
      <c r="H242" s="1018"/>
      <c r="I242" s="1018"/>
      <c r="J242" s="1018"/>
      <c r="K242" s="1018"/>
      <c r="L242" s="1016"/>
      <c r="M242" s="1016"/>
      <c r="N242" s="1016"/>
      <c r="O242" s="1016"/>
      <c r="P242" s="1016"/>
      <c r="Q242" s="1016"/>
      <c r="R242" s="1016"/>
      <c r="S242" s="1016"/>
      <c r="T242" s="1016"/>
      <c r="U242" s="1016"/>
      <c r="V242" s="1016"/>
      <c r="W242" s="1016"/>
      <c r="X242" s="1016"/>
      <c r="Y242" s="1016"/>
      <c r="Z242" s="1016"/>
      <c r="AA242" s="1016"/>
      <c r="AB242" s="1016"/>
      <c r="AC242" s="1016"/>
      <c r="AD242" s="1016"/>
      <c r="AE242" s="1016"/>
      <c r="AF242" s="1016"/>
      <c r="AG242" s="1016"/>
      <c r="AH242" s="1016"/>
      <c r="AI242" s="1016"/>
      <c r="AJ242" s="1016"/>
      <c r="AK242" s="1016"/>
      <c r="AL242" s="1016"/>
      <c r="AM242" s="1016"/>
      <c r="AN242" s="1016"/>
      <c r="AO242" s="1016"/>
      <c r="AP242" s="1016"/>
      <c r="AQ242" s="1016"/>
      <c r="AR242" s="1016"/>
      <c r="AS242" s="1016"/>
      <c r="AT242" s="1016"/>
      <c r="AU242" s="1016"/>
      <c r="AV242" s="1016"/>
      <c r="AW242" s="1016"/>
      <c r="AX242" s="1016"/>
      <c r="AY242" s="1016"/>
      <c r="AZ242" s="1016"/>
      <c r="BA242" s="1016"/>
      <c r="BB242" s="1016"/>
      <c r="BC242" s="1016"/>
      <c r="BD242" s="1017"/>
      <c r="BE242" s="973"/>
    </row>
    <row r="243" spans="1:57" ht="15.75" customHeight="1" thickBot="1">
      <c r="A243" s="970"/>
      <c r="B243" s="1015"/>
      <c r="C243" s="1016"/>
      <c r="D243" s="1016"/>
      <c r="E243" s="1016"/>
      <c r="F243" s="1016"/>
      <c r="G243" s="1016"/>
      <c r="H243" s="2243" t="s">
        <v>808</v>
      </c>
      <c r="I243" s="2243"/>
      <c r="J243" s="1018"/>
      <c r="K243" s="1018"/>
      <c r="L243" s="1016"/>
      <c r="M243" s="1016"/>
      <c r="N243" s="1016"/>
      <c r="O243" s="1016"/>
      <c r="P243" s="1016"/>
      <c r="Q243" s="1016"/>
      <c r="R243" s="1016"/>
      <c r="S243" s="2244"/>
      <c r="T243" s="2245"/>
      <c r="U243" s="2245"/>
      <c r="V243" s="2245"/>
      <c r="W243" s="2245"/>
      <c r="X243" s="2245"/>
      <c r="Y243" s="2245"/>
      <c r="Z243" s="2245"/>
      <c r="AA243" s="2245"/>
      <c r="AB243" s="2245"/>
      <c r="AC243" s="2245"/>
      <c r="AD243" s="2245"/>
      <c r="AE243" s="2245"/>
      <c r="AF243" s="2245"/>
      <c r="AG243" s="2245"/>
      <c r="AH243" s="2245"/>
      <c r="AI243" s="2245"/>
      <c r="AJ243" s="2246"/>
      <c r="AK243" s="1016"/>
      <c r="AL243" s="1016"/>
      <c r="AM243" s="1016"/>
      <c r="AN243" s="1016"/>
      <c r="AO243" s="1016"/>
      <c r="AP243" s="1016"/>
      <c r="AQ243" s="1016"/>
      <c r="AR243" s="1016"/>
      <c r="AS243" s="1016"/>
      <c r="AT243" s="1016"/>
      <c r="AU243" s="1016"/>
      <c r="AV243" s="1016"/>
      <c r="AW243" s="1016"/>
      <c r="AX243" s="1016"/>
      <c r="AY243" s="1016"/>
      <c r="AZ243" s="1016"/>
      <c r="BA243" s="1016"/>
      <c r="BB243" s="1016"/>
      <c r="BC243" s="1016"/>
      <c r="BD243" s="1017"/>
      <c r="BE243" s="973"/>
    </row>
    <row r="244" spans="1:57" ht="15.75" customHeight="1" thickBot="1">
      <c r="A244" s="970"/>
      <c r="B244" s="1015"/>
      <c r="C244" s="1016"/>
      <c r="D244" s="1016"/>
      <c r="E244" s="1016"/>
      <c r="F244" s="1016"/>
      <c r="G244" s="1016"/>
      <c r="H244" s="1016"/>
      <c r="I244" s="1016"/>
      <c r="J244" s="1016"/>
      <c r="K244" s="1016"/>
      <c r="L244" s="1016"/>
      <c r="M244" s="1016"/>
      <c r="N244" s="1016"/>
      <c r="O244" s="1016"/>
      <c r="P244" s="1016"/>
      <c r="Q244" s="1016"/>
      <c r="R244" s="1016"/>
      <c r="S244" s="1016"/>
      <c r="T244" s="1016"/>
      <c r="U244" s="1016"/>
      <c r="V244" s="1016"/>
      <c r="W244" s="1016"/>
      <c r="X244" s="1016"/>
      <c r="Y244" s="1016"/>
      <c r="Z244" s="1016"/>
      <c r="AA244" s="1016"/>
      <c r="AB244" s="1016"/>
      <c r="AC244" s="1016"/>
      <c r="AD244" s="1016"/>
      <c r="AE244" s="1016"/>
      <c r="AF244" s="1016"/>
      <c r="AG244" s="1016"/>
      <c r="AH244" s="1016"/>
      <c r="AI244" s="1016"/>
      <c r="AJ244" s="1016"/>
      <c r="AK244" s="1016"/>
      <c r="AL244" s="1016"/>
      <c r="AM244" s="1016"/>
      <c r="AN244" s="1016"/>
      <c r="AO244" s="1016"/>
      <c r="AP244" s="1016"/>
      <c r="AQ244" s="1016"/>
      <c r="AR244" s="1016"/>
      <c r="AS244" s="1016"/>
      <c r="AT244" s="1016"/>
      <c r="AU244" s="1016"/>
      <c r="AV244" s="1016"/>
      <c r="AW244" s="1016"/>
      <c r="AX244" s="1016"/>
      <c r="AY244" s="1016"/>
      <c r="AZ244" s="1016"/>
      <c r="BA244" s="1016"/>
      <c r="BB244" s="1016"/>
      <c r="BC244" s="1016"/>
      <c r="BD244" s="1017"/>
      <c r="BE244" s="973"/>
    </row>
    <row r="245" spans="1:57" ht="15.75" customHeight="1" thickBot="1">
      <c r="A245" s="970"/>
      <c r="B245" s="1015"/>
      <c r="C245" s="1016"/>
      <c r="D245" s="1016"/>
      <c r="E245" s="1016"/>
      <c r="F245" s="1016"/>
      <c r="G245" s="1016"/>
      <c r="H245" s="2247" t="s">
        <v>2068</v>
      </c>
      <c r="I245" s="2247"/>
      <c r="J245" s="2247"/>
      <c r="K245" s="2247"/>
      <c r="L245" s="2247"/>
      <c r="M245" s="2247"/>
      <c r="N245" s="2247"/>
      <c r="O245" s="2247"/>
      <c r="P245" s="1016"/>
      <c r="Q245" s="1016"/>
      <c r="R245" s="1016"/>
      <c r="S245" s="2244"/>
      <c r="T245" s="2245"/>
      <c r="U245" s="2245"/>
      <c r="V245" s="2245"/>
      <c r="W245" s="2245"/>
      <c r="X245" s="2245"/>
      <c r="Y245" s="2245"/>
      <c r="Z245" s="2245"/>
      <c r="AA245" s="2245"/>
      <c r="AB245" s="2245"/>
      <c r="AC245" s="2245"/>
      <c r="AD245" s="2245"/>
      <c r="AE245" s="2245"/>
      <c r="AF245" s="2245"/>
      <c r="AG245" s="2245"/>
      <c r="AH245" s="2245"/>
      <c r="AI245" s="2245"/>
      <c r="AJ245" s="2246"/>
      <c r="AK245" s="1016"/>
      <c r="AL245" s="1016"/>
      <c r="AM245" s="1016"/>
      <c r="AN245" s="1016"/>
      <c r="AO245" s="1016"/>
      <c r="AP245" s="1016"/>
      <c r="AQ245" s="1016"/>
      <c r="AR245" s="1016"/>
      <c r="AS245" s="1016"/>
      <c r="AT245" s="1016"/>
      <c r="AU245" s="1016"/>
      <c r="AV245" s="1016"/>
      <c r="AW245" s="1016"/>
      <c r="AX245" s="1016"/>
      <c r="AY245" s="1016"/>
      <c r="AZ245" s="1016"/>
      <c r="BA245" s="1016"/>
      <c r="BB245" s="1016"/>
      <c r="BC245" s="1016"/>
      <c r="BD245" s="1017"/>
      <c r="BE245" s="973"/>
    </row>
    <row r="246" spans="1:57" ht="15.75" customHeight="1" thickBot="1">
      <c r="A246" s="970"/>
      <c r="B246" s="1015"/>
      <c r="C246" s="1016"/>
      <c r="D246" s="1016"/>
      <c r="E246" s="1016"/>
      <c r="F246" s="1016"/>
      <c r="G246" s="1016"/>
      <c r="H246" s="1016"/>
      <c r="I246" s="1016"/>
      <c r="J246" s="1016"/>
      <c r="K246" s="1016"/>
      <c r="L246" s="1016"/>
      <c r="M246" s="1016"/>
      <c r="N246" s="1016"/>
      <c r="O246" s="1016"/>
      <c r="P246" s="1016"/>
      <c r="Q246" s="1016"/>
      <c r="R246" s="1016"/>
      <c r="S246" s="1016"/>
      <c r="T246" s="1016"/>
      <c r="U246" s="1016"/>
      <c r="V246" s="1016"/>
      <c r="W246" s="1016"/>
      <c r="X246" s="1016"/>
      <c r="Y246" s="1016"/>
      <c r="Z246" s="1016"/>
      <c r="AA246" s="1016"/>
      <c r="AB246" s="1016"/>
      <c r="AC246" s="1016"/>
      <c r="AD246" s="1016"/>
      <c r="AE246" s="1016"/>
      <c r="AF246" s="1016"/>
      <c r="AG246" s="1016"/>
      <c r="AH246" s="1016"/>
      <c r="AI246" s="1016"/>
      <c r="AJ246" s="1016"/>
      <c r="AK246" s="1016"/>
      <c r="AL246" s="1016"/>
      <c r="AM246" s="1016"/>
      <c r="AN246" s="1016"/>
      <c r="AO246" s="1016"/>
      <c r="AP246" s="1016"/>
      <c r="AQ246" s="1016"/>
      <c r="AR246" s="1016"/>
      <c r="AS246" s="1016"/>
      <c r="AT246" s="1016"/>
      <c r="AU246" s="1016"/>
      <c r="AV246" s="1016"/>
      <c r="AW246" s="1016"/>
      <c r="AX246" s="1016"/>
      <c r="AY246" s="1016"/>
      <c r="AZ246" s="1016"/>
      <c r="BA246" s="1016"/>
      <c r="BB246" s="1016"/>
      <c r="BC246" s="1016"/>
      <c r="BD246" s="1017"/>
      <c r="BE246" s="973"/>
    </row>
    <row r="247" spans="1:57" ht="15.75" customHeight="1" thickBot="1">
      <c r="A247" s="970"/>
      <c r="B247" s="1015"/>
      <c r="C247" s="1016"/>
      <c r="D247" s="1016"/>
      <c r="E247" s="1016"/>
      <c r="F247" s="1016"/>
      <c r="G247" s="1016"/>
      <c r="H247" s="2248" t="s">
        <v>2069</v>
      </c>
      <c r="I247" s="2248"/>
      <c r="J247" s="1016"/>
      <c r="K247" s="1016"/>
      <c r="L247" s="1016"/>
      <c r="M247" s="1016"/>
      <c r="N247" s="1016"/>
      <c r="O247" s="1016"/>
      <c r="P247" s="1016"/>
      <c r="Q247" s="1016"/>
      <c r="R247" s="1016"/>
      <c r="S247" s="2249"/>
      <c r="T247" s="2250"/>
      <c r="U247" s="2250"/>
      <c r="V247" s="2250"/>
      <c r="W247" s="2250"/>
      <c r="X247" s="2250"/>
      <c r="Y247" s="2250"/>
      <c r="Z247" s="2250"/>
      <c r="AA247" s="2250"/>
      <c r="AB247" s="2250"/>
      <c r="AC247" s="2250"/>
      <c r="AD247" s="2250"/>
      <c r="AE247" s="2250"/>
      <c r="AF247" s="2250"/>
      <c r="AG247" s="2250"/>
      <c r="AH247" s="2250"/>
      <c r="AI247" s="2250"/>
      <c r="AJ247" s="2251"/>
      <c r="AK247" s="1016"/>
      <c r="AL247" s="1016"/>
      <c r="AM247" s="1016"/>
      <c r="AN247" s="1016"/>
      <c r="AO247" s="1016"/>
      <c r="AP247" s="1016"/>
      <c r="AQ247" s="1016"/>
      <c r="AR247" s="1016"/>
      <c r="AS247" s="1016"/>
      <c r="AT247" s="1016"/>
      <c r="AU247" s="1016"/>
      <c r="AV247" s="1016"/>
      <c r="AW247" s="1016"/>
      <c r="AX247" s="1016"/>
      <c r="AY247" s="1016"/>
      <c r="AZ247" s="1016"/>
      <c r="BA247" s="1016"/>
      <c r="BB247" s="1016"/>
      <c r="BC247" s="1016"/>
      <c r="BD247" s="1017"/>
      <c r="BE247" s="973"/>
    </row>
    <row r="248" spans="1:57" ht="15.75" customHeight="1" thickBot="1">
      <c r="A248" s="970"/>
      <c r="B248" s="1019"/>
      <c r="C248" s="1020"/>
      <c r="D248" s="1020"/>
      <c r="E248" s="1020"/>
      <c r="F248" s="1020"/>
      <c r="G248" s="1020"/>
      <c r="H248" s="1020"/>
      <c r="I248" s="1020"/>
      <c r="J248" s="1020"/>
      <c r="K248" s="1020"/>
      <c r="L248" s="1020"/>
      <c r="M248" s="1020"/>
      <c r="N248" s="1020"/>
      <c r="O248" s="1020"/>
      <c r="P248" s="1020"/>
      <c r="Q248" s="1020"/>
      <c r="R248" s="1020"/>
      <c r="S248" s="1020"/>
      <c r="T248" s="1020"/>
      <c r="U248" s="1020"/>
      <c r="V248" s="1020"/>
      <c r="W248" s="1020"/>
      <c r="X248" s="1020"/>
      <c r="Y248" s="1020"/>
      <c r="Z248" s="1020"/>
      <c r="AA248" s="1020"/>
      <c r="AB248" s="1020"/>
      <c r="AC248" s="1020"/>
      <c r="AD248" s="1020"/>
      <c r="AE248" s="1020"/>
      <c r="AF248" s="1020"/>
      <c r="AG248" s="1020"/>
      <c r="AH248" s="1020"/>
      <c r="AI248" s="1020"/>
      <c r="AJ248" s="1020"/>
      <c r="AK248" s="1020"/>
      <c r="AL248" s="1020"/>
      <c r="AM248" s="1020"/>
      <c r="AN248" s="1020"/>
      <c r="AO248" s="1020"/>
      <c r="AP248" s="1020"/>
      <c r="AQ248" s="1020"/>
      <c r="AR248" s="1020"/>
      <c r="AS248" s="1020"/>
      <c r="AT248" s="1020"/>
      <c r="AU248" s="1020"/>
      <c r="AV248" s="1020"/>
      <c r="AW248" s="1020"/>
      <c r="AX248" s="1020"/>
      <c r="AY248" s="1020"/>
      <c r="AZ248" s="1020"/>
      <c r="BA248" s="1020"/>
      <c r="BB248" s="1020"/>
      <c r="BC248" s="1020"/>
      <c r="BD248" s="1021"/>
      <c r="BE248" s="973"/>
    </row>
    <row r="249" spans="1:57" ht="15.75" customHeight="1" thickBot="1">
      <c r="A249" s="1013"/>
      <c r="B249" s="1013"/>
      <c r="C249" s="1013"/>
      <c r="D249" s="1013"/>
      <c r="E249" s="1013"/>
      <c r="F249" s="1013"/>
      <c r="G249" s="1013"/>
      <c r="H249" s="1013"/>
      <c r="I249" s="1013"/>
      <c r="J249" s="1013"/>
      <c r="K249" s="1013"/>
      <c r="L249" s="1013"/>
      <c r="M249" s="1013"/>
      <c r="N249" s="1013"/>
      <c r="O249" s="1013"/>
      <c r="P249" s="1013"/>
      <c r="Q249" s="1013"/>
      <c r="R249" s="1013"/>
      <c r="S249" s="1013"/>
      <c r="T249" s="1013"/>
      <c r="U249" s="1013"/>
      <c r="V249" s="1013"/>
      <c r="W249" s="1013"/>
      <c r="X249" s="1013"/>
      <c r="Y249" s="1013"/>
      <c r="Z249" s="1013"/>
      <c r="AA249" s="1013"/>
      <c r="AB249" s="1013"/>
      <c r="AC249" s="1013"/>
      <c r="AD249" s="1013"/>
      <c r="AE249" s="1013"/>
      <c r="AF249" s="1013"/>
      <c r="AG249" s="1013"/>
      <c r="AH249" s="1013"/>
      <c r="AI249" s="1013"/>
      <c r="AJ249" s="1013"/>
      <c r="AK249" s="1013"/>
      <c r="AL249" s="1013"/>
      <c r="AM249" s="1013"/>
      <c r="AN249" s="1013"/>
      <c r="AO249" s="1013"/>
      <c r="AP249" s="1013"/>
      <c r="AQ249" s="1013"/>
      <c r="AR249" s="1013"/>
      <c r="AS249" s="1013"/>
      <c r="AT249" s="1013"/>
      <c r="AU249" s="1013"/>
      <c r="AV249" s="1013"/>
      <c r="AW249" s="1013"/>
      <c r="AX249" s="1013"/>
      <c r="AY249" s="1013"/>
      <c r="AZ249" s="1013"/>
      <c r="BA249" s="1013"/>
      <c r="BB249" s="1013"/>
      <c r="BC249" s="1013"/>
      <c r="BD249" s="1013"/>
      <c r="BE249" s="1014"/>
    </row>
    <row r="252" spans="1:57" ht="15.75" customHeight="1">
      <c r="D252" s="968"/>
    </row>
    <row r="253" spans="1:57" ht="15.75" customHeight="1">
      <c r="D253" s="1022"/>
    </row>
    <row r="254" spans="1:57" ht="15.75" customHeight="1">
      <c r="D254" s="968"/>
    </row>
    <row r="255" spans="1:57" ht="15.75" customHeight="1">
      <c r="D255" s="968"/>
    </row>
    <row r="256" spans="1:57" ht="15.75" customHeight="1">
      <c r="R256" s="967"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3" workbookViewId="0">
      <selection activeCell="AB72" sqref="AB72:AF72"/>
    </sheetView>
  </sheetViews>
  <sheetFormatPr defaultColWidth="0" defaultRowHeight="13.2" customHeight="1"/>
  <cols>
    <col min="1" max="1" width="1.6640625" style="272" customWidth="1"/>
    <col min="2" max="2" width="0.6640625" style="272" customWidth="1"/>
    <col min="3" max="18" width="2.6640625" style="272" customWidth="1"/>
    <col min="19" max="19" width="6.33203125" style="272" customWidth="1"/>
    <col min="20" max="39" width="2.6640625" style="272" customWidth="1"/>
    <col min="40" max="40" width="1.6640625" style="272" customWidth="1"/>
    <col min="41" max="256" width="2.6640625" style="272" hidden="1"/>
    <col min="257" max="257" width="1.6640625" style="272" hidden="1" customWidth="1"/>
    <col min="258" max="258" width="0.6640625" style="272" hidden="1" customWidth="1"/>
    <col min="259" max="274" width="2.6640625" style="272" hidden="1" customWidth="1"/>
    <col min="275" max="275" width="4" style="272" hidden="1" customWidth="1"/>
    <col min="276" max="279" width="2.6640625" style="272" hidden="1" customWidth="1"/>
    <col min="280" max="280" width="2.33203125" style="272" hidden="1" customWidth="1"/>
    <col min="281" max="284" width="2.6640625" style="272" hidden="1" customWidth="1"/>
    <col min="285" max="285" width="2.33203125" style="272" hidden="1" customWidth="1"/>
    <col min="286" max="289" width="2.6640625" style="272" hidden="1" customWidth="1"/>
    <col min="290" max="295" width="2.33203125" style="272" hidden="1" customWidth="1"/>
    <col min="296" max="296" width="1.6640625" style="272" hidden="1" customWidth="1"/>
    <col min="297" max="512" width="2.6640625" style="272" hidden="1"/>
    <col min="513" max="513" width="1.6640625" style="272" hidden="1" customWidth="1"/>
    <col min="514" max="514" width="0.6640625" style="272" hidden="1" customWidth="1"/>
    <col min="515" max="530" width="2.6640625" style="272" hidden="1" customWidth="1"/>
    <col min="531" max="531" width="4" style="272" hidden="1" customWidth="1"/>
    <col min="532" max="535" width="2.6640625" style="272" hidden="1" customWidth="1"/>
    <col min="536" max="536" width="2.33203125" style="272" hidden="1" customWidth="1"/>
    <col min="537" max="540" width="2.6640625" style="272" hidden="1" customWidth="1"/>
    <col min="541" max="541" width="2.33203125" style="272" hidden="1" customWidth="1"/>
    <col min="542" max="545" width="2.6640625" style="272" hidden="1" customWidth="1"/>
    <col min="546" max="551" width="2.33203125" style="272" hidden="1" customWidth="1"/>
    <col min="552" max="552" width="1.6640625" style="272" hidden="1" customWidth="1"/>
    <col min="553" max="768" width="2.6640625" style="272" hidden="1"/>
    <col min="769" max="769" width="1.6640625" style="272" hidden="1" customWidth="1"/>
    <col min="770" max="770" width="0.6640625" style="272" hidden="1" customWidth="1"/>
    <col min="771" max="786" width="2.6640625" style="272" hidden="1" customWidth="1"/>
    <col min="787" max="787" width="4" style="272" hidden="1" customWidth="1"/>
    <col min="788" max="791" width="2.6640625" style="272" hidden="1" customWidth="1"/>
    <col min="792" max="792" width="2.33203125" style="272" hidden="1" customWidth="1"/>
    <col min="793" max="796" width="2.6640625" style="272" hidden="1" customWidth="1"/>
    <col min="797" max="797" width="2.33203125" style="272" hidden="1" customWidth="1"/>
    <col min="798" max="801" width="2.6640625" style="272" hidden="1" customWidth="1"/>
    <col min="802" max="807" width="2.33203125" style="272" hidden="1" customWidth="1"/>
    <col min="808" max="808" width="1.6640625" style="272" hidden="1" customWidth="1"/>
    <col min="809" max="1024" width="2.6640625" style="272" hidden="1"/>
    <col min="1025" max="1025" width="1.6640625" style="272" hidden="1" customWidth="1"/>
    <col min="1026" max="1026" width="0.6640625" style="272" hidden="1" customWidth="1"/>
    <col min="1027" max="1042" width="2.6640625" style="272" hidden="1" customWidth="1"/>
    <col min="1043" max="1043" width="4" style="272" hidden="1" customWidth="1"/>
    <col min="1044" max="1047" width="2.6640625" style="272" hidden="1" customWidth="1"/>
    <col min="1048" max="1048" width="2.33203125" style="272" hidden="1" customWidth="1"/>
    <col min="1049" max="1052" width="2.6640625" style="272" hidden="1" customWidth="1"/>
    <col min="1053" max="1053" width="2.33203125" style="272" hidden="1" customWidth="1"/>
    <col min="1054" max="1057" width="2.6640625" style="272" hidden="1" customWidth="1"/>
    <col min="1058" max="1063" width="2.33203125" style="272" hidden="1" customWidth="1"/>
    <col min="1064" max="1064" width="1.6640625" style="272" hidden="1" customWidth="1"/>
    <col min="1065" max="1280" width="2.6640625" style="272" hidden="1"/>
    <col min="1281" max="1281" width="1.6640625" style="272" hidden="1" customWidth="1"/>
    <col min="1282" max="1282" width="0.6640625" style="272" hidden="1" customWidth="1"/>
    <col min="1283" max="1298" width="2.6640625" style="272" hidden="1" customWidth="1"/>
    <col min="1299" max="1299" width="4" style="272" hidden="1" customWidth="1"/>
    <col min="1300" max="1303" width="2.6640625" style="272" hidden="1" customWidth="1"/>
    <col min="1304" max="1304" width="2.33203125" style="272" hidden="1" customWidth="1"/>
    <col min="1305" max="1308" width="2.6640625" style="272" hidden="1" customWidth="1"/>
    <col min="1309" max="1309" width="2.33203125" style="272" hidden="1" customWidth="1"/>
    <col min="1310" max="1313" width="2.6640625" style="272" hidden="1" customWidth="1"/>
    <col min="1314" max="1319" width="2.33203125" style="272" hidden="1" customWidth="1"/>
    <col min="1320" max="1320" width="1.6640625" style="272" hidden="1" customWidth="1"/>
    <col min="1321" max="1536" width="2.6640625" style="272" hidden="1"/>
    <col min="1537" max="1537" width="1.6640625" style="272" hidden="1" customWidth="1"/>
    <col min="1538" max="1538" width="0.6640625" style="272" hidden="1" customWidth="1"/>
    <col min="1539" max="1554" width="2.6640625" style="272" hidden="1" customWidth="1"/>
    <col min="1555" max="1555" width="4" style="272" hidden="1" customWidth="1"/>
    <col min="1556" max="1559" width="2.6640625" style="272" hidden="1" customWidth="1"/>
    <col min="1560" max="1560" width="2.33203125" style="272" hidden="1" customWidth="1"/>
    <col min="1561" max="1564" width="2.6640625" style="272" hidden="1" customWidth="1"/>
    <col min="1565" max="1565" width="2.33203125" style="272" hidden="1" customWidth="1"/>
    <col min="1566" max="1569" width="2.6640625" style="272" hidden="1" customWidth="1"/>
    <col min="1570" max="1575" width="2.33203125" style="272" hidden="1" customWidth="1"/>
    <col min="1576" max="1576" width="1.6640625" style="272" hidden="1" customWidth="1"/>
    <col min="1577" max="1792" width="2.6640625" style="272" hidden="1"/>
    <col min="1793" max="1793" width="1.6640625" style="272" hidden="1" customWidth="1"/>
    <col min="1794" max="1794" width="0.6640625" style="272" hidden="1" customWidth="1"/>
    <col min="1795" max="1810" width="2.6640625" style="272" hidden="1" customWidth="1"/>
    <col min="1811" max="1811" width="4" style="272" hidden="1" customWidth="1"/>
    <col min="1812" max="1815" width="2.6640625" style="272" hidden="1" customWidth="1"/>
    <col min="1816" max="1816" width="2.33203125" style="272" hidden="1" customWidth="1"/>
    <col min="1817" max="1820" width="2.6640625" style="272" hidden="1" customWidth="1"/>
    <col min="1821" max="1821" width="2.33203125" style="272" hidden="1" customWidth="1"/>
    <col min="1822" max="1825" width="2.6640625" style="272" hidden="1" customWidth="1"/>
    <col min="1826" max="1831" width="2.33203125" style="272" hidden="1" customWidth="1"/>
    <col min="1832" max="1832" width="1.6640625" style="272" hidden="1" customWidth="1"/>
    <col min="1833" max="2048" width="2.6640625" style="272" hidden="1"/>
    <col min="2049" max="2049" width="1.6640625" style="272" hidden="1" customWidth="1"/>
    <col min="2050" max="2050" width="0.6640625" style="272" hidden="1" customWidth="1"/>
    <col min="2051" max="2066" width="2.6640625" style="272" hidden="1" customWidth="1"/>
    <col min="2067" max="2067" width="4" style="272" hidden="1" customWidth="1"/>
    <col min="2068" max="2071" width="2.6640625" style="272" hidden="1" customWidth="1"/>
    <col min="2072" max="2072" width="2.33203125" style="272" hidden="1" customWidth="1"/>
    <col min="2073" max="2076" width="2.6640625" style="272" hidden="1" customWidth="1"/>
    <col min="2077" max="2077" width="2.33203125" style="272" hidden="1" customWidth="1"/>
    <col min="2078" max="2081" width="2.6640625" style="272" hidden="1" customWidth="1"/>
    <col min="2082" max="2087" width="2.33203125" style="272" hidden="1" customWidth="1"/>
    <col min="2088" max="2088" width="1.6640625" style="272" hidden="1" customWidth="1"/>
    <col min="2089" max="2304" width="2.6640625" style="272" hidden="1"/>
    <col min="2305" max="2305" width="1.6640625" style="272" hidden="1" customWidth="1"/>
    <col min="2306" max="2306" width="0.6640625" style="272" hidden="1" customWidth="1"/>
    <col min="2307" max="2322" width="2.6640625" style="272" hidden="1" customWidth="1"/>
    <col min="2323" max="2323" width="4" style="272" hidden="1" customWidth="1"/>
    <col min="2324" max="2327" width="2.6640625" style="272" hidden="1" customWidth="1"/>
    <col min="2328" max="2328" width="2.33203125" style="272" hidden="1" customWidth="1"/>
    <col min="2329" max="2332" width="2.6640625" style="272" hidden="1" customWidth="1"/>
    <col min="2333" max="2333" width="2.33203125" style="272" hidden="1" customWidth="1"/>
    <col min="2334" max="2337" width="2.6640625" style="272" hidden="1" customWidth="1"/>
    <col min="2338" max="2343" width="2.33203125" style="272" hidden="1" customWidth="1"/>
    <col min="2344" max="2344" width="1.6640625" style="272" hidden="1" customWidth="1"/>
    <col min="2345" max="2560" width="2.6640625" style="272" hidden="1"/>
    <col min="2561" max="2561" width="1.6640625" style="272" hidden="1" customWidth="1"/>
    <col min="2562" max="2562" width="0.6640625" style="272" hidden="1" customWidth="1"/>
    <col min="2563" max="2578" width="2.6640625" style="272" hidden="1" customWidth="1"/>
    <col min="2579" max="2579" width="4" style="272" hidden="1" customWidth="1"/>
    <col min="2580" max="2583" width="2.6640625" style="272" hidden="1" customWidth="1"/>
    <col min="2584" max="2584" width="2.33203125" style="272" hidden="1" customWidth="1"/>
    <col min="2585" max="2588" width="2.6640625" style="272" hidden="1" customWidth="1"/>
    <col min="2589" max="2589" width="2.33203125" style="272" hidden="1" customWidth="1"/>
    <col min="2590" max="2593" width="2.6640625" style="272" hidden="1" customWidth="1"/>
    <col min="2594" max="2599" width="2.33203125" style="272" hidden="1" customWidth="1"/>
    <col min="2600" max="2600" width="1.6640625" style="272" hidden="1" customWidth="1"/>
    <col min="2601" max="2816" width="2.6640625" style="272" hidden="1"/>
    <col min="2817" max="2817" width="1.6640625" style="272" hidden="1" customWidth="1"/>
    <col min="2818" max="2818" width="0.6640625" style="272" hidden="1" customWidth="1"/>
    <col min="2819" max="2834" width="2.6640625" style="272" hidden="1" customWidth="1"/>
    <col min="2835" max="2835" width="4" style="272" hidden="1" customWidth="1"/>
    <col min="2836" max="2839" width="2.6640625" style="272" hidden="1" customWidth="1"/>
    <col min="2840" max="2840" width="2.33203125" style="272" hidden="1" customWidth="1"/>
    <col min="2841" max="2844" width="2.6640625" style="272" hidden="1" customWidth="1"/>
    <col min="2845" max="2845" width="2.33203125" style="272" hidden="1" customWidth="1"/>
    <col min="2846" max="2849" width="2.6640625" style="272" hidden="1" customWidth="1"/>
    <col min="2850" max="2855" width="2.33203125" style="272" hidden="1" customWidth="1"/>
    <col min="2856" max="2856" width="1.6640625" style="272" hidden="1" customWidth="1"/>
    <col min="2857" max="3072" width="2.6640625" style="272" hidden="1"/>
    <col min="3073" max="3073" width="1.6640625" style="272" hidden="1" customWidth="1"/>
    <col min="3074" max="3074" width="0.6640625" style="272" hidden="1" customWidth="1"/>
    <col min="3075" max="3090" width="2.6640625" style="272" hidden="1" customWidth="1"/>
    <col min="3091" max="3091" width="4" style="272" hidden="1" customWidth="1"/>
    <col min="3092" max="3095" width="2.6640625" style="272" hidden="1" customWidth="1"/>
    <col min="3096" max="3096" width="2.33203125" style="272" hidden="1" customWidth="1"/>
    <col min="3097" max="3100" width="2.6640625" style="272" hidden="1" customWidth="1"/>
    <col min="3101" max="3101" width="2.33203125" style="272" hidden="1" customWidth="1"/>
    <col min="3102" max="3105" width="2.6640625" style="272" hidden="1" customWidth="1"/>
    <col min="3106" max="3111" width="2.33203125" style="272" hidden="1" customWidth="1"/>
    <col min="3112" max="3112" width="1.6640625" style="272" hidden="1" customWidth="1"/>
    <col min="3113" max="3328" width="2.6640625" style="272" hidden="1"/>
    <col min="3329" max="3329" width="1.6640625" style="272" hidden="1" customWidth="1"/>
    <col min="3330" max="3330" width="0.6640625" style="272" hidden="1" customWidth="1"/>
    <col min="3331" max="3346" width="2.6640625" style="272" hidden="1" customWidth="1"/>
    <col min="3347" max="3347" width="4" style="272" hidden="1" customWidth="1"/>
    <col min="3348" max="3351" width="2.6640625" style="272" hidden="1" customWidth="1"/>
    <col min="3352" max="3352" width="2.33203125" style="272" hidden="1" customWidth="1"/>
    <col min="3353" max="3356" width="2.6640625" style="272" hidden="1" customWidth="1"/>
    <col min="3357" max="3357" width="2.33203125" style="272" hidden="1" customWidth="1"/>
    <col min="3358" max="3361" width="2.6640625" style="272" hidden="1" customWidth="1"/>
    <col min="3362" max="3367" width="2.33203125" style="272" hidden="1" customWidth="1"/>
    <col min="3368" max="3368" width="1.6640625" style="272" hidden="1" customWidth="1"/>
    <col min="3369" max="3584" width="2.6640625" style="272" hidden="1"/>
    <col min="3585" max="3585" width="1.6640625" style="272" hidden="1" customWidth="1"/>
    <col min="3586" max="3586" width="0.6640625" style="272" hidden="1" customWidth="1"/>
    <col min="3587" max="3602" width="2.6640625" style="272" hidden="1" customWidth="1"/>
    <col min="3603" max="3603" width="4" style="272" hidden="1" customWidth="1"/>
    <col min="3604" max="3607" width="2.6640625" style="272" hidden="1" customWidth="1"/>
    <col min="3608" max="3608" width="2.33203125" style="272" hidden="1" customWidth="1"/>
    <col min="3609" max="3612" width="2.6640625" style="272" hidden="1" customWidth="1"/>
    <col min="3613" max="3613" width="2.33203125" style="272" hidden="1" customWidth="1"/>
    <col min="3614" max="3617" width="2.6640625" style="272" hidden="1" customWidth="1"/>
    <col min="3618" max="3623" width="2.33203125" style="272" hidden="1" customWidth="1"/>
    <col min="3624" max="3624" width="1.6640625" style="272" hidden="1" customWidth="1"/>
    <col min="3625" max="3840" width="2.6640625" style="272" hidden="1"/>
    <col min="3841" max="3841" width="1.6640625" style="272" hidden="1" customWidth="1"/>
    <col min="3842" max="3842" width="0.6640625" style="272" hidden="1" customWidth="1"/>
    <col min="3843" max="3858" width="2.6640625" style="272" hidden="1" customWidth="1"/>
    <col min="3859" max="3859" width="4" style="272" hidden="1" customWidth="1"/>
    <col min="3860" max="3863" width="2.6640625" style="272" hidden="1" customWidth="1"/>
    <col min="3864" max="3864" width="2.33203125" style="272" hidden="1" customWidth="1"/>
    <col min="3865" max="3868" width="2.6640625" style="272" hidden="1" customWidth="1"/>
    <col min="3869" max="3869" width="2.33203125" style="272" hidden="1" customWidth="1"/>
    <col min="3870" max="3873" width="2.6640625" style="272" hidden="1" customWidth="1"/>
    <col min="3874" max="3879" width="2.33203125" style="272" hidden="1" customWidth="1"/>
    <col min="3880" max="3880" width="1.6640625" style="272" hidden="1" customWidth="1"/>
    <col min="3881" max="4096" width="2.6640625" style="272" hidden="1"/>
    <col min="4097" max="4097" width="1.6640625" style="272" hidden="1" customWidth="1"/>
    <col min="4098" max="4098" width="0.6640625" style="272" hidden="1" customWidth="1"/>
    <col min="4099" max="4114" width="2.6640625" style="272" hidden="1" customWidth="1"/>
    <col min="4115" max="4115" width="4" style="272" hidden="1" customWidth="1"/>
    <col min="4116" max="4119" width="2.6640625" style="272" hidden="1" customWidth="1"/>
    <col min="4120" max="4120" width="2.33203125" style="272" hidden="1" customWidth="1"/>
    <col min="4121" max="4124" width="2.6640625" style="272" hidden="1" customWidth="1"/>
    <col min="4125" max="4125" width="2.33203125" style="272" hidden="1" customWidth="1"/>
    <col min="4126" max="4129" width="2.6640625" style="272" hidden="1" customWidth="1"/>
    <col min="4130" max="4135" width="2.33203125" style="272" hidden="1" customWidth="1"/>
    <col min="4136" max="4136" width="1.6640625" style="272" hidden="1" customWidth="1"/>
    <col min="4137" max="4352" width="2.6640625" style="272" hidden="1"/>
    <col min="4353" max="4353" width="1.6640625" style="272" hidden="1" customWidth="1"/>
    <col min="4354" max="4354" width="0.6640625" style="272" hidden="1" customWidth="1"/>
    <col min="4355" max="4370" width="2.6640625" style="272" hidden="1" customWidth="1"/>
    <col min="4371" max="4371" width="4" style="272" hidden="1" customWidth="1"/>
    <col min="4372" max="4375" width="2.6640625" style="272" hidden="1" customWidth="1"/>
    <col min="4376" max="4376" width="2.33203125" style="272" hidden="1" customWidth="1"/>
    <col min="4377" max="4380" width="2.6640625" style="272" hidden="1" customWidth="1"/>
    <col min="4381" max="4381" width="2.33203125" style="272" hidden="1" customWidth="1"/>
    <col min="4382" max="4385" width="2.6640625" style="272" hidden="1" customWidth="1"/>
    <col min="4386" max="4391" width="2.33203125" style="272" hidden="1" customWidth="1"/>
    <col min="4392" max="4392" width="1.6640625" style="272" hidden="1" customWidth="1"/>
    <col min="4393" max="4608" width="2.6640625" style="272" hidden="1"/>
    <col min="4609" max="4609" width="1.6640625" style="272" hidden="1" customWidth="1"/>
    <col min="4610" max="4610" width="0.6640625" style="272" hidden="1" customWidth="1"/>
    <col min="4611" max="4626" width="2.6640625" style="272" hidden="1" customWidth="1"/>
    <col min="4627" max="4627" width="4" style="272" hidden="1" customWidth="1"/>
    <col min="4628" max="4631" width="2.6640625" style="272" hidden="1" customWidth="1"/>
    <col min="4632" max="4632" width="2.33203125" style="272" hidden="1" customWidth="1"/>
    <col min="4633" max="4636" width="2.6640625" style="272" hidden="1" customWidth="1"/>
    <col min="4637" max="4637" width="2.33203125" style="272" hidden="1" customWidth="1"/>
    <col min="4638" max="4641" width="2.6640625" style="272" hidden="1" customWidth="1"/>
    <col min="4642" max="4647" width="2.33203125" style="272" hidden="1" customWidth="1"/>
    <col min="4648" max="4648" width="1.6640625" style="272" hidden="1" customWidth="1"/>
    <col min="4649" max="4864" width="2.6640625" style="272" hidden="1"/>
    <col min="4865" max="4865" width="1.6640625" style="272" hidden="1" customWidth="1"/>
    <col min="4866" max="4866" width="0.6640625" style="272" hidden="1" customWidth="1"/>
    <col min="4867" max="4882" width="2.6640625" style="272" hidden="1" customWidth="1"/>
    <col min="4883" max="4883" width="4" style="272" hidden="1" customWidth="1"/>
    <col min="4884" max="4887" width="2.6640625" style="272" hidden="1" customWidth="1"/>
    <col min="4888" max="4888" width="2.33203125" style="272" hidden="1" customWidth="1"/>
    <col min="4889" max="4892" width="2.6640625" style="272" hidden="1" customWidth="1"/>
    <col min="4893" max="4893" width="2.33203125" style="272" hidden="1" customWidth="1"/>
    <col min="4894" max="4897" width="2.6640625" style="272" hidden="1" customWidth="1"/>
    <col min="4898" max="4903" width="2.33203125" style="272" hidden="1" customWidth="1"/>
    <col min="4904" max="4904" width="1.6640625" style="272" hidden="1" customWidth="1"/>
    <col min="4905" max="5120" width="2.6640625" style="272" hidden="1"/>
    <col min="5121" max="5121" width="1.6640625" style="272" hidden="1" customWidth="1"/>
    <col min="5122" max="5122" width="0.6640625" style="272" hidden="1" customWidth="1"/>
    <col min="5123" max="5138" width="2.6640625" style="272" hidden="1" customWidth="1"/>
    <col min="5139" max="5139" width="4" style="272" hidden="1" customWidth="1"/>
    <col min="5140" max="5143" width="2.6640625" style="272" hidden="1" customWidth="1"/>
    <col min="5144" max="5144" width="2.33203125" style="272" hidden="1" customWidth="1"/>
    <col min="5145" max="5148" width="2.6640625" style="272" hidden="1" customWidth="1"/>
    <col min="5149" max="5149" width="2.33203125" style="272" hidden="1" customWidth="1"/>
    <col min="5150" max="5153" width="2.6640625" style="272" hidden="1" customWidth="1"/>
    <col min="5154" max="5159" width="2.33203125" style="272" hidden="1" customWidth="1"/>
    <col min="5160" max="5160" width="1.6640625" style="272" hidden="1" customWidth="1"/>
    <col min="5161" max="5376" width="2.6640625" style="272" hidden="1"/>
    <col min="5377" max="5377" width="1.6640625" style="272" hidden="1" customWidth="1"/>
    <col min="5378" max="5378" width="0.6640625" style="272" hidden="1" customWidth="1"/>
    <col min="5379" max="5394" width="2.6640625" style="272" hidden="1" customWidth="1"/>
    <col min="5395" max="5395" width="4" style="272" hidden="1" customWidth="1"/>
    <col min="5396" max="5399" width="2.6640625" style="272" hidden="1" customWidth="1"/>
    <col min="5400" max="5400" width="2.33203125" style="272" hidden="1" customWidth="1"/>
    <col min="5401" max="5404" width="2.6640625" style="272" hidden="1" customWidth="1"/>
    <col min="5405" max="5405" width="2.33203125" style="272" hidden="1" customWidth="1"/>
    <col min="5406" max="5409" width="2.6640625" style="272" hidden="1" customWidth="1"/>
    <col min="5410" max="5415" width="2.33203125" style="272" hidden="1" customWidth="1"/>
    <col min="5416" max="5416" width="1.6640625" style="272" hidden="1" customWidth="1"/>
    <col min="5417" max="5632" width="2.6640625" style="272" hidden="1"/>
    <col min="5633" max="5633" width="1.6640625" style="272" hidden="1" customWidth="1"/>
    <col min="5634" max="5634" width="0.6640625" style="272" hidden="1" customWidth="1"/>
    <col min="5635" max="5650" width="2.6640625" style="272" hidden="1" customWidth="1"/>
    <col min="5651" max="5651" width="4" style="272" hidden="1" customWidth="1"/>
    <col min="5652" max="5655" width="2.6640625" style="272" hidden="1" customWidth="1"/>
    <col min="5656" max="5656" width="2.33203125" style="272" hidden="1" customWidth="1"/>
    <col min="5657" max="5660" width="2.6640625" style="272" hidden="1" customWidth="1"/>
    <col min="5661" max="5661" width="2.33203125" style="272" hidden="1" customWidth="1"/>
    <col min="5662" max="5665" width="2.6640625" style="272" hidden="1" customWidth="1"/>
    <col min="5666" max="5671" width="2.33203125" style="272" hidden="1" customWidth="1"/>
    <col min="5672" max="5672" width="1.6640625" style="272" hidden="1" customWidth="1"/>
    <col min="5673" max="5888" width="2.6640625" style="272" hidden="1"/>
    <col min="5889" max="5889" width="1.6640625" style="272" hidden="1" customWidth="1"/>
    <col min="5890" max="5890" width="0.6640625" style="272" hidden="1" customWidth="1"/>
    <col min="5891" max="5906" width="2.6640625" style="272" hidden="1" customWidth="1"/>
    <col min="5907" max="5907" width="4" style="272" hidden="1" customWidth="1"/>
    <col min="5908" max="5911" width="2.6640625" style="272" hidden="1" customWidth="1"/>
    <col min="5912" max="5912" width="2.33203125" style="272" hidden="1" customWidth="1"/>
    <col min="5913" max="5916" width="2.6640625" style="272" hidden="1" customWidth="1"/>
    <col min="5917" max="5917" width="2.33203125" style="272" hidden="1" customWidth="1"/>
    <col min="5918" max="5921" width="2.6640625" style="272" hidden="1" customWidth="1"/>
    <col min="5922" max="5927" width="2.33203125" style="272" hidden="1" customWidth="1"/>
    <col min="5928" max="5928" width="1.6640625" style="272" hidden="1" customWidth="1"/>
    <col min="5929" max="6144" width="2.6640625" style="272" hidden="1"/>
    <col min="6145" max="6145" width="1.6640625" style="272" hidden="1" customWidth="1"/>
    <col min="6146" max="6146" width="0.6640625" style="272" hidden="1" customWidth="1"/>
    <col min="6147" max="6162" width="2.6640625" style="272" hidden="1" customWidth="1"/>
    <col min="6163" max="6163" width="4" style="272" hidden="1" customWidth="1"/>
    <col min="6164" max="6167" width="2.6640625" style="272" hidden="1" customWidth="1"/>
    <col min="6168" max="6168" width="2.33203125" style="272" hidden="1" customWidth="1"/>
    <col min="6169" max="6172" width="2.6640625" style="272" hidden="1" customWidth="1"/>
    <col min="6173" max="6173" width="2.33203125" style="272" hidden="1" customWidth="1"/>
    <col min="6174" max="6177" width="2.6640625" style="272" hidden="1" customWidth="1"/>
    <col min="6178" max="6183" width="2.33203125" style="272" hidden="1" customWidth="1"/>
    <col min="6184" max="6184" width="1.6640625" style="272" hidden="1" customWidth="1"/>
    <col min="6185" max="6400" width="2.6640625" style="272" hidden="1"/>
    <col min="6401" max="6401" width="1.6640625" style="272" hidden="1" customWidth="1"/>
    <col min="6402" max="6402" width="0.6640625" style="272" hidden="1" customWidth="1"/>
    <col min="6403" max="6418" width="2.6640625" style="272" hidden="1" customWidth="1"/>
    <col min="6419" max="6419" width="4" style="272" hidden="1" customWidth="1"/>
    <col min="6420" max="6423" width="2.6640625" style="272" hidden="1" customWidth="1"/>
    <col min="6424" max="6424" width="2.33203125" style="272" hidden="1" customWidth="1"/>
    <col min="6425" max="6428" width="2.6640625" style="272" hidden="1" customWidth="1"/>
    <col min="6429" max="6429" width="2.33203125" style="272" hidden="1" customWidth="1"/>
    <col min="6430" max="6433" width="2.6640625" style="272" hidden="1" customWidth="1"/>
    <col min="6434" max="6439" width="2.33203125" style="272" hidden="1" customWidth="1"/>
    <col min="6440" max="6440" width="1.6640625" style="272" hidden="1" customWidth="1"/>
    <col min="6441" max="6656" width="2.6640625" style="272" hidden="1"/>
    <col min="6657" max="6657" width="1.6640625" style="272" hidden="1" customWidth="1"/>
    <col min="6658" max="6658" width="0.6640625" style="272" hidden="1" customWidth="1"/>
    <col min="6659" max="6674" width="2.6640625" style="272" hidden="1" customWidth="1"/>
    <col min="6675" max="6675" width="4" style="272" hidden="1" customWidth="1"/>
    <col min="6676" max="6679" width="2.6640625" style="272" hidden="1" customWidth="1"/>
    <col min="6680" max="6680" width="2.33203125" style="272" hidden="1" customWidth="1"/>
    <col min="6681" max="6684" width="2.6640625" style="272" hidden="1" customWidth="1"/>
    <col min="6685" max="6685" width="2.33203125" style="272" hidden="1" customWidth="1"/>
    <col min="6686" max="6689" width="2.6640625" style="272" hidden="1" customWidth="1"/>
    <col min="6690" max="6695" width="2.33203125" style="272" hidden="1" customWidth="1"/>
    <col min="6696" max="6696" width="1.6640625" style="272" hidden="1" customWidth="1"/>
    <col min="6697" max="6912" width="2.6640625" style="272" hidden="1"/>
    <col min="6913" max="6913" width="1.6640625" style="272" hidden="1" customWidth="1"/>
    <col min="6914" max="6914" width="0.6640625" style="272" hidden="1" customWidth="1"/>
    <col min="6915" max="6930" width="2.6640625" style="272" hidden="1" customWidth="1"/>
    <col min="6931" max="6931" width="4" style="272" hidden="1" customWidth="1"/>
    <col min="6932" max="6935" width="2.6640625" style="272" hidden="1" customWidth="1"/>
    <col min="6936" max="6936" width="2.33203125" style="272" hidden="1" customWidth="1"/>
    <col min="6937" max="6940" width="2.6640625" style="272" hidden="1" customWidth="1"/>
    <col min="6941" max="6941" width="2.33203125" style="272" hidden="1" customWidth="1"/>
    <col min="6942" max="6945" width="2.6640625" style="272" hidden="1" customWidth="1"/>
    <col min="6946" max="6951" width="2.33203125" style="272" hidden="1" customWidth="1"/>
    <col min="6952" max="6952" width="1.6640625" style="272" hidden="1" customWidth="1"/>
    <col min="6953" max="7168" width="2.6640625" style="272" hidden="1"/>
    <col min="7169" max="7169" width="1.6640625" style="272" hidden="1" customWidth="1"/>
    <col min="7170" max="7170" width="0.6640625" style="272" hidden="1" customWidth="1"/>
    <col min="7171" max="7186" width="2.6640625" style="272" hidden="1" customWidth="1"/>
    <col min="7187" max="7187" width="4" style="272" hidden="1" customWidth="1"/>
    <col min="7188" max="7191" width="2.6640625" style="272" hidden="1" customWidth="1"/>
    <col min="7192" max="7192" width="2.33203125" style="272" hidden="1" customWidth="1"/>
    <col min="7193" max="7196" width="2.6640625" style="272" hidden="1" customWidth="1"/>
    <col min="7197" max="7197" width="2.33203125" style="272" hidden="1" customWidth="1"/>
    <col min="7198" max="7201" width="2.6640625" style="272" hidden="1" customWidth="1"/>
    <col min="7202" max="7207" width="2.33203125" style="272" hidden="1" customWidth="1"/>
    <col min="7208" max="7208" width="1.6640625" style="272" hidden="1" customWidth="1"/>
    <col min="7209" max="7424" width="2.6640625" style="272" hidden="1"/>
    <col min="7425" max="7425" width="1.6640625" style="272" hidden="1" customWidth="1"/>
    <col min="7426" max="7426" width="0.6640625" style="272" hidden="1" customWidth="1"/>
    <col min="7427" max="7442" width="2.6640625" style="272" hidden="1" customWidth="1"/>
    <col min="7443" max="7443" width="4" style="272" hidden="1" customWidth="1"/>
    <col min="7444" max="7447" width="2.6640625" style="272" hidden="1" customWidth="1"/>
    <col min="7448" max="7448" width="2.33203125" style="272" hidden="1" customWidth="1"/>
    <col min="7449" max="7452" width="2.6640625" style="272" hidden="1" customWidth="1"/>
    <col min="7453" max="7453" width="2.33203125" style="272" hidden="1" customWidth="1"/>
    <col min="7454" max="7457" width="2.6640625" style="272" hidden="1" customWidth="1"/>
    <col min="7458" max="7463" width="2.33203125" style="272" hidden="1" customWidth="1"/>
    <col min="7464" max="7464" width="1.6640625" style="272" hidden="1" customWidth="1"/>
    <col min="7465" max="7680" width="2.6640625" style="272" hidden="1"/>
    <col min="7681" max="7681" width="1.6640625" style="272" hidden="1" customWidth="1"/>
    <col min="7682" max="7682" width="0.6640625" style="272" hidden="1" customWidth="1"/>
    <col min="7683" max="7698" width="2.6640625" style="272" hidden="1" customWidth="1"/>
    <col min="7699" max="7699" width="4" style="272" hidden="1" customWidth="1"/>
    <col min="7700" max="7703" width="2.6640625" style="272" hidden="1" customWidth="1"/>
    <col min="7704" max="7704" width="2.33203125" style="272" hidden="1" customWidth="1"/>
    <col min="7705" max="7708" width="2.6640625" style="272" hidden="1" customWidth="1"/>
    <col min="7709" max="7709" width="2.33203125" style="272" hidden="1" customWidth="1"/>
    <col min="7710" max="7713" width="2.6640625" style="272" hidden="1" customWidth="1"/>
    <col min="7714" max="7719" width="2.33203125" style="272" hidden="1" customWidth="1"/>
    <col min="7720" max="7720" width="1.6640625" style="272" hidden="1" customWidth="1"/>
    <col min="7721" max="7936" width="2.6640625" style="272" hidden="1"/>
    <col min="7937" max="7937" width="1.6640625" style="272" hidden="1" customWidth="1"/>
    <col min="7938" max="7938" width="0.6640625" style="272" hidden="1" customWidth="1"/>
    <col min="7939" max="7954" width="2.6640625" style="272" hidden="1" customWidth="1"/>
    <col min="7955" max="7955" width="4" style="272" hidden="1" customWidth="1"/>
    <col min="7956" max="7959" width="2.6640625" style="272" hidden="1" customWidth="1"/>
    <col min="7960" max="7960" width="2.33203125" style="272" hidden="1" customWidth="1"/>
    <col min="7961" max="7964" width="2.6640625" style="272" hidden="1" customWidth="1"/>
    <col min="7965" max="7965" width="2.33203125" style="272" hidden="1" customWidth="1"/>
    <col min="7966" max="7969" width="2.6640625" style="272" hidden="1" customWidth="1"/>
    <col min="7970" max="7975" width="2.33203125" style="272" hidden="1" customWidth="1"/>
    <col min="7976" max="7976" width="1.6640625" style="272" hidden="1" customWidth="1"/>
    <col min="7977" max="8192" width="2.6640625" style="272" hidden="1"/>
    <col min="8193" max="8193" width="1.6640625" style="272" hidden="1" customWidth="1"/>
    <col min="8194" max="8194" width="0.6640625" style="272" hidden="1" customWidth="1"/>
    <col min="8195" max="8210" width="2.6640625" style="272" hidden="1" customWidth="1"/>
    <col min="8211" max="8211" width="4" style="272" hidden="1" customWidth="1"/>
    <col min="8212" max="8215" width="2.6640625" style="272" hidden="1" customWidth="1"/>
    <col min="8216" max="8216" width="2.33203125" style="272" hidden="1" customWidth="1"/>
    <col min="8217" max="8220" width="2.6640625" style="272" hidden="1" customWidth="1"/>
    <col min="8221" max="8221" width="2.33203125" style="272" hidden="1" customWidth="1"/>
    <col min="8222" max="8225" width="2.6640625" style="272" hidden="1" customWidth="1"/>
    <col min="8226" max="8231" width="2.33203125" style="272" hidden="1" customWidth="1"/>
    <col min="8232" max="8232" width="1.6640625" style="272" hidden="1" customWidth="1"/>
    <col min="8233" max="8448" width="2.6640625" style="272" hidden="1"/>
    <col min="8449" max="8449" width="1.6640625" style="272" hidden="1" customWidth="1"/>
    <col min="8450" max="8450" width="0.6640625" style="272" hidden="1" customWidth="1"/>
    <col min="8451" max="8466" width="2.6640625" style="272" hidden="1" customWidth="1"/>
    <col min="8467" max="8467" width="4" style="272" hidden="1" customWidth="1"/>
    <col min="8468" max="8471" width="2.6640625" style="272" hidden="1" customWidth="1"/>
    <col min="8472" max="8472" width="2.33203125" style="272" hidden="1" customWidth="1"/>
    <col min="8473" max="8476" width="2.6640625" style="272" hidden="1" customWidth="1"/>
    <col min="8477" max="8477" width="2.33203125" style="272" hidden="1" customWidth="1"/>
    <col min="8478" max="8481" width="2.6640625" style="272" hidden="1" customWidth="1"/>
    <col min="8482" max="8487" width="2.33203125" style="272" hidden="1" customWidth="1"/>
    <col min="8488" max="8488" width="1.6640625" style="272" hidden="1" customWidth="1"/>
    <col min="8489" max="8704" width="2.6640625" style="272" hidden="1"/>
    <col min="8705" max="8705" width="1.6640625" style="272" hidden="1" customWidth="1"/>
    <col min="8706" max="8706" width="0.6640625" style="272" hidden="1" customWidth="1"/>
    <col min="8707" max="8722" width="2.6640625" style="272" hidden="1" customWidth="1"/>
    <col min="8723" max="8723" width="4" style="272" hidden="1" customWidth="1"/>
    <col min="8724" max="8727" width="2.6640625" style="272" hidden="1" customWidth="1"/>
    <col min="8728" max="8728" width="2.33203125" style="272" hidden="1" customWidth="1"/>
    <col min="8729" max="8732" width="2.6640625" style="272" hidden="1" customWidth="1"/>
    <col min="8733" max="8733" width="2.33203125" style="272" hidden="1" customWidth="1"/>
    <col min="8734" max="8737" width="2.6640625" style="272" hidden="1" customWidth="1"/>
    <col min="8738" max="8743" width="2.33203125" style="272" hidden="1" customWidth="1"/>
    <col min="8744" max="8744" width="1.6640625" style="272" hidden="1" customWidth="1"/>
    <col min="8745" max="8960" width="2.6640625" style="272" hidden="1"/>
    <col min="8961" max="8961" width="1.6640625" style="272" hidden="1" customWidth="1"/>
    <col min="8962" max="8962" width="0.6640625" style="272" hidden="1" customWidth="1"/>
    <col min="8963" max="8978" width="2.6640625" style="272" hidden="1" customWidth="1"/>
    <col min="8979" max="8979" width="4" style="272" hidden="1" customWidth="1"/>
    <col min="8980" max="8983" width="2.6640625" style="272" hidden="1" customWidth="1"/>
    <col min="8984" max="8984" width="2.33203125" style="272" hidden="1" customWidth="1"/>
    <col min="8985" max="8988" width="2.6640625" style="272" hidden="1" customWidth="1"/>
    <col min="8989" max="8989" width="2.33203125" style="272" hidden="1" customWidth="1"/>
    <col min="8990" max="8993" width="2.6640625" style="272" hidden="1" customWidth="1"/>
    <col min="8994" max="8999" width="2.33203125" style="272" hidden="1" customWidth="1"/>
    <col min="9000" max="9000" width="1.6640625" style="272" hidden="1" customWidth="1"/>
    <col min="9001" max="9216" width="2.6640625" style="272" hidden="1"/>
    <col min="9217" max="9217" width="1.6640625" style="272" hidden="1" customWidth="1"/>
    <col min="9218" max="9218" width="0.6640625" style="272" hidden="1" customWidth="1"/>
    <col min="9219" max="9234" width="2.6640625" style="272" hidden="1" customWidth="1"/>
    <col min="9235" max="9235" width="4" style="272" hidden="1" customWidth="1"/>
    <col min="9236" max="9239" width="2.6640625" style="272" hidden="1" customWidth="1"/>
    <col min="9240" max="9240" width="2.33203125" style="272" hidden="1" customWidth="1"/>
    <col min="9241" max="9244" width="2.6640625" style="272" hidden="1" customWidth="1"/>
    <col min="9245" max="9245" width="2.33203125" style="272" hidden="1" customWidth="1"/>
    <col min="9246" max="9249" width="2.6640625" style="272" hidden="1" customWidth="1"/>
    <col min="9250" max="9255" width="2.33203125" style="272" hidden="1" customWidth="1"/>
    <col min="9256" max="9256" width="1.6640625" style="272" hidden="1" customWidth="1"/>
    <col min="9257" max="9472" width="2.6640625" style="272" hidden="1"/>
    <col min="9473" max="9473" width="1.6640625" style="272" hidden="1" customWidth="1"/>
    <col min="9474" max="9474" width="0.6640625" style="272" hidden="1" customWidth="1"/>
    <col min="9475" max="9490" width="2.6640625" style="272" hidden="1" customWidth="1"/>
    <col min="9491" max="9491" width="4" style="272" hidden="1" customWidth="1"/>
    <col min="9492" max="9495" width="2.6640625" style="272" hidden="1" customWidth="1"/>
    <col min="9496" max="9496" width="2.33203125" style="272" hidden="1" customWidth="1"/>
    <col min="9497" max="9500" width="2.6640625" style="272" hidden="1" customWidth="1"/>
    <col min="9501" max="9501" width="2.33203125" style="272" hidden="1" customWidth="1"/>
    <col min="9502" max="9505" width="2.6640625" style="272" hidden="1" customWidth="1"/>
    <col min="9506" max="9511" width="2.33203125" style="272" hidden="1" customWidth="1"/>
    <col min="9512" max="9512" width="1.6640625" style="272" hidden="1" customWidth="1"/>
    <col min="9513" max="9728" width="2.6640625" style="272" hidden="1"/>
    <col min="9729" max="9729" width="1.6640625" style="272" hidden="1" customWidth="1"/>
    <col min="9730" max="9730" width="0.6640625" style="272" hidden="1" customWidth="1"/>
    <col min="9731" max="9746" width="2.6640625" style="272" hidden="1" customWidth="1"/>
    <col min="9747" max="9747" width="4" style="272" hidden="1" customWidth="1"/>
    <col min="9748" max="9751" width="2.6640625" style="272" hidden="1" customWidth="1"/>
    <col min="9752" max="9752" width="2.33203125" style="272" hidden="1" customWidth="1"/>
    <col min="9753" max="9756" width="2.6640625" style="272" hidden="1" customWidth="1"/>
    <col min="9757" max="9757" width="2.33203125" style="272" hidden="1" customWidth="1"/>
    <col min="9758" max="9761" width="2.6640625" style="272" hidden="1" customWidth="1"/>
    <col min="9762" max="9767" width="2.33203125" style="272" hidden="1" customWidth="1"/>
    <col min="9768" max="9768" width="1.6640625" style="272" hidden="1" customWidth="1"/>
    <col min="9769" max="9984" width="2.6640625" style="272" hidden="1"/>
    <col min="9985" max="9985" width="1.6640625" style="272" hidden="1" customWidth="1"/>
    <col min="9986" max="9986" width="0.6640625" style="272" hidden="1" customWidth="1"/>
    <col min="9987" max="10002" width="2.6640625" style="272" hidden="1" customWidth="1"/>
    <col min="10003" max="10003" width="4" style="272" hidden="1" customWidth="1"/>
    <col min="10004" max="10007" width="2.6640625" style="272" hidden="1" customWidth="1"/>
    <col min="10008" max="10008" width="2.33203125" style="272" hidden="1" customWidth="1"/>
    <col min="10009" max="10012" width="2.6640625" style="272" hidden="1" customWidth="1"/>
    <col min="10013" max="10013" width="2.33203125" style="272" hidden="1" customWidth="1"/>
    <col min="10014" max="10017" width="2.6640625" style="272" hidden="1" customWidth="1"/>
    <col min="10018" max="10023" width="2.33203125" style="272" hidden="1" customWidth="1"/>
    <col min="10024" max="10024" width="1.6640625" style="272" hidden="1" customWidth="1"/>
    <col min="10025" max="10240" width="2.6640625" style="272" hidden="1"/>
    <col min="10241" max="10241" width="1.6640625" style="272" hidden="1" customWidth="1"/>
    <col min="10242" max="10242" width="0.6640625" style="272" hidden="1" customWidth="1"/>
    <col min="10243" max="10258" width="2.6640625" style="272" hidden="1" customWidth="1"/>
    <col min="10259" max="10259" width="4" style="272" hidden="1" customWidth="1"/>
    <col min="10260" max="10263" width="2.6640625" style="272" hidden="1" customWidth="1"/>
    <col min="10264" max="10264" width="2.33203125" style="272" hidden="1" customWidth="1"/>
    <col min="10265" max="10268" width="2.6640625" style="272" hidden="1" customWidth="1"/>
    <col min="10269" max="10269" width="2.33203125" style="272" hidden="1" customWidth="1"/>
    <col min="10270" max="10273" width="2.6640625" style="272" hidden="1" customWidth="1"/>
    <col min="10274" max="10279" width="2.33203125" style="272" hidden="1" customWidth="1"/>
    <col min="10280" max="10280" width="1.6640625" style="272" hidden="1" customWidth="1"/>
    <col min="10281" max="10496" width="2.6640625" style="272" hidden="1"/>
    <col min="10497" max="10497" width="1.6640625" style="272" hidden="1" customWidth="1"/>
    <col min="10498" max="10498" width="0.6640625" style="272" hidden="1" customWidth="1"/>
    <col min="10499" max="10514" width="2.6640625" style="272" hidden="1" customWidth="1"/>
    <col min="10515" max="10515" width="4" style="272" hidden="1" customWidth="1"/>
    <col min="10516" max="10519" width="2.6640625" style="272" hidden="1" customWidth="1"/>
    <col min="10520" max="10520" width="2.33203125" style="272" hidden="1" customWidth="1"/>
    <col min="10521" max="10524" width="2.6640625" style="272" hidden="1" customWidth="1"/>
    <col min="10525" max="10525" width="2.33203125" style="272" hidden="1" customWidth="1"/>
    <col min="10526" max="10529" width="2.6640625" style="272" hidden="1" customWidth="1"/>
    <col min="10530" max="10535" width="2.33203125" style="272" hidden="1" customWidth="1"/>
    <col min="10536" max="10536" width="1.6640625" style="272" hidden="1" customWidth="1"/>
    <col min="10537" max="10752" width="2.6640625" style="272" hidden="1"/>
    <col min="10753" max="10753" width="1.6640625" style="272" hidden="1" customWidth="1"/>
    <col min="10754" max="10754" width="0.6640625" style="272" hidden="1" customWidth="1"/>
    <col min="10755" max="10770" width="2.6640625" style="272" hidden="1" customWidth="1"/>
    <col min="10771" max="10771" width="4" style="272" hidden="1" customWidth="1"/>
    <col min="10772" max="10775" width="2.6640625" style="272" hidden="1" customWidth="1"/>
    <col min="10776" max="10776" width="2.33203125" style="272" hidden="1" customWidth="1"/>
    <col min="10777" max="10780" width="2.6640625" style="272" hidden="1" customWidth="1"/>
    <col min="10781" max="10781" width="2.33203125" style="272" hidden="1" customWidth="1"/>
    <col min="10782" max="10785" width="2.6640625" style="272" hidden="1" customWidth="1"/>
    <col min="10786" max="10791" width="2.33203125" style="272" hidden="1" customWidth="1"/>
    <col min="10792" max="10792" width="1.6640625" style="272" hidden="1" customWidth="1"/>
    <col min="10793" max="11008" width="2.6640625" style="272" hidden="1"/>
    <col min="11009" max="11009" width="1.6640625" style="272" hidden="1" customWidth="1"/>
    <col min="11010" max="11010" width="0.6640625" style="272" hidden="1" customWidth="1"/>
    <col min="11011" max="11026" width="2.6640625" style="272" hidden="1" customWidth="1"/>
    <col min="11027" max="11027" width="4" style="272" hidden="1" customWidth="1"/>
    <col min="11028" max="11031" width="2.6640625" style="272" hidden="1" customWidth="1"/>
    <col min="11032" max="11032" width="2.33203125" style="272" hidden="1" customWidth="1"/>
    <col min="11033" max="11036" width="2.6640625" style="272" hidden="1" customWidth="1"/>
    <col min="11037" max="11037" width="2.33203125" style="272" hidden="1" customWidth="1"/>
    <col min="11038" max="11041" width="2.6640625" style="272" hidden="1" customWidth="1"/>
    <col min="11042" max="11047" width="2.33203125" style="272" hidden="1" customWidth="1"/>
    <col min="11048" max="11048" width="1.6640625" style="272" hidden="1" customWidth="1"/>
    <col min="11049" max="11264" width="2.6640625" style="272" hidden="1"/>
    <col min="11265" max="11265" width="1.6640625" style="272" hidden="1" customWidth="1"/>
    <col min="11266" max="11266" width="0.6640625" style="272" hidden="1" customWidth="1"/>
    <col min="11267" max="11282" width="2.6640625" style="272" hidden="1" customWidth="1"/>
    <col min="11283" max="11283" width="4" style="272" hidden="1" customWidth="1"/>
    <col min="11284" max="11287" width="2.6640625" style="272" hidden="1" customWidth="1"/>
    <col min="11288" max="11288" width="2.33203125" style="272" hidden="1" customWidth="1"/>
    <col min="11289" max="11292" width="2.6640625" style="272" hidden="1" customWidth="1"/>
    <col min="11293" max="11293" width="2.33203125" style="272" hidden="1" customWidth="1"/>
    <col min="11294" max="11297" width="2.6640625" style="272" hidden="1" customWidth="1"/>
    <col min="11298" max="11303" width="2.33203125" style="272" hidden="1" customWidth="1"/>
    <col min="11304" max="11304" width="1.6640625" style="272" hidden="1" customWidth="1"/>
    <col min="11305" max="11520" width="2.6640625" style="272" hidden="1"/>
    <col min="11521" max="11521" width="1.6640625" style="272" hidden="1" customWidth="1"/>
    <col min="11522" max="11522" width="0.6640625" style="272" hidden="1" customWidth="1"/>
    <col min="11523" max="11538" width="2.6640625" style="272" hidden="1" customWidth="1"/>
    <col min="11539" max="11539" width="4" style="272" hidden="1" customWidth="1"/>
    <col min="11540" max="11543" width="2.6640625" style="272" hidden="1" customWidth="1"/>
    <col min="11544" max="11544" width="2.33203125" style="272" hidden="1" customWidth="1"/>
    <col min="11545" max="11548" width="2.6640625" style="272" hidden="1" customWidth="1"/>
    <col min="11549" max="11549" width="2.33203125" style="272" hidden="1" customWidth="1"/>
    <col min="11550" max="11553" width="2.6640625" style="272" hidden="1" customWidth="1"/>
    <col min="11554" max="11559" width="2.33203125" style="272" hidden="1" customWidth="1"/>
    <col min="11560" max="11560" width="1.6640625" style="272" hidden="1" customWidth="1"/>
    <col min="11561" max="11776" width="2.6640625" style="272" hidden="1"/>
    <col min="11777" max="11777" width="1.6640625" style="272" hidden="1" customWidth="1"/>
    <col min="11778" max="11778" width="0.6640625" style="272" hidden="1" customWidth="1"/>
    <col min="11779" max="11794" width="2.6640625" style="272" hidden="1" customWidth="1"/>
    <col min="11795" max="11795" width="4" style="272" hidden="1" customWidth="1"/>
    <col min="11796" max="11799" width="2.6640625" style="272" hidden="1" customWidth="1"/>
    <col min="11800" max="11800" width="2.33203125" style="272" hidden="1" customWidth="1"/>
    <col min="11801" max="11804" width="2.6640625" style="272" hidden="1" customWidth="1"/>
    <col min="11805" max="11805" width="2.33203125" style="272" hidden="1" customWidth="1"/>
    <col min="11806" max="11809" width="2.6640625" style="272" hidden="1" customWidth="1"/>
    <col min="11810" max="11815" width="2.33203125" style="272" hidden="1" customWidth="1"/>
    <col min="11816" max="11816" width="1.6640625" style="272" hidden="1" customWidth="1"/>
    <col min="11817" max="12032" width="2.6640625" style="272" hidden="1"/>
    <col min="12033" max="12033" width="1.6640625" style="272" hidden="1" customWidth="1"/>
    <col min="12034" max="12034" width="0.6640625" style="272" hidden="1" customWidth="1"/>
    <col min="12035" max="12050" width="2.6640625" style="272" hidden="1" customWidth="1"/>
    <col min="12051" max="12051" width="4" style="272" hidden="1" customWidth="1"/>
    <col min="12052" max="12055" width="2.6640625" style="272" hidden="1" customWidth="1"/>
    <col min="12056" max="12056" width="2.33203125" style="272" hidden="1" customWidth="1"/>
    <col min="12057" max="12060" width="2.6640625" style="272" hidden="1" customWidth="1"/>
    <col min="12061" max="12061" width="2.33203125" style="272" hidden="1" customWidth="1"/>
    <col min="12062" max="12065" width="2.6640625" style="272" hidden="1" customWidth="1"/>
    <col min="12066" max="12071" width="2.33203125" style="272" hidden="1" customWidth="1"/>
    <col min="12072" max="12072" width="1.6640625" style="272" hidden="1" customWidth="1"/>
    <col min="12073" max="12288" width="2.6640625" style="272" hidden="1"/>
    <col min="12289" max="12289" width="1.6640625" style="272" hidden="1" customWidth="1"/>
    <col min="12290" max="12290" width="0.6640625" style="272" hidden="1" customWidth="1"/>
    <col min="12291" max="12306" width="2.6640625" style="272" hidden="1" customWidth="1"/>
    <col min="12307" max="12307" width="4" style="272" hidden="1" customWidth="1"/>
    <col min="12308" max="12311" width="2.6640625" style="272" hidden="1" customWidth="1"/>
    <col min="12312" max="12312" width="2.33203125" style="272" hidden="1" customWidth="1"/>
    <col min="12313" max="12316" width="2.6640625" style="272" hidden="1" customWidth="1"/>
    <col min="12317" max="12317" width="2.33203125" style="272" hidden="1" customWidth="1"/>
    <col min="12318" max="12321" width="2.6640625" style="272" hidden="1" customWidth="1"/>
    <col min="12322" max="12327" width="2.33203125" style="272" hidden="1" customWidth="1"/>
    <col min="12328" max="12328" width="1.6640625" style="272" hidden="1" customWidth="1"/>
    <col min="12329" max="12544" width="2.6640625" style="272" hidden="1"/>
    <col min="12545" max="12545" width="1.6640625" style="272" hidden="1" customWidth="1"/>
    <col min="12546" max="12546" width="0.6640625" style="272" hidden="1" customWidth="1"/>
    <col min="12547" max="12562" width="2.6640625" style="272" hidden="1" customWidth="1"/>
    <col min="12563" max="12563" width="4" style="272" hidden="1" customWidth="1"/>
    <col min="12564" max="12567" width="2.6640625" style="272" hidden="1" customWidth="1"/>
    <col min="12568" max="12568" width="2.33203125" style="272" hidden="1" customWidth="1"/>
    <col min="12569" max="12572" width="2.6640625" style="272" hidden="1" customWidth="1"/>
    <col min="12573" max="12573" width="2.33203125" style="272" hidden="1" customWidth="1"/>
    <col min="12574" max="12577" width="2.6640625" style="272" hidden="1" customWidth="1"/>
    <col min="12578" max="12583" width="2.33203125" style="272" hidden="1" customWidth="1"/>
    <col min="12584" max="12584" width="1.6640625" style="272" hidden="1" customWidth="1"/>
    <col min="12585" max="12800" width="2.6640625" style="272" hidden="1"/>
    <col min="12801" max="12801" width="1.6640625" style="272" hidden="1" customWidth="1"/>
    <col min="12802" max="12802" width="0.6640625" style="272" hidden="1" customWidth="1"/>
    <col min="12803" max="12818" width="2.6640625" style="272" hidden="1" customWidth="1"/>
    <col min="12819" max="12819" width="4" style="272" hidden="1" customWidth="1"/>
    <col min="12820" max="12823" width="2.6640625" style="272" hidden="1" customWidth="1"/>
    <col min="12824" max="12824" width="2.33203125" style="272" hidden="1" customWidth="1"/>
    <col min="12825" max="12828" width="2.6640625" style="272" hidden="1" customWidth="1"/>
    <col min="12829" max="12829" width="2.33203125" style="272" hidden="1" customWidth="1"/>
    <col min="12830" max="12833" width="2.6640625" style="272" hidden="1" customWidth="1"/>
    <col min="12834" max="12839" width="2.33203125" style="272" hidden="1" customWidth="1"/>
    <col min="12840" max="12840" width="1.6640625" style="272" hidden="1" customWidth="1"/>
    <col min="12841" max="13056" width="2.6640625" style="272" hidden="1"/>
    <col min="13057" max="13057" width="1.6640625" style="272" hidden="1" customWidth="1"/>
    <col min="13058" max="13058" width="0.6640625" style="272" hidden="1" customWidth="1"/>
    <col min="13059" max="13074" width="2.6640625" style="272" hidden="1" customWidth="1"/>
    <col min="13075" max="13075" width="4" style="272" hidden="1" customWidth="1"/>
    <col min="13076" max="13079" width="2.6640625" style="272" hidden="1" customWidth="1"/>
    <col min="13080" max="13080" width="2.33203125" style="272" hidden="1" customWidth="1"/>
    <col min="13081" max="13084" width="2.6640625" style="272" hidden="1" customWidth="1"/>
    <col min="13085" max="13085" width="2.33203125" style="272" hidden="1" customWidth="1"/>
    <col min="13086" max="13089" width="2.6640625" style="272" hidden="1" customWidth="1"/>
    <col min="13090" max="13095" width="2.33203125" style="272" hidden="1" customWidth="1"/>
    <col min="13096" max="13096" width="1.6640625" style="272" hidden="1" customWidth="1"/>
    <col min="13097" max="13312" width="2.6640625" style="272" hidden="1"/>
    <col min="13313" max="13313" width="1.6640625" style="272" hidden="1" customWidth="1"/>
    <col min="13314" max="13314" width="0.6640625" style="272" hidden="1" customWidth="1"/>
    <col min="13315" max="13330" width="2.6640625" style="272" hidden="1" customWidth="1"/>
    <col min="13331" max="13331" width="4" style="272" hidden="1" customWidth="1"/>
    <col min="13332" max="13335" width="2.6640625" style="272" hidden="1" customWidth="1"/>
    <col min="13336" max="13336" width="2.33203125" style="272" hidden="1" customWidth="1"/>
    <col min="13337" max="13340" width="2.6640625" style="272" hidden="1" customWidth="1"/>
    <col min="13341" max="13341" width="2.33203125" style="272" hidden="1" customWidth="1"/>
    <col min="13342" max="13345" width="2.6640625" style="272" hidden="1" customWidth="1"/>
    <col min="13346" max="13351" width="2.33203125" style="272" hidden="1" customWidth="1"/>
    <col min="13352" max="13352" width="1.6640625" style="272" hidden="1" customWidth="1"/>
    <col min="13353" max="13568" width="2.6640625" style="272" hidden="1"/>
    <col min="13569" max="13569" width="1.6640625" style="272" hidden="1" customWidth="1"/>
    <col min="13570" max="13570" width="0.6640625" style="272" hidden="1" customWidth="1"/>
    <col min="13571" max="13586" width="2.6640625" style="272" hidden="1" customWidth="1"/>
    <col min="13587" max="13587" width="4" style="272" hidden="1" customWidth="1"/>
    <col min="13588" max="13591" width="2.6640625" style="272" hidden="1" customWidth="1"/>
    <col min="13592" max="13592" width="2.33203125" style="272" hidden="1" customWidth="1"/>
    <col min="13593" max="13596" width="2.6640625" style="272" hidden="1" customWidth="1"/>
    <col min="13597" max="13597" width="2.33203125" style="272" hidden="1" customWidth="1"/>
    <col min="13598" max="13601" width="2.6640625" style="272" hidden="1" customWidth="1"/>
    <col min="13602" max="13607" width="2.33203125" style="272" hidden="1" customWidth="1"/>
    <col min="13608" max="13608" width="1.6640625" style="272" hidden="1" customWidth="1"/>
    <col min="13609" max="13824" width="2.6640625" style="272" hidden="1"/>
    <col min="13825" max="13825" width="1.6640625" style="272" hidden="1" customWidth="1"/>
    <col min="13826" max="13826" width="0.6640625" style="272" hidden="1" customWidth="1"/>
    <col min="13827" max="13842" width="2.6640625" style="272" hidden="1" customWidth="1"/>
    <col min="13843" max="13843" width="4" style="272" hidden="1" customWidth="1"/>
    <col min="13844" max="13847" width="2.6640625" style="272" hidden="1" customWidth="1"/>
    <col min="13848" max="13848" width="2.33203125" style="272" hidden="1" customWidth="1"/>
    <col min="13849" max="13852" width="2.6640625" style="272" hidden="1" customWidth="1"/>
    <col min="13853" max="13853" width="2.33203125" style="272" hidden="1" customWidth="1"/>
    <col min="13854" max="13857" width="2.6640625" style="272" hidden="1" customWidth="1"/>
    <col min="13858" max="13863" width="2.33203125" style="272" hidden="1" customWidth="1"/>
    <col min="13864" max="13864" width="1.6640625" style="272" hidden="1" customWidth="1"/>
    <col min="13865" max="14080" width="2.6640625" style="272" hidden="1"/>
    <col min="14081" max="14081" width="1.6640625" style="272" hidden="1" customWidth="1"/>
    <col min="14082" max="14082" width="0.6640625" style="272" hidden="1" customWidth="1"/>
    <col min="14083" max="14098" width="2.6640625" style="272" hidden="1" customWidth="1"/>
    <col min="14099" max="14099" width="4" style="272" hidden="1" customWidth="1"/>
    <col min="14100" max="14103" width="2.6640625" style="272" hidden="1" customWidth="1"/>
    <col min="14104" max="14104" width="2.33203125" style="272" hidden="1" customWidth="1"/>
    <col min="14105" max="14108" width="2.6640625" style="272" hidden="1" customWidth="1"/>
    <col min="14109" max="14109" width="2.33203125" style="272" hidden="1" customWidth="1"/>
    <col min="14110" max="14113" width="2.6640625" style="272" hidden="1" customWidth="1"/>
    <col min="14114" max="14119" width="2.33203125" style="272" hidden="1" customWidth="1"/>
    <col min="14120" max="14120" width="1.6640625" style="272" hidden="1" customWidth="1"/>
    <col min="14121" max="14336" width="2.6640625" style="272" hidden="1"/>
    <col min="14337" max="14337" width="1.6640625" style="272" hidden="1" customWidth="1"/>
    <col min="14338" max="14338" width="0.6640625" style="272" hidden="1" customWidth="1"/>
    <col min="14339" max="14354" width="2.6640625" style="272" hidden="1" customWidth="1"/>
    <col min="14355" max="14355" width="4" style="272" hidden="1" customWidth="1"/>
    <col min="14356" max="14359" width="2.6640625" style="272" hidden="1" customWidth="1"/>
    <col min="14360" max="14360" width="2.33203125" style="272" hidden="1" customWidth="1"/>
    <col min="14361" max="14364" width="2.6640625" style="272" hidden="1" customWidth="1"/>
    <col min="14365" max="14365" width="2.33203125" style="272" hidden="1" customWidth="1"/>
    <col min="14366" max="14369" width="2.6640625" style="272" hidden="1" customWidth="1"/>
    <col min="14370" max="14375" width="2.33203125" style="272" hidden="1" customWidth="1"/>
    <col min="14376" max="14376" width="1.6640625" style="272" hidden="1" customWidth="1"/>
    <col min="14377" max="14592" width="2.6640625" style="272" hidden="1"/>
    <col min="14593" max="14593" width="1.6640625" style="272" hidden="1" customWidth="1"/>
    <col min="14594" max="14594" width="0.6640625" style="272" hidden="1" customWidth="1"/>
    <col min="14595" max="14610" width="2.6640625" style="272" hidden="1" customWidth="1"/>
    <col min="14611" max="14611" width="4" style="272" hidden="1" customWidth="1"/>
    <col min="14612" max="14615" width="2.6640625" style="272" hidden="1" customWidth="1"/>
    <col min="14616" max="14616" width="2.33203125" style="272" hidden="1" customWidth="1"/>
    <col min="14617" max="14620" width="2.6640625" style="272" hidden="1" customWidth="1"/>
    <col min="14621" max="14621" width="2.33203125" style="272" hidden="1" customWidth="1"/>
    <col min="14622" max="14625" width="2.6640625" style="272" hidden="1" customWidth="1"/>
    <col min="14626" max="14631" width="2.33203125" style="272" hidden="1" customWidth="1"/>
    <col min="14632" max="14632" width="1.6640625" style="272" hidden="1" customWidth="1"/>
    <col min="14633" max="14848" width="2.6640625" style="272" hidden="1"/>
    <col min="14849" max="14849" width="1.6640625" style="272" hidden="1" customWidth="1"/>
    <col min="14850" max="14850" width="0.6640625" style="272" hidden="1" customWidth="1"/>
    <col min="14851" max="14866" width="2.6640625" style="272" hidden="1" customWidth="1"/>
    <col min="14867" max="14867" width="4" style="272" hidden="1" customWidth="1"/>
    <col min="14868" max="14871" width="2.6640625" style="272" hidden="1" customWidth="1"/>
    <col min="14872" max="14872" width="2.33203125" style="272" hidden="1" customWidth="1"/>
    <col min="14873" max="14876" width="2.6640625" style="272" hidden="1" customWidth="1"/>
    <col min="14877" max="14877" width="2.33203125" style="272" hidden="1" customWidth="1"/>
    <col min="14878" max="14881" width="2.6640625" style="272" hidden="1" customWidth="1"/>
    <col min="14882" max="14887" width="2.33203125" style="272" hidden="1" customWidth="1"/>
    <col min="14888" max="14888" width="1.6640625" style="272" hidden="1" customWidth="1"/>
    <col min="14889" max="15104" width="2.6640625" style="272" hidden="1"/>
    <col min="15105" max="15105" width="1.6640625" style="272" hidden="1" customWidth="1"/>
    <col min="15106" max="15106" width="0.6640625" style="272" hidden="1" customWidth="1"/>
    <col min="15107" max="15122" width="2.6640625" style="272" hidden="1" customWidth="1"/>
    <col min="15123" max="15123" width="4" style="272" hidden="1" customWidth="1"/>
    <col min="15124" max="15127" width="2.6640625" style="272" hidden="1" customWidth="1"/>
    <col min="15128" max="15128" width="2.33203125" style="272" hidden="1" customWidth="1"/>
    <col min="15129" max="15132" width="2.6640625" style="272" hidden="1" customWidth="1"/>
    <col min="15133" max="15133" width="2.33203125" style="272" hidden="1" customWidth="1"/>
    <col min="15134" max="15137" width="2.6640625" style="272" hidden="1" customWidth="1"/>
    <col min="15138" max="15143" width="2.33203125" style="272" hidden="1" customWidth="1"/>
    <col min="15144" max="15144" width="1.6640625" style="272" hidden="1" customWidth="1"/>
    <col min="15145" max="15360" width="2.6640625" style="272" hidden="1"/>
    <col min="15361" max="15361" width="1.6640625" style="272" hidden="1" customWidth="1"/>
    <col min="15362" max="15362" width="0.6640625" style="272" hidden="1" customWidth="1"/>
    <col min="15363" max="15378" width="2.6640625" style="272" hidden="1" customWidth="1"/>
    <col min="15379" max="15379" width="4" style="272" hidden="1" customWidth="1"/>
    <col min="15380" max="15383" width="2.6640625" style="272" hidden="1" customWidth="1"/>
    <col min="15384" max="15384" width="2.33203125" style="272" hidden="1" customWidth="1"/>
    <col min="15385" max="15388" width="2.6640625" style="272" hidden="1" customWidth="1"/>
    <col min="15389" max="15389" width="2.33203125" style="272" hidden="1" customWidth="1"/>
    <col min="15390" max="15393" width="2.6640625" style="272" hidden="1" customWidth="1"/>
    <col min="15394" max="15399" width="2.33203125" style="272" hidden="1" customWidth="1"/>
    <col min="15400" max="15400" width="1.6640625" style="272" hidden="1" customWidth="1"/>
    <col min="15401" max="15616" width="2.6640625" style="272" hidden="1"/>
    <col min="15617" max="15617" width="1.6640625" style="272" hidden="1" customWidth="1"/>
    <col min="15618" max="15618" width="0.6640625" style="272" hidden="1" customWidth="1"/>
    <col min="15619" max="15634" width="2.6640625" style="272" hidden="1" customWidth="1"/>
    <col min="15635" max="15635" width="4" style="272" hidden="1" customWidth="1"/>
    <col min="15636" max="15639" width="2.6640625" style="272" hidden="1" customWidth="1"/>
    <col min="15640" max="15640" width="2.33203125" style="272" hidden="1" customWidth="1"/>
    <col min="15641" max="15644" width="2.6640625" style="272" hidden="1" customWidth="1"/>
    <col min="15645" max="15645" width="2.33203125" style="272" hidden="1" customWidth="1"/>
    <col min="15646" max="15649" width="2.6640625" style="272" hidden="1" customWidth="1"/>
    <col min="15650" max="15655" width="2.33203125" style="272" hidden="1" customWidth="1"/>
    <col min="15656" max="15656" width="1.6640625" style="272" hidden="1" customWidth="1"/>
    <col min="15657" max="15872" width="2.6640625" style="272" hidden="1"/>
    <col min="15873" max="15873" width="1.6640625" style="272" hidden="1" customWidth="1"/>
    <col min="15874" max="15874" width="0.6640625" style="272" hidden="1" customWidth="1"/>
    <col min="15875" max="15890" width="2.6640625" style="272" hidden="1" customWidth="1"/>
    <col min="15891" max="15891" width="4" style="272" hidden="1" customWidth="1"/>
    <col min="15892" max="15895" width="2.6640625" style="272" hidden="1" customWidth="1"/>
    <col min="15896" max="15896" width="2.33203125" style="272" hidden="1" customWidth="1"/>
    <col min="15897" max="15900" width="2.6640625" style="272" hidden="1" customWidth="1"/>
    <col min="15901" max="15901" width="2.33203125" style="272" hidden="1" customWidth="1"/>
    <col min="15902" max="15905" width="2.6640625" style="272" hidden="1" customWidth="1"/>
    <col min="15906" max="15911" width="2.33203125" style="272" hidden="1" customWidth="1"/>
    <col min="15912" max="15912" width="1.6640625" style="272" hidden="1" customWidth="1"/>
    <col min="15913" max="16128" width="2.6640625" style="272" hidden="1"/>
    <col min="16129" max="16129" width="1.6640625" style="272" hidden="1" customWidth="1"/>
    <col min="16130" max="16130" width="0.6640625" style="272" hidden="1" customWidth="1"/>
    <col min="16131" max="16146" width="2.6640625" style="272" hidden="1" customWidth="1"/>
    <col min="16147" max="16147" width="4" style="272" hidden="1" customWidth="1"/>
    <col min="16148" max="16151" width="2.6640625" style="272" hidden="1" customWidth="1"/>
    <col min="16152" max="16152" width="2.33203125" style="272" hidden="1" customWidth="1"/>
    <col min="16153" max="16156" width="2.6640625" style="272" hidden="1" customWidth="1"/>
    <col min="16157" max="16157" width="2.33203125" style="272" hidden="1" customWidth="1"/>
    <col min="16158" max="16161" width="2.6640625" style="272" hidden="1" customWidth="1"/>
    <col min="16162" max="16167" width="2.33203125" style="272" hidden="1" customWidth="1"/>
    <col min="16168" max="16168" width="1.6640625" style="272" hidden="1" customWidth="1"/>
    <col min="16169" max="16384" width="2.6640625" style="272" hidden="1"/>
  </cols>
  <sheetData>
    <row r="1" spans="1:40" ht="13.2" customHeight="1">
      <c r="A1" s="2288" t="s">
        <v>2070</v>
      </c>
      <c r="B1" s="2288"/>
      <c r="C1" s="2288"/>
      <c r="D1" s="2288"/>
      <c r="E1" s="2288"/>
      <c r="F1" s="2288"/>
      <c r="G1" s="2288"/>
      <c r="H1" s="2288"/>
      <c r="I1" s="2288"/>
      <c r="J1" s="2288"/>
      <c r="K1" s="2288"/>
      <c r="L1" s="2288"/>
      <c r="M1" s="2288"/>
      <c r="N1" s="2288"/>
      <c r="O1" s="2288"/>
      <c r="P1" s="2288"/>
      <c r="Q1" s="2288"/>
      <c r="R1" s="2288"/>
      <c r="S1" s="2288"/>
      <c r="T1" s="2288"/>
      <c r="U1" s="2288"/>
      <c r="V1" s="2288"/>
      <c r="W1" s="2288"/>
      <c r="X1" s="2288"/>
      <c r="Y1" s="2288"/>
      <c r="Z1" s="2288"/>
      <c r="AA1" s="2288"/>
      <c r="AB1" s="2288"/>
      <c r="AC1" s="2288"/>
      <c r="AD1" s="2288"/>
      <c r="AE1" s="2288"/>
      <c r="AF1" s="2288"/>
      <c r="AG1" s="2288"/>
      <c r="AH1" s="2288"/>
      <c r="AI1" s="2288"/>
      <c r="AJ1" s="2288"/>
      <c r="AK1" s="2288"/>
      <c r="AL1" s="2288"/>
      <c r="AM1" s="2288"/>
      <c r="AN1" s="2288"/>
    </row>
    <row r="2" spans="1:40" ht="13.2" customHeight="1" thickBot="1">
      <c r="A2" s="2289"/>
      <c r="B2" s="2289"/>
      <c r="C2" s="2289"/>
      <c r="D2" s="2289"/>
      <c r="E2" s="2289"/>
      <c r="F2" s="2289"/>
      <c r="G2" s="2289"/>
      <c r="H2" s="2289"/>
      <c r="I2" s="2289"/>
      <c r="J2" s="2289"/>
      <c r="K2" s="2289"/>
      <c r="L2" s="2289"/>
      <c r="M2" s="2289"/>
      <c r="N2" s="2289"/>
      <c r="O2" s="2289"/>
      <c r="P2" s="2289"/>
      <c r="Q2" s="2289"/>
      <c r="R2" s="2289"/>
      <c r="S2" s="2289"/>
      <c r="T2" s="2289"/>
      <c r="U2" s="2289"/>
      <c r="V2" s="2289"/>
      <c r="W2" s="2289"/>
      <c r="X2" s="2289"/>
      <c r="Y2" s="2289"/>
      <c r="Z2" s="2289"/>
      <c r="AA2" s="2289"/>
      <c r="AB2" s="2289"/>
      <c r="AC2" s="2289"/>
      <c r="AD2" s="2289"/>
      <c r="AE2" s="2289"/>
      <c r="AF2" s="2289"/>
      <c r="AG2" s="2289"/>
      <c r="AH2" s="2289"/>
      <c r="AI2" s="2289"/>
      <c r="AJ2" s="2289"/>
      <c r="AK2" s="2289"/>
      <c r="AL2" s="2289"/>
      <c r="AM2" s="2289"/>
      <c r="AN2" s="2289"/>
    </row>
    <row r="3" spans="1:40" ht="13.2" customHeight="1" thickTop="1">
      <c r="A3" s="272" t="str">
        <f>+A1</f>
        <v>V. BASIS AND CREDITS : 4% FEDERAL AND STATE CREDIT</v>
      </c>
      <c r="C3" s="60"/>
      <c r="D3" s="60"/>
      <c r="E3" s="60"/>
      <c r="F3" s="60"/>
      <c r="G3" s="60"/>
      <c r="H3" s="60"/>
      <c r="I3" s="60"/>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1:40" ht="13.2" customHeight="1">
      <c r="A4" s="274"/>
    </row>
    <row r="5" spans="1:40" ht="13.2" customHeight="1">
      <c r="A5" s="274" t="s">
        <v>871</v>
      </c>
      <c r="C5" s="274" t="s">
        <v>270</v>
      </c>
      <c r="F5" s="274"/>
    </row>
    <row r="6" spans="1:40" ht="13.2" customHeight="1">
      <c r="A6" s="274"/>
      <c r="C6" s="272" t="s">
        <v>2071</v>
      </c>
    </row>
    <row r="7" spans="1:40" ht="13.2" customHeight="1">
      <c r="B7" s="275"/>
      <c r="C7" s="276"/>
      <c r="D7" s="276"/>
      <c r="E7" s="276"/>
      <c r="F7" s="276"/>
      <c r="G7" s="276"/>
      <c r="H7" s="276"/>
      <c r="I7" s="276"/>
      <c r="J7" s="276"/>
      <c r="K7" s="276"/>
      <c r="L7" s="276"/>
      <c r="M7" s="276"/>
      <c r="N7" s="276"/>
      <c r="O7" s="276"/>
      <c r="P7" s="276"/>
      <c r="Q7" s="276"/>
      <c r="R7" s="276"/>
      <c r="S7" s="276"/>
      <c r="T7" s="2290" t="str">
        <f xml:space="preserve"> IF(T25=100%,'Sources and Basis Breakdown'!G2,'Sources and Basis Breakdown'!F2)</f>
        <v>30% PVC for New Const/
Rehabilitation
DDA/QCT
Building(s)</v>
      </c>
      <c r="U7" s="2290"/>
      <c r="V7" s="2290"/>
      <c r="W7" s="2290"/>
      <c r="X7" s="2290"/>
      <c r="Y7" s="2290" t="str">
        <f>IF(T25=100%,"",'Sources and Basis Breakdown'!G2)</f>
        <v>30% PVC for New Const/
Rehabilitation
NON-DDA/
NON-QCT Building(s)</v>
      </c>
      <c r="Z7" s="2290"/>
      <c r="AA7" s="2290"/>
      <c r="AB7" s="2290"/>
      <c r="AC7" s="2290"/>
      <c r="AD7" s="2290" t="str">
        <f xml:space="preserve"> IF(T25=100%, 'Sources and Basis Breakdown'!J2,'Sources and Basis Breakdown'!I2)</f>
        <v>30% PVC for Acquisition
DDA/QCT Building(s)</v>
      </c>
      <c r="AE7" s="2290"/>
      <c r="AF7" s="2290"/>
      <c r="AG7" s="2290"/>
      <c r="AH7" s="2290"/>
      <c r="AI7" s="2290" t="str">
        <f>IF(T25=100%,"",'Sources and Basis Breakdown'!J2)</f>
        <v>30% PVC for Acquisition
NON-DDA/
NON-QCT Building(s)</v>
      </c>
      <c r="AJ7" s="2290"/>
      <c r="AK7" s="2290"/>
      <c r="AL7" s="2290"/>
      <c r="AM7" s="2290"/>
    </row>
    <row r="8" spans="1:40" ht="13.2" customHeight="1">
      <c r="B8" s="277"/>
      <c r="T8" s="2290"/>
      <c r="U8" s="2290"/>
      <c r="V8" s="2290"/>
      <c r="W8" s="2290"/>
      <c r="X8" s="2290"/>
      <c r="Y8" s="2290"/>
      <c r="Z8" s="2290"/>
      <c r="AA8" s="2290"/>
      <c r="AB8" s="2290"/>
      <c r="AC8" s="2290"/>
      <c r="AD8" s="2290"/>
      <c r="AE8" s="2290"/>
      <c r="AF8" s="2290"/>
      <c r="AG8" s="2290"/>
      <c r="AH8" s="2290"/>
      <c r="AI8" s="2290"/>
      <c r="AJ8" s="2290"/>
      <c r="AK8" s="2290"/>
      <c r="AL8" s="2290"/>
      <c r="AM8" s="2290"/>
    </row>
    <row r="9" spans="1:40" ht="13.2" customHeight="1">
      <c r="B9" s="277"/>
      <c r="T9" s="2290"/>
      <c r="U9" s="2290"/>
      <c r="V9" s="2290"/>
      <c r="W9" s="2290"/>
      <c r="X9" s="2290"/>
      <c r="Y9" s="2290"/>
      <c r="Z9" s="2290"/>
      <c r="AA9" s="2290"/>
      <c r="AB9" s="2290"/>
      <c r="AC9" s="2290"/>
      <c r="AD9" s="2290"/>
      <c r="AE9" s="2290"/>
      <c r="AF9" s="2290"/>
      <c r="AG9" s="2290"/>
      <c r="AH9" s="2290"/>
      <c r="AI9" s="2290"/>
      <c r="AJ9" s="2290"/>
      <c r="AK9" s="2290"/>
      <c r="AL9" s="2290"/>
      <c r="AM9" s="2290"/>
    </row>
    <row r="10" spans="1:40" ht="13.2" customHeight="1">
      <c r="B10" s="278"/>
      <c r="C10" s="279"/>
      <c r="D10" s="279"/>
      <c r="E10" s="279"/>
      <c r="F10" s="279"/>
      <c r="G10" s="279"/>
      <c r="H10" s="279"/>
      <c r="I10" s="279"/>
      <c r="J10" s="279"/>
      <c r="K10" s="279"/>
      <c r="L10" s="279"/>
      <c r="M10" s="279"/>
      <c r="N10" s="279"/>
      <c r="O10" s="279"/>
      <c r="P10" s="279"/>
      <c r="Q10" s="279"/>
      <c r="R10" s="279"/>
      <c r="S10" s="279"/>
      <c r="T10" s="2290"/>
      <c r="U10" s="2290"/>
      <c r="V10" s="2290"/>
      <c r="W10" s="2290"/>
      <c r="X10" s="2290"/>
      <c r="Y10" s="2290"/>
      <c r="Z10" s="2290"/>
      <c r="AA10" s="2290"/>
      <c r="AB10" s="2290"/>
      <c r="AC10" s="2290"/>
      <c r="AD10" s="2290"/>
      <c r="AE10" s="2290"/>
      <c r="AF10" s="2290"/>
      <c r="AG10" s="2290"/>
      <c r="AH10" s="2290"/>
      <c r="AI10" s="2290"/>
      <c r="AJ10" s="2290"/>
      <c r="AK10" s="2290"/>
      <c r="AL10" s="2290"/>
      <c r="AM10" s="2290"/>
    </row>
    <row r="11" spans="1:40" ht="13.2" customHeight="1">
      <c r="B11" s="2269" t="s">
        <v>1888</v>
      </c>
      <c r="C11" s="2270"/>
      <c r="D11" s="2270"/>
      <c r="E11" s="2270"/>
      <c r="F11" s="2270"/>
      <c r="G11" s="2270"/>
      <c r="H11" s="2270"/>
      <c r="I11" s="2270"/>
      <c r="J11" s="2270"/>
      <c r="K11" s="2270"/>
      <c r="L11" s="2270"/>
      <c r="M11" s="2270"/>
      <c r="N11" s="2270"/>
      <c r="O11" s="2270"/>
      <c r="P11" s="2270"/>
      <c r="Q11" s="2270"/>
      <c r="R11" s="2270"/>
      <c r="S11" s="2271"/>
      <c r="T11" s="2291">
        <f>IF('Sources and Basis Breakdown'!F107=0,'Sources and Basis Breakdown'!E107,'Sources and Basis Breakdown'!F107)</f>
        <v>73990303</v>
      </c>
      <c r="U11" s="2292"/>
      <c r="V11" s="2292"/>
      <c r="W11" s="2292"/>
      <c r="X11" s="2292"/>
      <c r="Y11" s="2291">
        <f>IF(Y7="",0,IF('Sources and Basis Breakdown'!G107+'Sources and Basis Breakdown'!F107='Sources and Basis Breakdown'!E107,'Sources and Basis Breakdown'!G107,0))</f>
        <v>0</v>
      </c>
      <c r="Z11" s="2292"/>
      <c r="AA11" s="2292"/>
      <c r="AB11" s="2292"/>
      <c r="AC11" s="2292"/>
      <c r="AD11" s="2292">
        <f>IF('Sources and Basis Breakdown'!I107=0,'Sources and Basis Breakdown'!H107,'Sources and Basis Breakdown'!I107)</f>
        <v>0</v>
      </c>
      <c r="AE11" s="2292"/>
      <c r="AF11" s="2292"/>
      <c r="AG11" s="2292"/>
      <c r="AH11" s="2292"/>
      <c r="AI11" s="2292">
        <f>IF(Y7="",0,IF('Sources and Basis Breakdown'!I107+'Sources and Basis Breakdown'!J107='Sources and Basis Breakdown'!H107,'Sources and Basis Breakdown'!J107,0))</f>
        <v>0</v>
      </c>
      <c r="AJ11" s="2292"/>
      <c r="AK11" s="2292"/>
      <c r="AL11" s="2292"/>
      <c r="AM11" s="2292"/>
    </row>
    <row r="12" spans="1:40" ht="13.2" customHeight="1">
      <c r="B12" s="2284" t="s">
        <v>2072</v>
      </c>
      <c r="C12" s="1250"/>
      <c r="D12" s="1250"/>
      <c r="E12" s="1250"/>
      <c r="F12" s="1250"/>
      <c r="G12" s="1250"/>
      <c r="H12" s="1250"/>
      <c r="I12" s="1250"/>
      <c r="J12" s="1250"/>
      <c r="K12" s="1250"/>
      <c r="L12" s="1250"/>
      <c r="M12" s="1250"/>
      <c r="N12" s="1250"/>
      <c r="O12" s="1250"/>
      <c r="P12" s="1250"/>
      <c r="Q12" s="1250"/>
      <c r="R12" s="1250"/>
      <c r="S12" s="2285"/>
      <c r="T12" s="2257"/>
      <c r="U12" s="2258"/>
      <c r="V12" s="2258"/>
      <c r="W12" s="2258"/>
      <c r="X12" s="2259"/>
      <c r="Y12" s="2257"/>
      <c r="Z12" s="2258"/>
      <c r="AA12" s="2258"/>
      <c r="AB12" s="2258"/>
      <c r="AC12" s="2259"/>
      <c r="AD12" s="2257"/>
      <c r="AE12" s="2258"/>
      <c r="AF12" s="2258"/>
      <c r="AG12" s="2258"/>
      <c r="AH12" s="2259"/>
      <c r="AI12" s="2257"/>
      <c r="AJ12" s="2258"/>
      <c r="AK12" s="2258"/>
      <c r="AL12" s="2258"/>
      <c r="AM12" s="2259"/>
    </row>
    <row r="13" spans="1:40" ht="13.2" customHeight="1">
      <c r="B13" s="303"/>
      <c r="C13" s="2286" t="s">
        <v>2073</v>
      </c>
      <c r="D13" s="2286"/>
      <c r="E13" s="2286"/>
      <c r="F13" s="2286"/>
      <c r="G13" s="2286"/>
      <c r="H13" s="2286"/>
      <c r="I13" s="2286"/>
      <c r="J13" s="2286"/>
      <c r="K13" s="2286"/>
      <c r="L13" s="2286"/>
      <c r="M13" s="2286"/>
      <c r="N13" s="2286"/>
      <c r="O13" s="2286"/>
      <c r="P13" s="2286"/>
      <c r="Q13" s="2286"/>
      <c r="R13" s="2286"/>
      <c r="S13" s="2287"/>
      <c r="T13" s="2293"/>
      <c r="U13" s="2294"/>
      <c r="V13" s="2294"/>
      <c r="W13" s="2294"/>
      <c r="X13" s="2294"/>
      <c r="Y13" s="2293"/>
      <c r="Z13" s="2294"/>
      <c r="AA13" s="2294"/>
      <c r="AB13" s="2294"/>
      <c r="AC13" s="2294"/>
      <c r="AD13" s="2294"/>
      <c r="AE13" s="2294"/>
      <c r="AF13" s="2294"/>
      <c r="AG13" s="2294"/>
      <c r="AH13" s="2294"/>
      <c r="AI13" s="2294"/>
      <c r="AJ13" s="2294"/>
      <c r="AK13" s="2294"/>
      <c r="AL13" s="2294"/>
      <c r="AM13" s="2294"/>
    </row>
    <row r="14" spans="1:40" ht="13.2" customHeight="1">
      <c r="B14" s="303"/>
      <c r="C14" s="2286" t="s">
        <v>2074</v>
      </c>
      <c r="D14" s="2286"/>
      <c r="E14" s="2286"/>
      <c r="F14" s="2286"/>
      <c r="G14" s="2286"/>
      <c r="H14" s="2286"/>
      <c r="I14" s="2286"/>
      <c r="J14" s="2286"/>
      <c r="K14" s="2286"/>
      <c r="L14" s="2286"/>
      <c r="M14" s="2286"/>
      <c r="N14" s="2286"/>
      <c r="O14" s="2286"/>
      <c r="P14" s="2286"/>
      <c r="Q14" s="2286"/>
      <c r="R14" s="2286"/>
      <c r="S14" s="2287"/>
      <c r="T14" s="2260"/>
      <c r="U14" s="2261"/>
      <c r="V14" s="2261"/>
      <c r="W14" s="2261"/>
      <c r="X14" s="2261"/>
      <c r="Y14" s="2260"/>
      <c r="Z14" s="2261"/>
      <c r="AA14" s="2261"/>
      <c r="AB14" s="2261"/>
      <c r="AC14" s="2261"/>
      <c r="AD14" s="2261"/>
      <c r="AE14" s="2261"/>
      <c r="AF14" s="2261"/>
      <c r="AG14" s="2261"/>
      <c r="AH14" s="2261"/>
      <c r="AI14" s="2261"/>
      <c r="AJ14" s="2261"/>
      <c r="AK14" s="2261"/>
      <c r="AL14" s="2261"/>
      <c r="AM14" s="2261"/>
    </row>
    <row r="15" spans="1:40" ht="13.2" customHeight="1">
      <c r="B15" s="303"/>
      <c r="C15" s="2286" t="s">
        <v>2075</v>
      </c>
      <c r="D15" s="2286"/>
      <c r="E15" s="2286"/>
      <c r="F15" s="2286"/>
      <c r="G15" s="2286"/>
      <c r="H15" s="2286"/>
      <c r="I15" s="2286"/>
      <c r="J15" s="2286"/>
      <c r="K15" s="2286"/>
      <c r="L15" s="2286"/>
      <c r="M15" s="2286"/>
      <c r="N15" s="2286"/>
      <c r="O15" s="2286"/>
      <c r="P15" s="2286"/>
      <c r="Q15" s="2286"/>
      <c r="R15" s="2286"/>
      <c r="S15" s="2287"/>
      <c r="T15" s="2260"/>
      <c r="U15" s="2261"/>
      <c r="V15" s="2261"/>
      <c r="W15" s="2261"/>
      <c r="X15" s="2261"/>
      <c r="Y15" s="2260"/>
      <c r="Z15" s="2261"/>
      <c r="AA15" s="2261"/>
      <c r="AB15" s="2261"/>
      <c r="AC15" s="2261"/>
      <c r="AD15" s="2261"/>
      <c r="AE15" s="2261"/>
      <c r="AF15" s="2261"/>
      <c r="AG15" s="2261"/>
      <c r="AH15" s="2261"/>
      <c r="AI15" s="2261"/>
      <c r="AJ15" s="2261"/>
      <c r="AK15" s="2261"/>
      <c r="AL15" s="2261"/>
      <c r="AM15" s="2261"/>
    </row>
    <row r="16" spans="1:40" ht="13.2" customHeight="1">
      <c r="B16" s="303"/>
      <c r="C16" s="2286" t="s">
        <v>2076</v>
      </c>
      <c r="D16" s="2286"/>
      <c r="E16" s="2286"/>
      <c r="F16" s="2286"/>
      <c r="G16" s="2286"/>
      <c r="H16" s="2286"/>
      <c r="I16" s="2286"/>
      <c r="J16" s="2286"/>
      <c r="K16" s="2286"/>
      <c r="L16" s="2286"/>
      <c r="M16" s="2286"/>
      <c r="N16" s="2286"/>
      <c r="O16" s="2286"/>
      <c r="P16" s="2286"/>
      <c r="Q16" s="2286"/>
      <c r="R16" s="2286"/>
      <c r="S16" s="2287"/>
      <c r="T16" s="2260"/>
      <c r="U16" s="2261"/>
      <c r="V16" s="2261"/>
      <c r="W16" s="2261"/>
      <c r="X16" s="2261"/>
      <c r="Y16" s="2260"/>
      <c r="Z16" s="2261"/>
      <c r="AA16" s="2261"/>
      <c r="AB16" s="2261"/>
      <c r="AC16" s="2261"/>
      <c r="AD16" s="2261"/>
      <c r="AE16" s="2261"/>
      <c r="AF16" s="2261"/>
      <c r="AG16" s="2261"/>
      <c r="AH16" s="2261"/>
      <c r="AI16" s="2261"/>
      <c r="AJ16" s="2261"/>
      <c r="AK16" s="2261"/>
      <c r="AL16" s="2261"/>
      <c r="AM16" s="2261"/>
    </row>
    <row r="17" spans="1:40" ht="13.2" customHeight="1">
      <c r="B17" s="303"/>
      <c r="C17" s="2286" t="s">
        <v>2077</v>
      </c>
      <c r="D17" s="2286"/>
      <c r="E17" s="2286"/>
      <c r="F17" s="2286"/>
      <c r="G17" s="2286"/>
      <c r="H17" s="2286"/>
      <c r="I17" s="2286"/>
      <c r="J17" s="2286"/>
      <c r="K17" s="2286"/>
      <c r="L17" s="2286"/>
      <c r="M17" s="2286"/>
      <c r="N17" s="2286"/>
      <c r="O17" s="2286"/>
      <c r="P17" s="2286"/>
      <c r="Q17" s="2286"/>
      <c r="R17" s="2286"/>
      <c r="S17" s="2287"/>
      <c r="T17" s="2260"/>
      <c r="U17" s="2261"/>
      <c r="V17" s="2261"/>
      <c r="W17" s="2261"/>
      <c r="X17" s="2261"/>
      <c r="Y17" s="2260"/>
      <c r="Z17" s="2261"/>
      <c r="AA17" s="2261"/>
      <c r="AB17" s="2261"/>
      <c r="AC17" s="2261"/>
      <c r="AD17" s="2261"/>
      <c r="AE17" s="2261"/>
      <c r="AF17" s="2261"/>
      <c r="AG17" s="2261"/>
      <c r="AH17" s="2261"/>
      <c r="AI17" s="2261"/>
      <c r="AJ17" s="2261"/>
      <c r="AK17" s="2261"/>
      <c r="AL17" s="2261"/>
      <c r="AM17" s="2261"/>
    </row>
    <row r="18" spans="1:40" ht="13.2" customHeight="1">
      <c r="A18"/>
      <c r="B18" s="932"/>
      <c r="C18" s="1745" t="s">
        <v>2078</v>
      </c>
      <c r="D18" s="1745"/>
      <c r="E18" s="1745"/>
      <c r="F18" s="1745"/>
      <c r="G18" s="1745"/>
      <c r="H18" s="1745"/>
      <c r="I18" s="1745"/>
      <c r="J18" s="1745"/>
      <c r="K18" s="1745"/>
      <c r="L18" s="1745"/>
      <c r="M18" s="1745"/>
      <c r="N18" s="1745"/>
      <c r="O18" s="1745"/>
      <c r="P18" s="1745"/>
      <c r="Q18" s="1745"/>
      <c r="R18" s="1745"/>
      <c r="S18" s="1746"/>
      <c r="T18" s="2260"/>
      <c r="U18" s="2261"/>
      <c r="V18" s="2261"/>
      <c r="W18" s="2261"/>
      <c r="X18" s="2261"/>
      <c r="Y18" s="2260"/>
      <c r="Z18" s="2261"/>
      <c r="AA18" s="2261"/>
      <c r="AB18" s="2261"/>
      <c r="AC18" s="2261"/>
      <c r="AD18" s="2261"/>
      <c r="AE18" s="2261"/>
      <c r="AF18" s="2261"/>
      <c r="AG18" s="2261"/>
      <c r="AH18" s="2261"/>
      <c r="AI18" s="2261"/>
      <c r="AJ18" s="2261"/>
      <c r="AK18" s="2261"/>
      <c r="AL18" s="2261"/>
      <c r="AM18" s="2261"/>
    </row>
    <row r="19" spans="1:40" ht="13.2" customHeight="1">
      <c r="B19" s="932"/>
      <c r="C19" s="1745" t="s">
        <v>2078</v>
      </c>
      <c r="D19" s="1745"/>
      <c r="E19" s="1745"/>
      <c r="F19" s="1745"/>
      <c r="G19" s="1745"/>
      <c r="H19" s="1745"/>
      <c r="I19" s="1745"/>
      <c r="J19" s="1745"/>
      <c r="K19" s="1745"/>
      <c r="L19" s="1745"/>
      <c r="M19" s="1745"/>
      <c r="N19" s="1745"/>
      <c r="O19" s="1745"/>
      <c r="P19" s="1745"/>
      <c r="Q19" s="1745"/>
      <c r="R19" s="1745"/>
      <c r="S19" s="1746"/>
      <c r="T19" s="2260"/>
      <c r="U19" s="2261"/>
      <c r="V19" s="2261"/>
      <c r="W19" s="2261"/>
      <c r="X19" s="2261"/>
      <c r="Y19" s="2260"/>
      <c r="Z19" s="2261"/>
      <c r="AA19" s="2261"/>
      <c r="AB19" s="2261"/>
      <c r="AC19" s="2261"/>
      <c r="AD19" s="2261"/>
      <c r="AE19" s="2261"/>
      <c r="AF19" s="2261"/>
      <c r="AG19" s="2261"/>
      <c r="AH19" s="2261"/>
      <c r="AI19" s="2261"/>
      <c r="AJ19" s="2261"/>
      <c r="AK19" s="2261"/>
      <c r="AL19" s="2261"/>
      <c r="AM19" s="2261"/>
    </row>
    <row r="20" spans="1:40" ht="13.2" customHeight="1">
      <c r="B20" s="2269" t="s">
        <v>2079</v>
      </c>
      <c r="C20" s="2270"/>
      <c r="D20" s="2270"/>
      <c r="E20" s="2270"/>
      <c r="F20" s="2270"/>
      <c r="G20" s="2270"/>
      <c r="H20" s="2270"/>
      <c r="I20" s="2270"/>
      <c r="J20" s="2270"/>
      <c r="K20" s="2270"/>
      <c r="L20" s="2270"/>
      <c r="M20" s="2270"/>
      <c r="N20" s="2270"/>
      <c r="O20" s="2270"/>
      <c r="P20" s="2270"/>
      <c r="Q20" s="2270"/>
      <c r="R20" s="2270"/>
      <c r="S20" s="2271"/>
      <c r="T20" s="2262">
        <f>SUM(T13:X19)</f>
        <v>0</v>
      </c>
      <c r="U20" s="2263"/>
      <c r="V20" s="2263"/>
      <c r="W20" s="2263"/>
      <c r="X20" s="2263"/>
      <c r="Y20" s="2262">
        <f>SUM(Y13:AC19)</f>
        <v>0</v>
      </c>
      <c r="Z20" s="2263"/>
      <c r="AA20" s="2263"/>
      <c r="AB20" s="2263"/>
      <c r="AC20" s="2263"/>
      <c r="AD20" s="2264">
        <f>SUM(AD13:AH19)</f>
        <v>0</v>
      </c>
      <c r="AE20" s="2265"/>
      <c r="AF20" s="2265"/>
      <c r="AG20" s="2265"/>
      <c r="AH20" s="2262"/>
      <c r="AI20" s="2264">
        <f>SUM(AI13:AM19)</f>
        <v>0</v>
      </c>
      <c r="AJ20" s="2265"/>
      <c r="AK20" s="2265"/>
      <c r="AL20" s="2265"/>
      <c r="AM20" s="2262"/>
    </row>
    <row r="21" spans="1:40" ht="13.2" customHeight="1">
      <c r="B21" s="2269" t="s">
        <v>2080</v>
      </c>
      <c r="C21" s="2270"/>
      <c r="D21" s="2270"/>
      <c r="E21" s="2270"/>
      <c r="F21" s="2270"/>
      <c r="G21" s="2270"/>
      <c r="H21" s="2270"/>
      <c r="I21" s="2270"/>
      <c r="J21" s="2270"/>
      <c r="K21" s="2270"/>
      <c r="L21" s="2270"/>
      <c r="M21" s="2270"/>
      <c r="N21" s="2270"/>
      <c r="O21" s="2270"/>
      <c r="P21" s="2270"/>
      <c r="Q21" s="2270"/>
      <c r="R21" s="2270"/>
      <c r="S21" s="2271"/>
      <c r="T21" s="2260"/>
      <c r="U21" s="2261"/>
      <c r="V21" s="2261"/>
      <c r="W21" s="2261"/>
      <c r="X21" s="2261"/>
      <c r="Y21" s="2260"/>
      <c r="Z21" s="2261"/>
      <c r="AA21" s="2261"/>
      <c r="AB21" s="2261"/>
      <c r="AC21" s="2261"/>
      <c r="AD21" s="2257"/>
      <c r="AE21" s="2258"/>
      <c r="AF21" s="2258"/>
      <c r="AG21" s="2258"/>
      <c r="AH21" s="2259"/>
      <c r="AI21" s="2257"/>
      <c r="AJ21" s="2258"/>
      <c r="AK21" s="2258"/>
      <c r="AL21" s="2258"/>
      <c r="AM21" s="2259"/>
    </row>
    <row r="22" spans="1:40" ht="13.2" customHeight="1">
      <c r="B22" s="2269" t="s">
        <v>2081</v>
      </c>
      <c r="C22" s="2270"/>
      <c r="D22" s="2270"/>
      <c r="E22" s="2270"/>
      <c r="F22" s="2270"/>
      <c r="G22" s="2270"/>
      <c r="H22" s="2270"/>
      <c r="I22" s="2270"/>
      <c r="J22" s="2270"/>
      <c r="K22" s="2270"/>
      <c r="L22" s="2270"/>
      <c r="M22" s="2270"/>
      <c r="N22" s="2270"/>
      <c r="O22" s="2270"/>
      <c r="P22" s="2270"/>
      <c r="Q22" s="2270"/>
      <c r="R22" s="2270"/>
      <c r="S22" s="2271"/>
      <c r="T22" s="2295">
        <f>(ABS(T20)+ABS(T21))*-1</f>
        <v>0</v>
      </c>
      <c r="U22" s="2296"/>
      <c r="V22" s="2296"/>
      <c r="W22" s="2296"/>
      <c r="X22" s="2296"/>
      <c r="Y22" s="2295">
        <f>(Y20+Y21)*-1</f>
        <v>0</v>
      </c>
      <c r="Z22" s="2296"/>
      <c r="AA22" s="2296"/>
      <c r="AB22" s="2296"/>
      <c r="AC22" s="2296"/>
      <c r="AD22" s="2297">
        <f>(AD20)*-1</f>
        <v>0</v>
      </c>
      <c r="AE22" s="2298"/>
      <c r="AF22" s="2298"/>
      <c r="AG22" s="2298"/>
      <c r="AH22" s="2295"/>
      <c r="AI22" s="2297">
        <f>(AI20)*-1</f>
        <v>0</v>
      </c>
      <c r="AJ22" s="2298"/>
      <c r="AK22" s="2298"/>
      <c r="AL22" s="2298"/>
      <c r="AM22" s="2295"/>
    </row>
    <row r="23" spans="1:40" ht="13.2" customHeight="1">
      <c r="B23" s="2269" t="s">
        <v>2082</v>
      </c>
      <c r="C23" s="2270"/>
      <c r="D23" s="2270"/>
      <c r="E23" s="2270"/>
      <c r="F23" s="2270"/>
      <c r="G23" s="2270"/>
      <c r="H23" s="2270"/>
      <c r="I23" s="2270"/>
      <c r="J23" s="2270"/>
      <c r="K23" s="2270"/>
      <c r="L23" s="2270"/>
      <c r="M23" s="2270"/>
      <c r="N23" s="2270"/>
      <c r="O23" s="2270"/>
      <c r="P23" s="2270"/>
      <c r="Q23" s="2270"/>
      <c r="R23" s="2270"/>
      <c r="S23" s="2271"/>
      <c r="T23" s="2262">
        <f>T11+T22</f>
        <v>73990303</v>
      </c>
      <c r="U23" s="2263"/>
      <c r="V23" s="2263"/>
      <c r="W23" s="2263"/>
      <c r="X23" s="2263"/>
      <c r="Y23" s="2262">
        <f>Y11+Y22</f>
        <v>0</v>
      </c>
      <c r="Z23" s="2263"/>
      <c r="AA23" s="2263"/>
      <c r="AB23" s="2263"/>
      <c r="AC23" s="2263"/>
      <c r="AD23" s="2262">
        <f>AD11+AD22</f>
        <v>0</v>
      </c>
      <c r="AE23" s="2263"/>
      <c r="AF23" s="2263"/>
      <c r="AG23" s="2263"/>
      <c r="AH23" s="2263"/>
      <c r="AI23" s="2262">
        <f>AI11+AI22</f>
        <v>0</v>
      </c>
      <c r="AJ23" s="2263"/>
      <c r="AK23" s="2263"/>
      <c r="AL23" s="2263"/>
      <c r="AM23" s="2263"/>
    </row>
    <row r="24" spans="1:40" ht="13.2" customHeight="1">
      <c r="B24" s="2269" t="s">
        <v>2083</v>
      </c>
      <c r="C24" s="2270"/>
      <c r="D24" s="2270"/>
      <c r="E24" s="2270"/>
      <c r="F24" s="2270"/>
      <c r="G24" s="2270"/>
      <c r="H24" s="2270"/>
      <c r="I24" s="2270"/>
      <c r="J24" s="2270"/>
      <c r="K24" s="2270"/>
      <c r="L24" s="2270"/>
      <c r="M24" s="2270"/>
      <c r="N24" s="2270"/>
      <c r="O24" s="2270"/>
      <c r="P24" s="2270"/>
      <c r="Q24" s="2270"/>
      <c r="R24" s="2270"/>
      <c r="S24" s="2271"/>
      <c r="T24" s="2264">
        <f>Application!AJ1053</f>
        <v>110994189.8</v>
      </c>
      <c r="U24" s="2265"/>
      <c r="V24" s="2265"/>
      <c r="W24" s="2265"/>
      <c r="X24" s="2265"/>
      <c r="Y24" s="2265"/>
      <c r="Z24" s="2265"/>
      <c r="AA24" s="2265"/>
      <c r="AB24" s="2265"/>
      <c r="AC24" s="2265"/>
      <c r="AD24" s="2265"/>
      <c r="AE24" s="2265"/>
      <c r="AF24" s="2265"/>
      <c r="AG24" s="2265"/>
      <c r="AH24" s="2265"/>
      <c r="AI24" s="2265"/>
      <c r="AJ24" s="2265"/>
      <c r="AK24" s="2265"/>
      <c r="AL24" s="2265"/>
      <c r="AM24" s="2262"/>
    </row>
    <row r="25" spans="1:40" ht="13.2" customHeight="1">
      <c r="B25" s="2273" t="s">
        <v>2084</v>
      </c>
      <c r="C25" s="2274"/>
      <c r="D25" s="2274"/>
      <c r="E25" s="2274"/>
      <c r="F25" s="2274"/>
      <c r="G25" s="2274"/>
      <c r="H25" s="2274"/>
      <c r="I25" s="2274"/>
      <c r="J25" s="2274"/>
      <c r="K25" s="2274"/>
      <c r="L25" s="2274"/>
      <c r="M25" s="2274"/>
      <c r="N25" s="2274"/>
      <c r="O25" s="2274"/>
      <c r="P25" s="2274"/>
      <c r="Q25" s="2274"/>
      <c r="R25" s="2274"/>
      <c r="S25" s="2275"/>
      <c r="T25" s="2299">
        <f>IF(OR(Application!T196="yes",Application!T195="yes"),1.3,1)</f>
        <v>1.3</v>
      </c>
      <c r="U25" s="2300"/>
      <c r="V25" s="2300"/>
      <c r="W25" s="2300"/>
      <c r="X25" s="2300"/>
      <c r="Y25" s="2299">
        <v>1</v>
      </c>
      <c r="Z25" s="2300"/>
      <c r="AA25" s="2300"/>
      <c r="AB25" s="2300"/>
      <c r="AC25" s="2300"/>
      <c r="AD25" s="2299">
        <v>1</v>
      </c>
      <c r="AE25" s="2300"/>
      <c r="AF25" s="2300"/>
      <c r="AG25" s="2300"/>
      <c r="AH25" s="2301"/>
      <c r="AI25" s="2299">
        <v>1</v>
      </c>
      <c r="AJ25" s="2300"/>
      <c r="AK25" s="2300"/>
      <c r="AL25" s="2300"/>
      <c r="AM25" s="2301"/>
    </row>
    <row r="26" spans="1:40" ht="13.2" customHeight="1">
      <c r="B26" s="2269" t="s">
        <v>2085</v>
      </c>
      <c r="C26" s="2270"/>
      <c r="D26" s="2270"/>
      <c r="E26" s="2270"/>
      <c r="F26" s="2270"/>
      <c r="G26" s="2270"/>
      <c r="H26" s="2270"/>
      <c r="I26" s="2270"/>
      <c r="J26" s="2270"/>
      <c r="K26" s="2270"/>
      <c r="L26" s="2270"/>
      <c r="M26" s="2270"/>
      <c r="N26" s="2270"/>
      <c r="O26" s="2270"/>
      <c r="P26" s="2270"/>
      <c r="Q26" s="2270"/>
      <c r="R26" s="2270"/>
      <c r="S26" s="2271"/>
      <c r="T26" s="2262">
        <f>T23*T25</f>
        <v>96187393.900000006</v>
      </c>
      <c r="U26" s="2263"/>
      <c r="V26" s="2263"/>
      <c r="W26" s="2263"/>
      <c r="X26" s="2263"/>
      <c r="Y26" s="2262">
        <f>Y23*Y25</f>
        <v>0</v>
      </c>
      <c r="Z26" s="2263"/>
      <c r="AA26" s="2263"/>
      <c r="AB26" s="2263"/>
      <c r="AC26" s="2263"/>
      <c r="AD26" s="2262">
        <f>AD23*AD25</f>
        <v>0</v>
      </c>
      <c r="AE26" s="2263"/>
      <c r="AF26" s="2263"/>
      <c r="AG26" s="2263"/>
      <c r="AH26" s="2263"/>
      <c r="AI26" s="2262">
        <f>AI23*AI25</f>
        <v>0</v>
      </c>
      <c r="AJ26" s="2263"/>
      <c r="AK26" s="2263"/>
      <c r="AL26" s="2263"/>
      <c r="AM26" s="2263"/>
    </row>
    <row r="27" spans="1:40" ht="13.2" customHeight="1">
      <c r="A27" s="280"/>
      <c r="B27" s="2276" t="s">
        <v>2086</v>
      </c>
      <c r="C27" s="2277"/>
      <c r="D27" s="2277"/>
      <c r="E27" s="2277"/>
      <c r="F27" s="2277"/>
      <c r="G27" s="2277"/>
      <c r="H27" s="2277"/>
      <c r="I27" s="2277"/>
      <c r="J27" s="2277"/>
      <c r="K27" s="2277"/>
      <c r="L27" s="2277"/>
      <c r="M27" s="2277"/>
      <c r="N27" s="2277"/>
      <c r="O27" s="2277"/>
      <c r="P27" s="2277"/>
      <c r="Q27" s="2277"/>
      <c r="R27" s="2277"/>
      <c r="S27" s="2278"/>
      <c r="T27" s="2282">
        <f>Application!$AG$445</f>
        <v>1</v>
      </c>
      <c r="U27" s="2283"/>
      <c r="V27" s="2283"/>
      <c r="W27" s="2283"/>
      <c r="X27" s="2283"/>
      <c r="Y27" s="2282">
        <f>Application!$AG$445</f>
        <v>1</v>
      </c>
      <c r="Z27" s="2283"/>
      <c r="AA27" s="2283"/>
      <c r="AB27" s="2283"/>
      <c r="AC27" s="2283"/>
      <c r="AD27" s="2282">
        <f>Application!$AG$445</f>
        <v>1</v>
      </c>
      <c r="AE27" s="2283"/>
      <c r="AF27" s="2283"/>
      <c r="AG27" s="2283"/>
      <c r="AH27" s="2283"/>
      <c r="AI27" s="2282">
        <f>Application!$AG$445</f>
        <v>1</v>
      </c>
      <c r="AJ27" s="2283"/>
      <c r="AK27" s="2283"/>
      <c r="AL27" s="2283"/>
      <c r="AM27" s="2283"/>
    </row>
    <row r="28" spans="1:40" ht="13.2" customHeight="1">
      <c r="A28" s="274"/>
      <c r="B28" s="2269" t="s">
        <v>2087</v>
      </c>
      <c r="C28" s="2270"/>
      <c r="D28" s="2270"/>
      <c r="E28" s="2270"/>
      <c r="F28" s="2270"/>
      <c r="G28" s="2270"/>
      <c r="H28" s="2270"/>
      <c r="I28" s="2270"/>
      <c r="J28" s="2270"/>
      <c r="K28" s="2270"/>
      <c r="L28" s="2270"/>
      <c r="M28" s="2270"/>
      <c r="N28" s="2270"/>
      <c r="O28" s="2270"/>
      <c r="P28" s="2270"/>
      <c r="Q28" s="2270"/>
      <c r="R28" s="2270"/>
      <c r="S28" s="2271"/>
      <c r="T28" s="2262">
        <f>IF(ISERROR((T26*T27)),0,(T26*T27))</f>
        <v>96187393.900000006</v>
      </c>
      <c r="U28" s="2263"/>
      <c r="V28" s="2263"/>
      <c r="W28" s="2263"/>
      <c r="X28" s="2263"/>
      <c r="Y28" s="2262">
        <f>IF(ISERROR((Y26*Y27)),0,(Y26*Y27))</f>
        <v>0</v>
      </c>
      <c r="Z28" s="2263"/>
      <c r="AA28" s="2263"/>
      <c r="AB28" s="2263"/>
      <c r="AC28" s="2263"/>
      <c r="AD28" s="2262">
        <f>IF(ISERROR((AD26*AD27)),0,(AD26*AD27))</f>
        <v>0</v>
      </c>
      <c r="AE28" s="2263"/>
      <c r="AF28" s="2263"/>
      <c r="AG28" s="2263"/>
      <c r="AH28" s="2263"/>
      <c r="AI28" s="2262">
        <f>IF(ISERROR((AI26*AI27)),0,(AI26*AI27))</f>
        <v>0</v>
      </c>
      <c r="AJ28" s="2263"/>
      <c r="AK28" s="2263"/>
      <c r="AL28" s="2263"/>
      <c r="AM28" s="2263"/>
    </row>
    <row r="29" spans="1:40" ht="13.2" customHeight="1">
      <c r="B29" s="2269" t="s">
        <v>2088</v>
      </c>
      <c r="C29" s="2270"/>
      <c r="D29" s="2270"/>
      <c r="E29" s="2270"/>
      <c r="F29" s="2270"/>
      <c r="G29" s="2270"/>
      <c r="H29" s="2270"/>
      <c r="I29" s="2270"/>
      <c r="J29" s="2270"/>
      <c r="K29" s="2270"/>
      <c r="L29" s="2270"/>
      <c r="M29" s="2270"/>
      <c r="N29" s="2270"/>
      <c r="O29" s="2270"/>
      <c r="P29" s="2270"/>
      <c r="Q29" s="2270"/>
      <c r="R29" s="2270"/>
      <c r="S29" s="2271"/>
      <c r="T29" s="2264">
        <f>T28+Y28+AD28+AI28</f>
        <v>96187393.900000006</v>
      </c>
      <c r="U29" s="2265"/>
      <c r="V29" s="2265"/>
      <c r="W29" s="2265"/>
      <c r="X29" s="2265"/>
      <c r="Y29" s="2265"/>
      <c r="Z29" s="2265"/>
      <c r="AA29" s="2265"/>
      <c r="AB29" s="2265"/>
      <c r="AC29" s="2265"/>
      <c r="AD29" s="2265"/>
      <c r="AE29" s="2265"/>
      <c r="AF29" s="2265"/>
      <c r="AG29" s="2265"/>
      <c r="AH29" s="2265"/>
      <c r="AI29" s="2265"/>
      <c r="AJ29" s="2265"/>
      <c r="AK29" s="2265"/>
      <c r="AL29" s="2265"/>
      <c r="AM29" s="2262"/>
    </row>
    <row r="30" spans="1:40" ht="13.2" customHeight="1">
      <c r="B30" s="2272" t="s">
        <v>2089</v>
      </c>
      <c r="C30" s="2272"/>
      <c r="D30" s="2272"/>
      <c r="E30" s="2272"/>
      <c r="F30" s="2272"/>
      <c r="G30" s="2272"/>
      <c r="H30" s="2272"/>
      <c r="I30" s="2272"/>
      <c r="J30" s="2272"/>
      <c r="K30" s="2272"/>
      <c r="L30" s="2272"/>
      <c r="M30" s="2272"/>
      <c r="N30" s="2272"/>
      <c r="O30" s="2272"/>
      <c r="P30" s="2272"/>
      <c r="Q30" s="2272"/>
      <c r="R30" s="2272"/>
      <c r="S30" s="2272"/>
      <c r="T30" s="2272"/>
      <c r="U30" s="2272"/>
      <c r="V30" s="2272"/>
      <c r="W30" s="2272"/>
      <c r="X30" s="2272"/>
      <c r="Y30" s="2272"/>
      <c r="Z30" s="2272"/>
      <c r="AA30" s="2272"/>
      <c r="AB30" s="2272"/>
      <c r="AC30" s="2272"/>
      <c r="AD30" s="2272"/>
      <c r="AE30" s="2272"/>
      <c r="AF30" s="2272"/>
      <c r="AG30" s="2272"/>
      <c r="AH30" s="2272"/>
      <c r="AI30" s="2272"/>
      <c r="AJ30" s="2272"/>
      <c r="AK30" s="2272"/>
      <c r="AL30" s="2272"/>
      <c r="AM30" s="2272"/>
    </row>
    <row r="31" spans="1:40" ht="13.2" customHeight="1">
      <c r="B31" s="2272" t="s">
        <v>2090</v>
      </c>
      <c r="C31" s="2272"/>
      <c r="D31" s="2272"/>
      <c r="E31" s="2272"/>
      <c r="F31" s="2272"/>
      <c r="G31" s="2272"/>
      <c r="H31" s="2272"/>
      <c r="I31" s="2272"/>
      <c r="J31" s="2272"/>
      <c r="K31" s="2272"/>
      <c r="L31" s="2272"/>
      <c r="M31" s="2272"/>
      <c r="N31" s="2272"/>
      <c r="O31" s="2272"/>
      <c r="P31" s="2272"/>
      <c r="Q31" s="2272"/>
      <c r="R31" s="2272"/>
      <c r="S31" s="2272"/>
      <c r="T31" s="2272"/>
      <c r="U31" s="2272"/>
      <c r="V31" s="2272"/>
      <c r="W31" s="2272"/>
      <c r="X31" s="2272"/>
      <c r="Y31" s="2272"/>
      <c r="Z31" s="2272"/>
      <c r="AA31" s="2272"/>
      <c r="AB31" s="2272"/>
      <c r="AC31" s="2272"/>
      <c r="AD31" s="2272"/>
      <c r="AE31" s="2272"/>
      <c r="AF31" s="2272"/>
      <c r="AG31" s="2272"/>
      <c r="AH31" s="2272"/>
      <c r="AI31" s="2272"/>
      <c r="AJ31" s="2272"/>
      <c r="AK31" s="2272"/>
      <c r="AL31" s="2272"/>
      <c r="AM31" s="2272"/>
      <c r="AN31" s="369"/>
    </row>
    <row r="32" spans="1:40" ht="13.2" customHeight="1">
      <c r="B32" s="1188"/>
      <c r="C32" s="362" t="s">
        <v>2091</v>
      </c>
      <c r="D32" s="1188"/>
      <c r="E32" s="1188"/>
      <c r="F32" s="1188"/>
      <c r="G32" s="1188"/>
      <c r="H32" s="1188"/>
      <c r="I32" s="1188"/>
      <c r="J32" s="1188"/>
      <c r="K32" s="1188"/>
      <c r="L32" s="1188"/>
      <c r="M32" s="1188"/>
      <c r="N32" s="1188"/>
      <c r="O32" s="1188"/>
      <c r="P32" s="1188"/>
      <c r="Q32" s="1188"/>
      <c r="R32" s="1188"/>
      <c r="S32" s="1188"/>
      <c r="T32" s="1188"/>
      <c r="U32" s="1188"/>
      <c r="V32" s="1188"/>
      <c r="W32" s="1188"/>
      <c r="X32" s="1188"/>
      <c r="Y32" s="1188"/>
      <c r="Z32" s="1188"/>
      <c r="AA32" s="1188"/>
      <c r="AB32" s="1188"/>
      <c r="AC32" s="1188"/>
      <c r="AD32" s="1188"/>
      <c r="AE32" s="1188"/>
      <c r="AF32" s="1188"/>
      <c r="AG32" s="1188"/>
      <c r="AH32" s="1188"/>
      <c r="AI32" s="1188"/>
      <c r="AJ32" s="1188"/>
      <c r="AK32" s="1188"/>
      <c r="AL32" s="1188"/>
      <c r="AM32" s="1188"/>
    </row>
    <row r="34" spans="1:76" ht="13.2" customHeight="1">
      <c r="A34" s="274" t="s">
        <v>912</v>
      </c>
      <c r="C34" s="274" t="s">
        <v>279</v>
      </c>
    </row>
    <row r="35" spans="1:76" ht="13.2" customHeight="1">
      <c r="B35" s="275"/>
      <c r="C35" s="276"/>
      <c r="D35" s="276"/>
      <c r="E35" s="276"/>
      <c r="F35" s="276"/>
      <c r="G35" s="276"/>
      <c r="H35" s="276"/>
      <c r="I35" s="276"/>
      <c r="J35" s="276"/>
      <c r="K35" s="276"/>
      <c r="L35" s="276"/>
      <c r="M35" s="276"/>
      <c r="N35" s="276"/>
      <c r="O35" s="276"/>
      <c r="P35" s="276"/>
      <c r="Q35" s="276"/>
      <c r="R35" s="276"/>
      <c r="S35" s="276"/>
      <c r="T35" s="276"/>
      <c r="U35" s="276"/>
      <c r="V35" s="276"/>
      <c r="W35" s="276"/>
      <c r="X35" s="281"/>
      <c r="Y35" s="2290" t="s">
        <v>2092</v>
      </c>
      <c r="Z35" s="2290"/>
      <c r="AA35" s="2290"/>
      <c r="AB35" s="2290"/>
      <c r="AC35" s="2290"/>
      <c r="AD35" s="2310" t="s">
        <v>2093</v>
      </c>
      <c r="AE35" s="2310"/>
      <c r="AF35" s="2310"/>
      <c r="AG35" s="2310"/>
      <c r="AH35" s="2310"/>
    </row>
    <row r="36" spans="1:76" ht="13.2" customHeight="1">
      <c r="B36" s="277"/>
      <c r="X36" s="282"/>
      <c r="Y36" s="2290"/>
      <c r="Z36" s="2290"/>
      <c r="AA36" s="2290"/>
      <c r="AB36" s="2290"/>
      <c r="AC36" s="2290"/>
      <c r="AD36" s="2310"/>
      <c r="AE36" s="2310"/>
      <c r="AF36" s="2310"/>
      <c r="AG36" s="2310"/>
      <c r="AH36" s="2310"/>
    </row>
    <row r="37" spans="1:76" ht="13.2" customHeight="1">
      <c r="B37" s="278"/>
      <c r="C37" s="279"/>
      <c r="D37" s="279"/>
      <c r="E37" s="279"/>
      <c r="F37" s="279"/>
      <c r="G37" s="279"/>
      <c r="H37" s="279"/>
      <c r="I37" s="279"/>
      <c r="J37" s="279"/>
      <c r="K37" s="279"/>
      <c r="L37" s="279"/>
      <c r="M37" s="279"/>
      <c r="N37" s="279"/>
      <c r="O37" s="279"/>
      <c r="P37" s="279"/>
      <c r="Q37" s="279"/>
      <c r="R37" s="279"/>
      <c r="S37" s="279"/>
      <c r="T37" s="279"/>
      <c r="U37" s="279"/>
      <c r="V37" s="279"/>
      <c r="W37" s="279"/>
      <c r="X37" s="283"/>
      <c r="Y37" s="2290"/>
      <c r="Z37" s="2290"/>
      <c r="AA37" s="2290"/>
      <c r="AB37" s="2290"/>
      <c r="AC37" s="2290"/>
      <c r="AD37" s="2310"/>
      <c r="AE37" s="2310"/>
      <c r="AF37" s="2310"/>
      <c r="AG37" s="2310"/>
      <c r="AH37" s="2310"/>
    </row>
    <row r="38" spans="1:76" ht="13.2" customHeight="1">
      <c r="A38" s="274"/>
      <c r="B38" s="2269" t="s">
        <v>2087</v>
      </c>
      <c r="C38" s="2270"/>
      <c r="D38" s="2270"/>
      <c r="E38" s="2270"/>
      <c r="F38" s="2270"/>
      <c r="G38" s="2270"/>
      <c r="H38" s="2270"/>
      <c r="I38" s="2270"/>
      <c r="J38" s="2270"/>
      <c r="K38" s="2270"/>
      <c r="L38" s="2270"/>
      <c r="M38" s="2270"/>
      <c r="N38" s="2270"/>
      <c r="O38" s="2270"/>
      <c r="P38" s="2270"/>
      <c r="Q38" s="2270"/>
      <c r="R38" s="2270"/>
      <c r="S38" s="2270"/>
      <c r="T38" s="2270"/>
      <c r="U38" s="2270"/>
      <c r="V38" s="2270"/>
      <c r="W38" s="2270"/>
      <c r="X38" s="2271"/>
      <c r="Y38" s="2263">
        <f>IF(T24&gt;=(T23+Y23+AD23+AI23),T28+Y28,0)</f>
        <v>96187393.900000006</v>
      </c>
      <c r="Z38" s="2263"/>
      <c r="AA38" s="2263"/>
      <c r="AB38" s="2263"/>
      <c r="AC38" s="2263"/>
      <c r="AD38" s="2263">
        <f>IF(T24&gt;=(T23+Y23+AD23+AI23),AD28+AI28,0)</f>
        <v>0</v>
      </c>
      <c r="AE38" s="2263"/>
      <c r="AF38" s="2263"/>
      <c r="AG38" s="2263"/>
      <c r="AH38" s="2263"/>
    </row>
    <row r="39" spans="1:76" ht="13.2" customHeight="1">
      <c r="B39" s="2269" t="s">
        <v>2094</v>
      </c>
      <c r="C39" s="2270"/>
      <c r="D39" s="2270"/>
      <c r="E39" s="2270"/>
      <c r="F39" s="2270"/>
      <c r="G39" s="2270"/>
      <c r="H39" s="2270"/>
      <c r="I39" s="2270"/>
      <c r="J39" s="2270"/>
      <c r="K39" s="2270"/>
      <c r="L39" s="2270"/>
      <c r="M39" s="2270"/>
      <c r="N39" s="2270"/>
      <c r="O39" s="2270"/>
      <c r="P39" s="2270"/>
      <c r="Q39" s="2270"/>
      <c r="R39" s="2270"/>
      <c r="S39" s="2270"/>
      <c r="T39" s="2270"/>
      <c r="U39" s="2270"/>
      <c r="V39" s="2270"/>
      <c r="W39" s="2270"/>
      <c r="X39" s="2271"/>
      <c r="Y39" s="2311">
        <v>0.04</v>
      </c>
      <c r="Z39" s="2311"/>
      <c r="AA39" s="2311"/>
      <c r="AB39" s="2311"/>
      <c r="AC39" s="2311"/>
      <c r="AD39" s="2311">
        <v>0.04</v>
      </c>
      <c r="AE39" s="2311"/>
      <c r="AF39" s="2311"/>
      <c r="AG39" s="2311"/>
      <c r="AH39" s="2311"/>
    </row>
    <row r="40" spans="1:76" ht="13.2" customHeight="1">
      <c r="A40" s="274"/>
      <c r="B40" s="2269" t="s">
        <v>2095</v>
      </c>
      <c r="C40" s="2270"/>
      <c r="D40" s="2270"/>
      <c r="E40" s="2270"/>
      <c r="F40" s="2270"/>
      <c r="G40" s="2270"/>
      <c r="H40" s="2270"/>
      <c r="I40" s="2270"/>
      <c r="J40" s="2270"/>
      <c r="K40" s="2270"/>
      <c r="L40" s="2270"/>
      <c r="M40" s="2270"/>
      <c r="N40" s="2270"/>
      <c r="O40" s="2270"/>
      <c r="P40" s="2270"/>
      <c r="Q40" s="2270"/>
      <c r="R40" s="2270"/>
      <c r="S40" s="2270"/>
      <c r="T40" s="2270"/>
      <c r="U40" s="2270"/>
      <c r="V40" s="2270"/>
      <c r="W40" s="2270"/>
      <c r="X40" s="2271"/>
      <c r="Y40" s="2263">
        <f>ROUND(Y38*Y39,0)</f>
        <v>3847496</v>
      </c>
      <c r="Z40" s="2263"/>
      <c r="AA40" s="2263"/>
      <c r="AB40" s="2263"/>
      <c r="AC40" s="2263"/>
      <c r="AD40" s="2262">
        <f>ROUND(AD38*AD39,0)</f>
        <v>0</v>
      </c>
      <c r="AE40" s="2263"/>
      <c r="AF40" s="2263"/>
      <c r="AG40" s="2263"/>
      <c r="AH40" s="2263"/>
    </row>
    <row r="41" spans="1:76" ht="13.2" customHeight="1">
      <c r="B41" s="2269" t="s">
        <v>2096</v>
      </c>
      <c r="C41" s="2270"/>
      <c r="D41" s="2270"/>
      <c r="E41" s="2270"/>
      <c r="F41" s="2270"/>
      <c r="G41" s="2270"/>
      <c r="H41" s="2270"/>
      <c r="I41" s="2270"/>
      <c r="J41" s="2270"/>
      <c r="K41" s="2270"/>
      <c r="L41" s="2270"/>
      <c r="M41" s="2270"/>
      <c r="N41" s="2270"/>
      <c r="O41" s="2270"/>
      <c r="P41" s="2270"/>
      <c r="Q41" s="2270"/>
      <c r="R41" s="2270"/>
      <c r="S41" s="2270"/>
      <c r="T41" s="2270"/>
      <c r="U41" s="2270"/>
      <c r="V41" s="2270"/>
      <c r="W41" s="2270"/>
      <c r="X41" s="2271"/>
      <c r="Y41" s="2264">
        <f>Y40+AD40</f>
        <v>3847496</v>
      </c>
      <c r="Z41" s="2265"/>
      <c r="AA41" s="2265"/>
      <c r="AB41" s="2265"/>
      <c r="AC41" s="2265"/>
      <c r="AD41" s="2265"/>
      <c r="AE41" s="2265"/>
      <c r="AF41" s="2265"/>
      <c r="AG41" s="2265"/>
      <c r="AH41" s="2262"/>
    </row>
    <row r="42" spans="1:76" ht="13.2" customHeight="1">
      <c r="A42" s="274"/>
      <c r="B42" s="734"/>
      <c r="C42" s="734"/>
      <c r="D42" s="734"/>
      <c r="E42" s="734"/>
      <c r="F42" s="734"/>
      <c r="G42" s="734"/>
      <c r="H42" s="734"/>
      <c r="I42" s="734"/>
      <c r="J42" s="734"/>
      <c r="K42" s="734"/>
      <c r="L42" s="734"/>
      <c r="M42" s="734"/>
      <c r="N42" s="734"/>
      <c r="O42" s="734"/>
      <c r="P42" s="734"/>
      <c r="Q42" s="734"/>
      <c r="R42" s="734"/>
      <c r="S42" s="734"/>
      <c r="T42" s="734"/>
      <c r="U42" s="734"/>
      <c r="V42" s="734"/>
      <c r="W42" s="734"/>
      <c r="X42" s="734"/>
      <c r="Y42" s="734"/>
      <c r="Z42" s="734"/>
      <c r="AA42" s="734"/>
      <c r="AB42" s="734"/>
      <c r="AC42" s="734"/>
      <c r="AD42" s="734"/>
      <c r="AE42" s="734"/>
      <c r="AF42" s="734"/>
      <c r="AG42" s="734"/>
      <c r="AH42" s="734"/>
    </row>
    <row r="43" spans="1:76" ht="13.2" customHeight="1">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row>
    <row r="44" spans="1:76" s="113" customFormat="1" ht="13.2" customHeight="1" thickBot="1">
      <c r="A44" s="2267" t="s">
        <v>2097</v>
      </c>
      <c r="B44" s="2267"/>
      <c r="C44" s="2267"/>
      <c r="D44" s="2267"/>
      <c r="E44" s="2267"/>
      <c r="F44" s="2267"/>
      <c r="G44" s="2267"/>
      <c r="H44" s="2267"/>
      <c r="I44" s="2267"/>
      <c r="J44" s="2267"/>
      <c r="K44" s="2267"/>
      <c r="L44" s="2267"/>
      <c r="M44" s="2267"/>
      <c r="N44" s="2267"/>
      <c r="O44" s="2267"/>
      <c r="P44" s="2267"/>
      <c r="Q44" s="2267"/>
      <c r="R44" s="2267"/>
      <c r="S44" s="2267"/>
      <c r="T44" s="2267"/>
      <c r="U44" s="2267"/>
      <c r="V44" s="2267"/>
      <c r="W44" s="2267"/>
      <c r="X44" s="2267"/>
      <c r="Y44" s="2267"/>
      <c r="Z44" s="2267"/>
      <c r="AA44" s="2267"/>
      <c r="AB44" s="2267"/>
      <c r="AC44" s="2267"/>
      <c r="AD44" s="2267"/>
      <c r="AE44" s="2267"/>
      <c r="AF44" s="2267"/>
      <c r="AG44" s="2267"/>
      <c r="AH44" s="2267"/>
      <c r="AI44" s="2267"/>
      <c r="AJ44" s="2267"/>
      <c r="AK44" s="2267"/>
      <c r="AL44" s="2267"/>
      <c r="AM44" s="2267"/>
      <c r="AN44" s="2267"/>
      <c r="AO44" s="2267"/>
      <c r="AP44" s="2267"/>
      <c r="AQ44" s="2267"/>
      <c r="AR44" s="2267"/>
      <c r="AS44" s="2267"/>
      <c r="AT44" s="2267"/>
      <c r="AU44" s="2267"/>
      <c r="AV44" s="2267"/>
      <c r="AW44" s="2267"/>
      <c r="AX44" s="2267"/>
      <c r="AY44" s="2267"/>
      <c r="AZ44" s="2267"/>
      <c r="BA44" s="2267"/>
      <c r="BB44" s="2267"/>
      <c r="BC44" s="2267"/>
      <c r="BD44" s="2267"/>
      <c r="BE44" s="2267"/>
      <c r="BF44" s="2267"/>
      <c r="BG44" s="2267"/>
      <c r="BH44" s="2267"/>
      <c r="BI44" s="2267"/>
      <c r="BJ44" s="2267"/>
      <c r="BK44" s="2267"/>
      <c r="BL44" s="2267"/>
      <c r="BM44" s="2267"/>
      <c r="BN44" s="2267"/>
      <c r="BO44" s="2267"/>
      <c r="BP44" s="2267"/>
      <c r="BQ44" s="2267"/>
      <c r="BR44" s="2267"/>
      <c r="BS44" s="2267"/>
      <c r="BT44" s="2267"/>
      <c r="BU44" s="2267"/>
      <c r="BV44" s="2267"/>
      <c r="BW44" s="2267"/>
      <c r="BX44" s="2267"/>
    </row>
    <row r="45" spans="1:76" s="113" customFormat="1" ht="13.2" customHeight="1" thickTop="1"/>
    <row r="46" spans="1:76" ht="13.2" customHeight="1">
      <c r="A46" s="274" t="s">
        <v>990</v>
      </c>
      <c r="C46" s="274" t="s">
        <v>282</v>
      </c>
    </row>
    <row r="47" spans="1:76" ht="13.2" customHeight="1">
      <c r="D47" s="274" t="s">
        <v>677</v>
      </c>
      <c r="AB47" s="2279">
        <f>'Sources and Uses Budget'!B105-MAX(IF('Sources and Uses Budget'!B15="",0,'Sources and Uses Budget'!B15),IF(Application!AG394="",0,Application!AG394))</f>
        <v>77153162</v>
      </c>
      <c r="AC47" s="2280"/>
      <c r="AD47" s="2280"/>
      <c r="AE47" s="2280"/>
      <c r="AF47" s="2281"/>
    </row>
    <row r="48" spans="1:76" ht="13.2" customHeight="1">
      <c r="D48" s="274" t="s">
        <v>175</v>
      </c>
      <c r="AB48" s="2279">
        <f>Application!AO639-MAX(IF('Sources and Uses Budget'!B15="",0,'Sources and Uses Budget'!B15),IF(Application!AG394="",0,Application!AG394))</f>
        <v>28192168</v>
      </c>
      <c r="AC48" s="2280"/>
      <c r="AD48" s="2280"/>
      <c r="AE48" s="2280"/>
      <c r="AF48" s="2281"/>
    </row>
    <row r="49" spans="1:76" ht="13.2" customHeight="1">
      <c r="D49" s="274" t="s">
        <v>2098</v>
      </c>
      <c r="AB49" s="2279">
        <f>AB47-AB48</f>
        <v>48960994</v>
      </c>
      <c r="AC49" s="2280"/>
      <c r="AD49" s="2280"/>
      <c r="AE49" s="2280"/>
      <c r="AF49" s="2281"/>
    </row>
    <row r="50" spans="1:76" ht="13.2" customHeight="1">
      <c r="D50" s="274" t="s">
        <v>2099</v>
      </c>
      <c r="AA50" s="285"/>
      <c r="AB50" s="2306">
        <v>0.83991594999999997</v>
      </c>
      <c r="AC50" s="2307"/>
      <c r="AD50" s="2307"/>
      <c r="AE50" s="2307"/>
      <c r="AF50" s="2308"/>
    </row>
    <row r="51" spans="1:76" s="286" customFormat="1" ht="13.2" customHeight="1">
      <c r="A51" s="272"/>
      <c r="B51" s="272"/>
      <c r="C51" s="272"/>
      <c r="D51" s="272"/>
      <c r="E51" s="2309" t="s">
        <v>2100</v>
      </c>
      <c r="F51" s="2309"/>
      <c r="G51" s="2309"/>
      <c r="H51" s="2309"/>
      <c r="I51" s="2309"/>
      <c r="J51" s="2309"/>
      <c r="K51" s="2309"/>
      <c r="L51" s="2309"/>
      <c r="M51" s="2309"/>
      <c r="N51" s="2309"/>
      <c r="O51" s="2309"/>
      <c r="P51" s="2309"/>
      <c r="Q51" s="2309"/>
      <c r="R51" s="2309"/>
      <c r="S51" s="2309"/>
      <c r="T51" s="2309"/>
      <c r="U51" s="2309"/>
      <c r="V51" s="2309"/>
      <c r="W51" s="2309"/>
      <c r="X51" s="2309"/>
      <c r="Y51" s="2309"/>
      <c r="Z51" s="2309"/>
      <c r="AA51" s="1120"/>
      <c r="AB51" s="1120"/>
      <c r="AC51" s="1120"/>
      <c r="AD51" s="1120"/>
      <c r="AE51" s="1120"/>
      <c r="AF51" s="1120"/>
      <c r="AG51" s="272"/>
      <c r="AH51" s="272"/>
      <c r="AI51" s="272"/>
      <c r="AJ51" s="272"/>
      <c r="AK51" s="272"/>
      <c r="AL51" s="272"/>
      <c r="AM51" s="272"/>
      <c r="AN51" s="272"/>
    </row>
    <row r="52" spans="1:76" s="286" customFormat="1" ht="13.2" customHeight="1">
      <c r="A52" s="272"/>
      <c r="B52" s="272"/>
      <c r="C52" s="272"/>
      <c r="D52" s="272"/>
      <c r="E52" s="2309"/>
      <c r="F52" s="2309"/>
      <c r="G52" s="2309"/>
      <c r="H52" s="2309"/>
      <c r="I52" s="2309"/>
      <c r="J52" s="2309"/>
      <c r="K52" s="2309"/>
      <c r="L52" s="2309"/>
      <c r="M52" s="2309"/>
      <c r="N52" s="2309"/>
      <c r="O52" s="2309"/>
      <c r="P52" s="2309"/>
      <c r="Q52" s="2309"/>
      <c r="R52" s="2309"/>
      <c r="S52" s="2309"/>
      <c r="T52" s="2309"/>
      <c r="U52" s="2309"/>
      <c r="V52" s="2309"/>
      <c r="W52" s="2309"/>
      <c r="X52" s="2309"/>
      <c r="Y52" s="2309"/>
      <c r="Z52" s="2309"/>
      <c r="AA52" s="287"/>
      <c r="AB52" s="287"/>
      <c r="AC52" s="287"/>
      <c r="AD52" s="287"/>
      <c r="AE52" s="287"/>
      <c r="AF52" s="287"/>
      <c r="AG52" s="288"/>
      <c r="AH52" s="272"/>
      <c r="AI52" s="272"/>
      <c r="AJ52" s="272"/>
      <c r="AK52" s="272"/>
      <c r="AL52" s="272"/>
      <c r="AM52" s="272"/>
      <c r="AN52" s="272"/>
    </row>
    <row r="53" spans="1:76" ht="13.2" customHeight="1">
      <c r="E53" s="1120"/>
      <c r="F53" s="1120"/>
      <c r="G53" s="1120"/>
      <c r="H53" s="1120"/>
      <c r="I53" s="1120"/>
      <c r="J53" s="1120"/>
      <c r="K53" s="1120"/>
      <c r="L53" s="1120"/>
      <c r="M53" s="1120"/>
      <c r="N53" s="1120"/>
      <c r="O53" s="1120"/>
      <c r="P53" s="1120"/>
      <c r="Q53" s="1120"/>
      <c r="R53" s="1120"/>
      <c r="S53" s="1120"/>
      <c r="T53" s="1120"/>
      <c r="U53" s="1120"/>
      <c r="V53" s="1120"/>
      <c r="W53" s="1120"/>
      <c r="X53" s="1120"/>
      <c r="Y53" s="1120"/>
      <c r="Z53" s="1120"/>
    </row>
    <row r="54" spans="1:76" ht="13.2" customHeight="1">
      <c r="D54" s="274" t="s">
        <v>2101</v>
      </c>
      <c r="AB54" s="2279">
        <f>ROUND(IF(ISERROR((AB49/AB50)),0,(AB49/AB50)),0)</f>
        <v>58292730</v>
      </c>
      <c r="AC54" s="2280"/>
      <c r="AD54" s="2280"/>
      <c r="AE54" s="2280"/>
      <c r="AF54" s="2281"/>
    </row>
    <row r="55" spans="1:76" ht="13.2" customHeight="1">
      <c r="D55" s="274" t="s">
        <v>2102</v>
      </c>
      <c r="AB55" s="2279">
        <f>(AB54/10)</f>
        <v>5829273</v>
      </c>
      <c r="AC55" s="2280"/>
      <c r="AD55" s="2280"/>
      <c r="AE55" s="2280"/>
      <c r="AF55" s="2281"/>
    </row>
    <row r="56" spans="1:76" ht="13.2" customHeight="1">
      <c r="D56" s="274" t="s">
        <v>2103</v>
      </c>
      <c r="AB56" s="2279">
        <f>ROUND((IF((Y41&lt;AB55),Y41,AB55)),0)</f>
        <v>3847496</v>
      </c>
      <c r="AC56" s="2280"/>
      <c r="AD56" s="2280"/>
      <c r="AE56" s="2280"/>
      <c r="AF56" s="2281"/>
    </row>
    <row r="57" spans="1:76" ht="13.2" customHeight="1">
      <c r="D57" s="274" t="s">
        <v>2104</v>
      </c>
      <c r="AB57" s="2279">
        <f>ROUND((10*AB56*AB50),0)</f>
        <v>32315733</v>
      </c>
      <c r="AC57" s="2280"/>
      <c r="AD57" s="2280"/>
      <c r="AE57" s="2280"/>
      <c r="AF57" s="2281"/>
    </row>
    <row r="58" spans="1:76" ht="13.2" customHeight="1">
      <c r="D58" s="274"/>
      <c r="AB58" s="292"/>
      <c r="AC58" s="292"/>
      <c r="AD58" s="292"/>
      <c r="AE58" s="292"/>
      <c r="AF58" s="292"/>
    </row>
    <row r="59" spans="1:76" ht="13.2" customHeight="1">
      <c r="D59" s="274" t="s">
        <v>2105</v>
      </c>
      <c r="AB59" s="2302">
        <f>AB49-AB57</f>
        <v>16645261</v>
      </c>
      <c r="AC59" s="2302"/>
      <c r="AD59" s="2302"/>
      <c r="AE59" s="2302"/>
      <c r="AF59" s="2302"/>
    </row>
    <row r="60" spans="1:76" ht="13.2" customHeight="1">
      <c r="D60" s="274"/>
      <c r="AB60" s="292"/>
      <c r="AC60" s="292"/>
      <c r="AD60" s="292"/>
      <c r="AE60" s="292"/>
      <c r="AF60" s="292"/>
    </row>
    <row r="61" spans="1:76" s="113" customFormat="1" ht="13.2" customHeight="1" thickBot="1">
      <c r="A61" s="2267" t="str">
        <f>IF(Application!AP205="yes","Farmworker State Credit", "State Credit" )</f>
        <v>State Credit</v>
      </c>
      <c r="B61" s="2267"/>
      <c r="C61" s="2267"/>
      <c r="D61" s="2267"/>
      <c r="E61" s="2267"/>
      <c r="F61" s="2267"/>
      <c r="G61" s="2267"/>
      <c r="H61" s="2267"/>
      <c r="I61" s="2267"/>
      <c r="J61" s="2267"/>
      <c r="K61" s="2267"/>
      <c r="L61" s="2267"/>
      <c r="M61" s="2267"/>
      <c r="N61" s="2267"/>
      <c r="O61" s="2267"/>
      <c r="P61" s="2267"/>
      <c r="Q61" s="2267"/>
      <c r="R61" s="2267"/>
      <c r="S61" s="2267"/>
      <c r="T61" s="2267"/>
      <c r="U61" s="2267"/>
      <c r="V61" s="2267"/>
      <c r="W61" s="2267"/>
      <c r="X61" s="2267"/>
      <c r="Y61" s="2267"/>
      <c r="Z61" s="2267"/>
      <c r="AA61" s="2267"/>
      <c r="AB61" s="2267"/>
      <c r="AC61" s="2267"/>
      <c r="AD61" s="2267"/>
      <c r="AE61" s="2267"/>
      <c r="AF61" s="2267"/>
      <c r="AG61" s="2267"/>
      <c r="AH61" s="2267"/>
      <c r="AI61" s="2267"/>
      <c r="AJ61" s="2267"/>
      <c r="AK61" s="2267"/>
      <c r="AL61" s="2267"/>
      <c r="AM61" s="2267"/>
      <c r="AN61" s="2267"/>
      <c r="AO61" s="2267"/>
      <c r="AP61" s="2267"/>
      <c r="AQ61" s="2267"/>
      <c r="AR61" s="2267"/>
      <c r="AS61" s="2267"/>
      <c r="AT61" s="2267"/>
      <c r="AU61" s="2267"/>
      <c r="AV61" s="2267"/>
      <c r="AW61" s="2267"/>
      <c r="AX61" s="2267"/>
      <c r="AY61" s="2267"/>
      <c r="AZ61" s="2267"/>
      <c r="BA61" s="2267"/>
      <c r="BB61" s="2267"/>
      <c r="BC61" s="2267"/>
      <c r="BD61" s="2267"/>
      <c r="BE61" s="2267"/>
      <c r="BF61" s="2267"/>
      <c r="BG61" s="2267"/>
      <c r="BH61" s="2267"/>
      <c r="BI61" s="2267"/>
      <c r="BJ61" s="2267"/>
      <c r="BK61" s="2267"/>
      <c r="BL61" s="2267"/>
      <c r="BM61" s="2267"/>
      <c r="BN61" s="2267"/>
      <c r="BO61" s="2267"/>
      <c r="BP61" s="2267"/>
      <c r="BQ61" s="2267"/>
      <c r="BR61" s="2267"/>
      <c r="BS61" s="2267"/>
      <c r="BT61" s="2267"/>
      <c r="BU61" s="2267"/>
      <c r="BV61" s="2267"/>
      <c r="BW61" s="2267"/>
      <c r="BX61" s="2267"/>
    </row>
    <row r="62" spans="1:76" s="113" customFormat="1" ht="13.2" customHeight="1" thickTop="1"/>
    <row r="63" spans="1:76" ht="13.2" customHeight="1">
      <c r="A63" s="274" t="s">
        <v>1008</v>
      </c>
      <c r="C63" s="114" t="s">
        <v>2106</v>
      </c>
      <c r="Y63" s="2303" t="s">
        <v>2107</v>
      </c>
      <c r="Z63" s="2303"/>
      <c r="AA63" s="2303"/>
      <c r="AB63" s="2303"/>
      <c r="AC63" s="2303"/>
      <c r="AD63" s="2303" t="s">
        <v>2093</v>
      </c>
      <c r="AE63" s="2303"/>
      <c r="AF63" s="2303"/>
      <c r="AG63" s="2303"/>
      <c r="AH63" s="2303"/>
    </row>
    <row r="64" spans="1:76" ht="13.2" customHeight="1">
      <c r="C64" s="274"/>
      <c r="D64" s="250" t="s">
        <v>2108</v>
      </c>
      <c r="E64" s="289"/>
      <c r="F64" s="289"/>
      <c r="G64" s="289"/>
      <c r="H64" s="289"/>
      <c r="I64" s="289"/>
      <c r="J64" s="289"/>
      <c r="K64" s="289"/>
      <c r="L64" s="289"/>
      <c r="M64" s="289"/>
      <c r="N64" s="289"/>
      <c r="O64" s="289"/>
      <c r="P64" s="289"/>
      <c r="Q64" s="289"/>
      <c r="R64" s="289"/>
      <c r="S64" s="289"/>
      <c r="T64" s="289"/>
      <c r="U64" s="289"/>
      <c r="V64" s="289"/>
      <c r="W64" s="289"/>
      <c r="X64" s="289"/>
      <c r="Y64" s="2264">
        <f>IF(Application!$Z$205="(select)",0,((T23*T27)+Y28))</f>
        <v>73990303</v>
      </c>
      <c r="Z64" s="2304"/>
      <c r="AA64" s="2304"/>
      <c r="AB64" s="2304"/>
      <c r="AC64" s="2305"/>
      <c r="AD64" s="2264">
        <f>IF(AND(OR(Application!D211="At-Risk",Application!D211="At-Risk and Special Needs"),Application!M358="yes"),AD28+AI28,0)</f>
        <v>0</v>
      </c>
      <c r="AE64" s="2304"/>
      <c r="AF64" s="2304"/>
      <c r="AG64" s="2304"/>
      <c r="AH64" s="2305"/>
    </row>
    <row r="65" spans="1:36" ht="13.2" customHeight="1">
      <c r="C65" s="274"/>
      <c r="E65" s="806" t="s">
        <v>2109</v>
      </c>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row>
    <row r="66" spans="1:36" ht="22.5" customHeight="1">
      <c r="C66" s="274"/>
      <c r="E66" s="806" t="s">
        <v>2110</v>
      </c>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row>
    <row r="67" spans="1:36" ht="13.2" customHeight="1">
      <c r="C67" s="274"/>
      <c r="D67" s="274" t="s">
        <v>2111</v>
      </c>
      <c r="E67" s="290"/>
      <c r="F67" s="290"/>
      <c r="G67" s="290"/>
      <c r="H67" s="290"/>
      <c r="I67" s="290"/>
      <c r="J67" s="290"/>
      <c r="K67" s="290"/>
      <c r="L67" s="290"/>
      <c r="M67" s="290"/>
      <c r="N67" s="290"/>
      <c r="O67" s="290"/>
      <c r="P67" s="290"/>
      <c r="Q67" s="290"/>
      <c r="R67" s="290"/>
      <c r="S67" s="290"/>
      <c r="T67" s="290"/>
      <c r="U67" s="290"/>
      <c r="V67" s="290"/>
      <c r="W67" s="290"/>
      <c r="X67" s="290"/>
      <c r="Y67" s="2317" cm="1">
        <f t="array" ref="Y67">_xlfn.IFS(OR(Application!Z205="State Farmworker Credit",Application!Z205="$500M (Farmworker Housing)"),0.75,Application!Z205="15% set-aside",0.13,Application!Z205="15% set-aside with qualifying low value rehab",0.95,Application!Z205="$500M",0.3,TRUE,0)</f>
        <v>0.3</v>
      </c>
      <c r="Z67" s="2317"/>
      <c r="AA67" s="2317"/>
      <c r="AB67" s="2317"/>
      <c r="AC67" s="2317"/>
      <c r="AD67" s="2317" cm="1">
        <f t="array" ref="AD67">_xlfn.IFS(Application!Z205="15% set-aside with qualifying low value rehab", 0.95,OR(Application!D211="At-Risk",'Points System'!B13="Yes"),0.13,TRUE,0)</f>
        <v>0</v>
      </c>
      <c r="AE67" s="2317"/>
      <c r="AF67" s="2317"/>
      <c r="AG67" s="2317"/>
      <c r="AH67" s="2317"/>
    </row>
    <row r="68" spans="1:36" ht="13.2" customHeight="1">
      <c r="C68" s="274"/>
      <c r="D68" s="114" t="s">
        <v>2112</v>
      </c>
      <c r="Y68" s="2263">
        <f>ROUND(Y64*Y67,0)</f>
        <v>22197091</v>
      </c>
      <c r="Z68" s="2318"/>
      <c r="AA68" s="2318"/>
      <c r="AB68" s="2318"/>
      <c r="AC68" s="2318"/>
      <c r="AD68" s="2263">
        <f>ROUND(AD64*AD67,0)</f>
        <v>0</v>
      </c>
      <c r="AE68" s="2318"/>
      <c r="AF68" s="2318"/>
      <c r="AG68" s="2318"/>
      <c r="AH68" s="2318"/>
    </row>
    <row r="69" spans="1:36" ht="13.2" customHeight="1">
      <c r="C69" s="274"/>
      <c r="D69" s="114" t="s">
        <v>2113</v>
      </c>
      <c r="Y69" s="2263">
        <f>IF(OR(Application!Z205="State Farmworker Credit",Application!Z205="$500M (Farmworker Housing)"),Y68+AD68,MIN(Y68+AD68,200000*(Application!G753+Application!O777)))</f>
        <v>20000000</v>
      </c>
      <c r="Z69" s="2263"/>
      <c r="AA69" s="2263"/>
      <c r="AB69" s="2263"/>
      <c r="AC69" s="2263"/>
      <c r="AD69" s="2263"/>
      <c r="AE69" s="2263"/>
      <c r="AF69" s="2263"/>
      <c r="AG69" s="2263"/>
      <c r="AH69" s="2263"/>
    </row>
    <row r="70" spans="1:36" ht="13.2" customHeight="1">
      <c r="C70" s="274"/>
      <c r="E70" s="274"/>
      <c r="AB70" s="291"/>
      <c r="AC70" s="291"/>
      <c r="AD70" s="291"/>
      <c r="AE70" s="291"/>
      <c r="AF70" s="291"/>
    </row>
    <row r="71" spans="1:36" ht="13.2" customHeight="1">
      <c r="A71" s="274" t="s">
        <v>1020</v>
      </c>
      <c r="C71" s="114" t="s">
        <v>288</v>
      </c>
    </row>
    <row r="72" spans="1:36" ht="13.2" customHeight="1">
      <c r="A72" s="274"/>
      <c r="C72" s="274"/>
      <c r="D72" s="114" t="s">
        <v>731</v>
      </c>
      <c r="AB72" s="2306">
        <v>0.89999998999999997</v>
      </c>
      <c r="AC72" s="2307"/>
      <c r="AD72" s="2307"/>
      <c r="AE72" s="2307"/>
      <c r="AF72" s="2308"/>
    </row>
    <row r="73" spans="1:36" ht="13.2" customHeight="1">
      <c r="A73" s="274"/>
      <c r="C73" s="274"/>
      <c r="D73" s="274"/>
      <c r="E73" s="2319" t="s">
        <v>2114</v>
      </c>
      <c r="F73" s="2319"/>
      <c r="G73" s="2319"/>
      <c r="H73" s="2319"/>
      <c r="I73" s="2319"/>
      <c r="J73" s="2319"/>
      <c r="K73" s="2319"/>
      <c r="L73" s="2319"/>
      <c r="M73" s="2319"/>
      <c r="N73" s="2319"/>
      <c r="O73" s="2319"/>
      <c r="P73" s="2319"/>
      <c r="Q73" s="2319"/>
      <c r="R73" s="2319"/>
      <c r="S73" s="2319"/>
      <c r="T73" s="2319"/>
      <c r="U73" s="2319"/>
      <c r="V73" s="2319"/>
      <c r="W73" s="2319"/>
      <c r="X73" s="2319"/>
      <c r="Y73" s="2319"/>
      <c r="Z73" s="2319"/>
      <c r="AA73" s="2319"/>
      <c r="AB73" s="306"/>
      <c r="AC73" s="306"/>
    </row>
    <row r="74" spans="1:36" ht="13.2" customHeight="1">
      <c r="A74" s="274"/>
      <c r="C74" s="274"/>
      <c r="D74" s="274"/>
      <c r="E74" s="2319"/>
      <c r="F74" s="2319"/>
      <c r="G74" s="2319"/>
      <c r="H74" s="2319"/>
      <c r="I74" s="2319"/>
      <c r="J74" s="2319"/>
      <c r="K74" s="2319"/>
      <c r="L74" s="2319"/>
      <c r="M74" s="2319"/>
      <c r="N74" s="2319"/>
      <c r="O74" s="2319"/>
      <c r="P74" s="2319"/>
      <c r="Q74" s="2319"/>
      <c r="R74" s="2319"/>
      <c r="S74" s="2319"/>
      <c r="T74" s="2319"/>
      <c r="U74" s="2319"/>
      <c r="V74" s="2319"/>
      <c r="W74" s="2319"/>
      <c r="X74" s="2319"/>
      <c r="Y74" s="2319"/>
      <c r="Z74" s="2319"/>
      <c r="AA74" s="2319"/>
      <c r="AB74" s="306"/>
      <c r="AC74" s="306"/>
    </row>
    <row r="75" spans="1:36" ht="13.2" customHeight="1">
      <c r="A75" s="274"/>
      <c r="C75" s="274"/>
      <c r="D75" s="274"/>
      <c r="E75" s="2319"/>
      <c r="F75" s="2319"/>
      <c r="G75" s="2319"/>
      <c r="H75" s="2319"/>
      <c r="I75" s="2319"/>
      <c r="J75" s="2319"/>
      <c r="K75" s="2319"/>
      <c r="L75" s="2319"/>
      <c r="M75" s="2319"/>
      <c r="N75" s="2319"/>
      <c r="O75" s="2319"/>
      <c r="P75" s="2319"/>
      <c r="Q75" s="2319"/>
      <c r="R75" s="2319"/>
      <c r="S75" s="2319"/>
      <c r="T75" s="2319"/>
      <c r="U75" s="2319"/>
      <c r="V75" s="2319"/>
      <c r="W75" s="2319"/>
      <c r="X75" s="2319"/>
      <c r="Y75" s="2319"/>
      <c r="Z75" s="2319"/>
      <c r="AA75" s="2319"/>
      <c r="AB75" s="306"/>
      <c r="AC75" s="306"/>
    </row>
    <row r="76" spans="1:36" ht="13.2" customHeight="1">
      <c r="A76" s="274"/>
      <c r="C76" s="274"/>
      <c r="D76" s="274"/>
      <c r="E76" s="293"/>
      <c r="F76" s="293"/>
      <c r="G76" s="293"/>
      <c r="H76" s="293"/>
      <c r="I76" s="293"/>
      <c r="J76" s="293"/>
      <c r="K76" s="293"/>
      <c r="L76" s="293"/>
      <c r="M76" s="293"/>
      <c r="N76" s="293"/>
      <c r="O76" s="293"/>
      <c r="P76" s="293"/>
      <c r="Q76" s="293"/>
      <c r="R76" s="293"/>
      <c r="S76" s="293"/>
      <c r="T76" s="293"/>
      <c r="U76" s="293"/>
      <c r="V76" s="293"/>
      <c r="W76" s="293"/>
      <c r="X76" s="293"/>
      <c r="Y76" s="293"/>
      <c r="Z76" s="293"/>
      <c r="AA76" s="233"/>
      <c r="AB76" s="233"/>
      <c r="AC76" s="233"/>
    </row>
    <row r="77" spans="1:36" ht="13.2" customHeight="1">
      <c r="C77" s="274"/>
      <c r="D77" s="114" t="s">
        <v>2115</v>
      </c>
      <c r="AB77" s="2312">
        <f>ROUND(IF(ISERROR((AB59/AB72)),0,(AB59/AB72)),0)</f>
        <v>18494735</v>
      </c>
      <c r="AC77" s="2312"/>
      <c r="AD77" s="2312"/>
      <c r="AE77" s="2312"/>
      <c r="AF77" s="2312"/>
    </row>
    <row r="78" spans="1:36" ht="13.2" customHeight="1">
      <c r="C78" s="274"/>
      <c r="D78" s="114" t="s">
        <v>2116</v>
      </c>
      <c r="AB78" s="2313">
        <f>ROUNDUP(MIN(Y69,AB77),0)</f>
        <v>18494735</v>
      </c>
      <c r="AC78" s="2314"/>
      <c r="AD78" s="2314"/>
      <c r="AE78" s="2314"/>
      <c r="AF78" s="2315"/>
    </row>
    <row r="79" spans="1:36" ht="13.2" customHeight="1">
      <c r="C79" s="274"/>
      <c r="D79" s="114" t="s">
        <v>2117</v>
      </c>
      <c r="AB79" s="2316">
        <f>AB78*AB72</f>
        <v>16645261.315052649</v>
      </c>
      <c r="AC79" s="2316"/>
      <c r="AD79" s="2316"/>
      <c r="AE79" s="2316"/>
      <c r="AF79" s="2316"/>
    </row>
    <row r="80" spans="1:36" ht="13.2" customHeight="1">
      <c r="C80" s="274"/>
      <c r="D80" s="274"/>
      <c r="AB80" s="294"/>
      <c r="AC80" s="294"/>
      <c r="AD80" s="294"/>
      <c r="AE80" s="294"/>
      <c r="AF80" s="294"/>
    </row>
    <row r="81" spans="1:78" ht="13.2" customHeight="1">
      <c r="D81" s="274" t="s">
        <v>2105</v>
      </c>
      <c r="AB81" s="2302">
        <f>AB49-(AB57+AB79)</f>
        <v>-0.31505265086889267</v>
      </c>
      <c r="AC81" s="2302"/>
      <c r="AD81" s="2302"/>
      <c r="AE81" s="2302"/>
      <c r="AF81" s="2302"/>
    </row>
    <row r="82" spans="1:78" ht="13.2" customHeight="1">
      <c r="F82" s="372"/>
      <c r="J82" s="372" t="str">
        <f>IF(AB81&gt;0,"FUNDING GAP MUST NOT EXCEED ZERO","")</f>
        <v/>
      </c>
    </row>
    <row r="83" spans="1:78" ht="13.2" customHeight="1">
      <c r="D83" s="373"/>
    </row>
    <row r="84" spans="1:78" ht="13.2" customHeight="1" thickBot="1">
      <c r="A84" s="2267"/>
      <c r="B84" s="2267"/>
      <c r="C84" s="2267"/>
      <c r="D84" s="2267"/>
      <c r="E84" s="2267"/>
      <c r="F84" s="2267"/>
      <c r="G84" s="2267"/>
      <c r="H84" s="2267"/>
      <c r="I84" s="2267"/>
      <c r="J84" s="2267"/>
      <c r="K84" s="2267"/>
      <c r="L84" s="2267"/>
      <c r="M84" s="2267"/>
      <c r="N84" s="2267"/>
      <c r="O84" s="2267"/>
      <c r="P84" s="2267"/>
      <c r="Q84" s="2267"/>
      <c r="R84" s="2267"/>
      <c r="S84" s="2267"/>
      <c r="T84" s="2267"/>
      <c r="U84" s="2267"/>
      <c r="V84" s="2267"/>
      <c r="W84" s="2267"/>
      <c r="X84" s="2267"/>
      <c r="Y84" s="2267"/>
      <c r="Z84" s="2267"/>
      <c r="AA84" s="2267"/>
      <c r="AB84" s="2267"/>
      <c r="AC84" s="2267"/>
      <c r="AD84" s="2267"/>
      <c r="AE84" s="2267"/>
      <c r="AF84" s="2267"/>
      <c r="AG84" s="2267"/>
      <c r="AH84" s="2267"/>
      <c r="AI84" s="2267"/>
      <c r="AJ84" s="2267"/>
      <c r="AK84" s="2267"/>
      <c r="AL84" s="2267"/>
      <c r="AM84" s="2267"/>
      <c r="AN84" s="2267"/>
      <c r="AO84" s="2267"/>
      <c r="AP84" s="2267"/>
      <c r="AQ84" s="2267"/>
      <c r="AR84" s="2267"/>
      <c r="AS84" s="2267"/>
      <c r="AT84" s="2267"/>
      <c r="AU84" s="2267"/>
      <c r="AV84" s="2267"/>
      <c r="AW84" s="2267"/>
      <c r="AX84" s="2267"/>
      <c r="AY84" s="2267"/>
      <c r="AZ84" s="2267"/>
      <c r="BA84" s="2267"/>
      <c r="BB84" s="2267"/>
      <c r="BC84" s="2267"/>
      <c r="BD84" s="2267"/>
      <c r="BE84" s="2267"/>
      <c r="BF84" s="2267"/>
      <c r="BG84" s="2267"/>
      <c r="BH84" s="2267"/>
      <c r="BI84" s="2267"/>
      <c r="BJ84" s="2267"/>
      <c r="BK84" s="2267"/>
      <c r="BL84" s="2267"/>
      <c r="BM84" s="2267"/>
      <c r="BN84" s="2267"/>
      <c r="BO84" s="2267"/>
      <c r="BP84" s="2267"/>
      <c r="BQ84" s="2267"/>
      <c r="BR84" s="2267"/>
      <c r="BS84" s="2267"/>
      <c r="BT84" s="2267"/>
      <c r="BU84" s="2267"/>
      <c r="BV84" s="2267"/>
      <c r="BW84" s="2267"/>
      <c r="BX84" s="2267"/>
    </row>
    <row r="85" spans="1:78" ht="13.2" customHeight="1" thickTop="1"/>
    <row r="86" spans="1:78" ht="13.2" customHeight="1">
      <c r="A86" s="274"/>
      <c r="C86" s="114"/>
    </row>
    <row r="87" spans="1:78" ht="13.2" customHeight="1">
      <c r="D87" s="114"/>
      <c r="AB87" s="2268"/>
      <c r="AC87" s="2268"/>
      <c r="AD87" s="2268"/>
      <c r="AE87" s="2268"/>
      <c r="AF87" s="2268"/>
    </row>
    <row r="88" spans="1:78" ht="13.2" customHeight="1" thickBot="1">
      <c r="D88" s="114"/>
      <c r="AB88" s="2266"/>
      <c r="AC88" s="2266"/>
      <c r="AD88" s="2266"/>
      <c r="AE88" s="2266"/>
      <c r="AF88" s="2266"/>
      <c r="AO88" s="371"/>
      <c r="AP88" s="371"/>
      <c r="AQ88" s="371"/>
      <c r="AR88" s="371"/>
      <c r="AS88" s="371"/>
      <c r="AT88" s="371"/>
      <c r="AU88" s="371"/>
      <c r="AV88" s="371"/>
      <c r="AW88" s="371"/>
      <c r="AX88" s="371"/>
      <c r="AY88" s="371"/>
      <c r="AZ88" s="371"/>
      <c r="BA88" s="371"/>
      <c r="BB88" s="371"/>
      <c r="BC88" s="371"/>
      <c r="BD88" s="371"/>
      <c r="BE88" s="371"/>
      <c r="BF88" s="371"/>
      <c r="BG88" s="371"/>
      <c r="BH88" s="371"/>
      <c r="BI88" s="371"/>
      <c r="BJ88" s="371"/>
      <c r="BK88" s="371"/>
      <c r="BL88" s="371"/>
      <c r="BM88" s="371"/>
      <c r="BN88" s="371"/>
      <c r="BO88" s="371"/>
      <c r="BP88" s="371"/>
      <c r="BQ88" s="371"/>
      <c r="BR88" s="371"/>
      <c r="BS88" s="371"/>
      <c r="BT88" s="371"/>
      <c r="BU88" s="371"/>
      <c r="BV88" s="371"/>
      <c r="BW88" s="371"/>
      <c r="BX88" s="371"/>
      <c r="BY88" s="371"/>
      <c r="BZ88" s="371"/>
    </row>
    <row r="89" spans="1:78" ht="13.2"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24" workbookViewId="0">
      <selection activeCell="J128" sqref="J128"/>
    </sheetView>
  </sheetViews>
  <sheetFormatPr defaultColWidth="0" defaultRowHeight="13.2" zeroHeight="1"/>
  <cols>
    <col min="1" max="1" width="2.6640625" style="11" customWidth="1"/>
    <col min="2" max="3" width="2.33203125" style="11" customWidth="1"/>
    <col min="4" max="5" width="3.33203125" style="11" customWidth="1"/>
    <col min="6" max="6" width="2.6640625" style="11" customWidth="1"/>
    <col min="7" max="14" width="2.33203125" style="11" customWidth="1"/>
    <col min="15" max="15" width="2.6640625" style="11" customWidth="1"/>
    <col min="16" max="16" width="2.33203125" style="11" customWidth="1"/>
    <col min="17" max="17" width="3.6640625" style="11" customWidth="1"/>
    <col min="18" max="18" width="4.6640625" style="11" customWidth="1"/>
    <col min="19" max="19" width="3.33203125" style="11" customWidth="1"/>
    <col min="20" max="26" width="2.33203125" style="11" customWidth="1"/>
    <col min="27" max="30" width="2.6640625" style="11" customWidth="1"/>
    <col min="31" max="32" width="2.33203125" style="11" customWidth="1"/>
    <col min="33" max="33" width="3.33203125" style="11" customWidth="1"/>
    <col min="34" max="36" width="2.33203125" style="11" customWidth="1"/>
    <col min="37" max="37" width="5.6640625" style="11" customWidth="1"/>
    <col min="38" max="38" width="2.33203125" style="11" customWidth="1"/>
    <col min="39" max="39" width="3.33203125" style="11" customWidth="1"/>
    <col min="40" max="40" width="5.6640625" style="383" customWidth="1"/>
    <col min="41" max="41" width="5.6640625" style="23" hidden="1" customWidth="1"/>
    <col min="42" max="45" width="5.6640625" style="11" hidden="1" customWidth="1"/>
    <col min="46" max="46" width="10.6640625" style="11" hidden="1" customWidth="1"/>
    <col min="47" max="48" width="5.6640625" style="11" hidden="1" customWidth="1"/>
    <col min="49" max="49" width="8.6640625" style="11" hidden="1" customWidth="1"/>
    <col min="50" max="50" width="7.33203125" style="11" hidden="1" customWidth="1"/>
    <col min="51" max="55" width="5.6640625" style="11" hidden="1" customWidth="1"/>
    <col min="56" max="60" width="5.6640625" style="25" hidden="1" customWidth="1"/>
    <col min="61" max="81" width="5.6640625" style="11" hidden="1" customWidth="1"/>
    <col min="82" max="16384" width="9.33203125" style="11" hidden="1"/>
  </cols>
  <sheetData>
    <row r="1" spans="1:42" ht="15.75" customHeight="1">
      <c r="A1" s="2550" t="s">
        <v>2118</v>
      </c>
      <c r="B1" s="2550"/>
      <c r="C1" s="2550"/>
      <c r="D1" s="2550"/>
      <c r="E1" s="2550"/>
      <c r="F1" s="2550"/>
      <c r="G1" s="2550"/>
      <c r="H1" s="2550"/>
      <c r="I1" s="2550"/>
      <c r="J1" s="2550"/>
      <c r="K1" s="2550"/>
      <c r="L1" s="2550"/>
      <c r="M1" s="2550"/>
      <c r="N1" s="2550"/>
      <c r="O1" s="2550"/>
      <c r="P1" s="2550"/>
      <c r="Q1" s="2550"/>
      <c r="R1" s="2550"/>
      <c r="S1" s="2550"/>
      <c r="T1" s="2550"/>
      <c r="U1" s="2550"/>
      <c r="V1" s="2550"/>
      <c r="W1" s="2550"/>
      <c r="X1" s="2550"/>
      <c r="Y1" s="2550"/>
      <c r="Z1" s="2550"/>
      <c r="AA1" s="2550"/>
      <c r="AB1" s="2550"/>
      <c r="AC1" s="2550"/>
      <c r="AD1" s="2550"/>
      <c r="AE1" s="2550"/>
      <c r="AF1" s="2550"/>
      <c r="AG1" s="2550"/>
      <c r="AH1" s="2550"/>
      <c r="AI1" s="2550"/>
      <c r="AJ1" s="2550"/>
      <c r="AK1" s="2550"/>
      <c r="AL1" s="2550"/>
      <c r="AM1" s="2550"/>
    </row>
    <row r="2" spans="1:42" s="385" customFormat="1" ht="12.75" customHeight="1" thickBot="1">
      <c r="A2" s="2551"/>
      <c r="B2" s="2551"/>
      <c r="C2" s="2551"/>
      <c r="D2" s="2551"/>
      <c r="E2" s="2551"/>
      <c r="F2" s="2551"/>
      <c r="G2" s="2551"/>
      <c r="H2" s="2551"/>
      <c r="I2" s="2551"/>
      <c r="J2" s="2551"/>
      <c r="K2" s="2551"/>
      <c r="L2" s="2551"/>
      <c r="M2" s="2551"/>
      <c r="N2" s="2551"/>
      <c r="O2" s="2551"/>
      <c r="P2" s="2551"/>
      <c r="Q2" s="2551"/>
      <c r="R2" s="2551"/>
      <c r="S2" s="2551"/>
      <c r="T2" s="2551"/>
      <c r="U2" s="2551"/>
      <c r="V2" s="2551"/>
      <c r="W2" s="2551"/>
      <c r="X2" s="2551"/>
      <c r="Y2" s="2551"/>
      <c r="Z2" s="2551"/>
      <c r="AA2" s="2551"/>
      <c r="AB2" s="2551"/>
      <c r="AC2" s="2551"/>
      <c r="AD2" s="2551"/>
      <c r="AE2" s="2551"/>
      <c r="AF2" s="2551"/>
      <c r="AG2" s="2551"/>
      <c r="AH2" s="2551"/>
      <c r="AI2" s="2551"/>
      <c r="AJ2" s="2551"/>
      <c r="AK2" s="2551"/>
      <c r="AL2" s="2551"/>
      <c r="AM2" s="2551"/>
      <c r="AN2" s="384"/>
    </row>
    <row r="3" spans="1:42" s="385" customFormat="1" ht="12.75" customHeight="1" thickTop="1">
      <c r="A3" s="386"/>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4"/>
    </row>
    <row r="4" spans="1:42" s="385" customFormat="1" ht="12.75" customHeight="1">
      <c r="A4" s="387" t="s">
        <v>2119</v>
      </c>
      <c r="B4" s="388" t="s">
        <v>2120</v>
      </c>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4"/>
    </row>
    <row r="5" spans="1:42" s="385" customFormat="1" ht="12.75" customHeight="1" thickBot="1">
      <c r="A5" s="387"/>
      <c r="B5" s="388"/>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4"/>
    </row>
    <row r="6" spans="1:42" s="385" customFormat="1" ht="12.75" customHeight="1" thickTop="1">
      <c r="A6" s="390"/>
      <c r="B6" s="390"/>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1"/>
      <c r="AN6" s="384"/>
    </row>
    <row r="7" spans="1:42" s="385" customFormat="1" ht="12.75" customHeight="1">
      <c r="A7" s="387" t="s">
        <v>2121</v>
      </c>
      <c r="B7" s="388" t="s">
        <v>2122</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2391" t="s">
        <v>2123</v>
      </c>
      <c r="AF7" s="2391"/>
      <c r="AG7" s="2391"/>
      <c r="AH7" s="2391"/>
      <c r="AI7" s="2391"/>
      <c r="AJ7" s="2391"/>
      <c r="AK7" s="2391"/>
      <c r="AL7" s="389"/>
      <c r="AM7" s="389"/>
      <c r="AN7" s="384"/>
    </row>
    <row r="8" spans="1:42" s="385" customFormat="1" ht="12.75" customHeight="1">
      <c r="A8" s="387"/>
      <c r="B8" s="388" t="s">
        <v>2124</v>
      </c>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1200"/>
      <c r="AF8" s="1200"/>
      <c r="AG8" s="1200"/>
      <c r="AH8" s="1200"/>
      <c r="AI8" s="1200"/>
      <c r="AJ8" s="1200"/>
      <c r="AK8" s="1200"/>
      <c r="AL8" s="389"/>
      <c r="AM8" s="389"/>
      <c r="AN8" s="384"/>
    </row>
    <row r="9" spans="1:42" s="385" customFormat="1" ht="12.75" customHeight="1">
      <c r="A9" s="387"/>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1200"/>
      <c r="AF9" s="1200"/>
      <c r="AG9" s="1200"/>
      <c r="AH9" s="1200"/>
      <c r="AI9" s="1200"/>
      <c r="AJ9" s="1200"/>
      <c r="AK9" s="1200"/>
      <c r="AL9" s="389"/>
      <c r="AM9" s="389"/>
      <c r="AN9" s="384"/>
    </row>
    <row r="10" spans="1:42" s="385" customFormat="1" ht="12.75" customHeight="1">
      <c r="A10" s="387"/>
      <c r="B10" s="388" t="s">
        <v>2125</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1200"/>
      <c r="AF10" s="1200"/>
      <c r="AG10" s="1200"/>
      <c r="AH10" s="1200"/>
      <c r="AI10" s="1200"/>
      <c r="AJ10" s="1200"/>
      <c r="AK10" s="1200"/>
      <c r="AL10" s="389"/>
      <c r="AM10" s="389"/>
      <c r="AN10" s="384"/>
    </row>
    <row r="11" spans="1:42" s="385" customFormat="1" ht="12.75" customHeight="1">
      <c r="A11" s="389"/>
      <c r="C11" s="923" t="s">
        <v>2126</v>
      </c>
      <c r="D11" s="923"/>
      <c r="E11" s="923"/>
      <c r="F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c r="AF11" s="923"/>
      <c r="AG11" s="923"/>
      <c r="AH11" s="923"/>
      <c r="AI11" s="923"/>
      <c r="AJ11" s="923"/>
      <c r="AK11" s="389"/>
      <c r="AL11" s="389"/>
      <c r="AM11" s="389"/>
      <c r="AN11" s="384"/>
      <c r="AO11" s="1130"/>
      <c r="AP11" s="393"/>
    </row>
    <row r="12" spans="1:42" s="385" customFormat="1" ht="12.75" customHeight="1">
      <c r="A12" s="389"/>
      <c r="B12" s="394"/>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4"/>
      <c r="AP12" s="11"/>
    </row>
    <row r="13" spans="1:42" s="385" customFormat="1" ht="12.75" customHeight="1">
      <c r="A13" s="389"/>
      <c r="B13" s="2544" t="s">
        <v>810</v>
      </c>
      <c r="C13" s="2544"/>
      <c r="D13" s="395"/>
      <c r="E13" s="396" t="s">
        <v>2127</v>
      </c>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2552"/>
      <c r="AH13" s="2552"/>
      <c r="AI13" s="2552"/>
      <c r="AJ13" s="2553"/>
      <c r="AK13" s="389"/>
      <c r="AL13" s="389"/>
      <c r="AM13" s="389"/>
      <c r="AN13" s="384"/>
      <c r="AO13" s="398">
        <f>IF($B13="yes",20,0)</f>
        <v>0</v>
      </c>
      <c r="AP13" s="11"/>
    </row>
    <row r="14" spans="1:42" s="385" customFormat="1" ht="12.75" customHeight="1">
      <c r="A14" s="389"/>
      <c r="B14" s="389"/>
      <c r="C14" s="389"/>
      <c r="D14" s="11"/>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4"/>
      <c r="AO14" s="398">
        <f>IF(AND($B16="yes",E20&gt;0),20,0)</f>
        <v>0</v>
      </c>
      <c r="AP14" s="11"/>
    </row>
    <row r="15" spans="1:42" s="385" customFormat="1" ht="12.75" customHeight="1">
      <c r="A15" s="389"/>
      <c r="B15" s="389"/>
      <c r="C15" s="389"/>
      <c r="D15" s="398"/>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4"/>
      <c r="AO15" s="398">
        <f>IF($B22="yes",20,0)</f>
        <v>0</v>
      </c>
      <c r="AP15" s="11"/>
    </row>
    <row r="16" spans="1:42" s="385" customFormat="1" ht="12.75" customHeight="1">
      <c r="A16" s="389"/>
      <c r="B16" s="2544" t="s">
        <v>810</v>
      </c>
      <c r="C16" s="2544"/>
      <c r="D16" s="395"/>
      <c r="E16" s="2536" t="s">
        <v>2128</v>
      </c>
      <c r="F16" s="2537"/>
      <c r="G16" s="2537"/>
      <c r="H16" s="2537"/>
      <c r="I16" s="2537"/>
      <c r="J16" s="2537"/>
      <c r="K16" s="2537"/>
      <c r="L16" s="2537"/>
      <c r="M16" s="2537"/>
      <c r="N16" s="2537"/>
      <c r="O16" s="2537"/>
      <c r="P16" s="2537"/>
      <c r="Q16" s="2537"/>
      <c r="R16" s="2537"/>
      <c r="S16" s="2537"/>
      <c r="T16" s="2537"/>
      <c r="U16" s="2537"/>
      <c r="V16" s="2537"/>
      <c r="W16" s="2537"/>
      <c r="X16" s="2537"/>
      <c r="Y16" s="2537"/>
      <c r="Z16" s="2537"/>
      <c r="AA16" s="2537"/>
      <c r="AB16" s="2537"/>
      <c r="AC16" s="2537"/>
      <c r="AD16" s="2537"/>
      <c r="AE16" s="2537"/>
      <c r="AF16" s="2537"/>
      <c r="AG16" s="2537"/>
      <c r="AH16" s="2537"/>
      <c r="AI16" s="2537"/>
      <c r="AJ16" s="2538"/>
      <c r="AK16" s="389"/>
      <c r="AL16" s="389"/>
      <c r="AM16" s="389"/>
      <c r="AN16" s="384"/>
      <c r="AO16" s="398">
        <f>IF($B25="yes",20,0)</f>
        <v>0</v>
      </c>
      <c r="AP16" s="11"/>
    </row>
    <row r="17" spans="1:42" s="385" customFormat="1" ht="12.75" customHeight="1">
      <c r="A17" s="389"/>
      <c r="B17" s="389"/>
      <c r="C17" s="389"/>
      <c r="D17" s="399"/>
      <c r="E17" s="2539"/>
      <c r="F17" s="2540"/>
      <c r="G17" s="2540"/>
      <c r="H17" s="2540"/>
      <c r="I17" s="2540"/>
      <c r="J17" s="2540"/>
      <c r="K17" s="2540"/>
      <c r="L17" s="2540"/>
      <c r="M17" s="2540"/>
      <c r="N17" s="2540"/>
      <c r="O17" s="2540"/>
      <c r="P17" s="2540"/>
      <c r="Q17" s="2540"/>
      <c r="R17" s="2540"/>
      <c r="S17" s="2540"/>
      <c r="T17" s="2540"/>
      <c r="U17" s="2540"/>
      <c r="V17" s="2540"/>
      <c r="W17" s="2540"/>
      <c r="X17" s="2540"/>
      <c r="Y17" s="2540"/>
      <c r="Z17" s="2540"/>
      <c r="AA17" s="2540"/>
      <c r="AB17" s="2540"/>
      <c r="AC17" s="2540"/>
      <c r="AD17" s="2540"/>
      <c r="AE17" s="2540"/>
      <c r="AF17" s="2540"/>
      <c r="AG17" s="2540"/>
      <c r="AH17" s="2540"/>
      <c r="AI17" s="2540"/>
      <c r="AJ17" s="2541"/>
      <c r="AK17" s="389"/>
      <c r="AL17" s="389"/>
      <c r="AM17" s="389"/>
      <c r="AN17" s="384"/>
      <c r="AO17" s="398">
        <f>IF($B28="yes",20,0)</f>
        <v>0</v>
      </c>
    </row>
    <row r="18" spans="1:42" s="385" customFormat="1" ht="12.75" customHeight="1">
      <c r="A18" s="389"/>
      <c r="B18" s="389"/>
      <c r="C18" s="389"/>
      <c r="D18" s="399"/>
      <c r="E18" s="2539"/>
      <c r="F18" s="2540"/>
      <c r="G18" s="2540"/>
      <c r="H18" s="2540"/>
      <c r="I18" s="2540"/>
      <c r="J18" s="2540"/>
      <c r="K18" s="2540"/>
      <c r="L18" s="2540"/>
      <c r="M18" s="2540"/>
      <c r="N18" s="2540"/>
      <c r="O18" s="2540"/>
      <c r="P18" s="2540"/>
      <c r="Q18" s="2540"/>
      <c r="R18" s="2540"/>
      <c r="S18" s="2540"/>
      <c r="T18" s="2540"/>
      <c r="U18" s="2540"/>
      <c r="V18" s="2540"/>
      <c r="W18" s="2540"/>
      <c r="X18" s="2540"/>
      <c r="Y18" s="2540"/>
      <c r="Z18" s="2540"/>
      <c r="AA18" s="2540"/>
      <c r="AB18" s="2540"/>
      <c r="AC18" s="2540"/>
      <c r="AD18" s="2540"/>
      <c r="AE18" s="2540"/>
      <c r="AF18" s="2540"/>
      <c r="AG18" s="2540"/>
      <c r="AH18" s="2540"/>
      <c r="AI18" s="2540"/>
      <c r="AJ18" s="2541"/>
      <c r="AK18" s="389"/>
      <c r="AL18" s="389"/>
      <c r="AM18" s="389"/>
      <c r="AN18" s="384"/>
      <c r="AO18" s="385">
        <f>IF(SUM(AO13:AO16)&gt;20,20,(SUM(AO13:AO16)))</f>
        <v>0</v>
      </c>
      <c r="AP18" s="385" t="s">
        <v>2129</v>
      </c>
    </row>
    <row r="19" spans="1:42" s="385" customFormat="1" ht="12.75" customHeight="1">
      <c r="A19" s="389"/>
      <c r="B19" s="389"/>
      <c r="C19" s="389"/>
      <c r="D19" s="399"/>
      <c r="E19" s="400" t="s">
        <v>2130</v>
      </c>
      <c r="F19" s="1219"/>
      <c r="G19" s="1219"/>
      <c r="H19" s="1219"/>
      <c r="I19" s="1219"/>
      <c r="J19" s="1219"/>
      <c r="K19" s="1219"/>
      <c r="L19" s="1219"/>
      <c r="M19" s="1219"/>
      <c r="N19" s="1219"/>
      <c r="O19" s="1219"/>
      <c r="P19" s="1219"/>
      <c r="Q19" s="1219"/>
      <c r="R19" s="1219"/>
      <c r="S19" s="1219"/>
      <c r="T19" s="1219"/>
      <c r="U19" s="1219"/>
      <c r="V19" s="1219"/>
      <c r="W19" s="1219"/>
      <c r="X19" s="1219"/>
      <c r="Y19" s="1219"/>
      <c r="Z19" s="1219"/>
      <c r="AA19" s="1219"/>
      <c r="AB19" s="1219"/>
      <c r="AC19" s="1219"/>
      <c r="AD19" s="1219"/>
      <c r="AE19" s="1219"/>
      <c r="AF19" s="1219"/>
      <c r="AG19" s="1219"/>
      <c r="AH19" s="1219"/>
      <c r="AI19" s="1219"/>
      <c r="AJ19" s="1220"/>
      <c r="AK19" s="389"/>
      <c r="AL19" s="389"/>
      <c r="AM19" s="389"/>
      <c r="AN19" s="384"/>
    </row>
    <row r="20" spans="1:42" s="385" customFormat="1" ht="12.75" customHeight="1">
      <c r="A20" s="389"/>
      <c r="B20" s="389"/>
      <c r="C20" s="389"/>
      <c r="D20" s="399"/>
      <c r="E20" s="2560"/>
      <c r="F20" s="2561"/>
      <c r="G20" s="2561"/>
      <c r="H20" s="2561"/>
      <c r="I20" s="2561"/>
      <c r="J20" s="2561"/>
      <c r="K20" s="2561"/>
      <c r="L20" s="2561"/>
      <c r="M20" s="2561"/>
      <c r="N20" s="2561"/>
      <c r="O20" s="2561"/>
      <c r="P20" s="2561"/>
      <c r="Q20" s="2561"/>
      <c r="R20" s="2561"/>
      <c r="S20" s="2561"/>
      <c r="T20" s="2561"/>
      <c r="U20" s="2561"/>
      <c r="V20" s="2561"/>
      <c r="W20" s="2561"/>
      <c r="X20" s="2561"/>
      <c r="Y20" s="2561"/>
      <c r="Z20" s="2561"/>
      <c r="AA20" s="2561"/>
      <c r="AB20" s="2561"/>
      <c r="AC20" s="2561"/>
      <c r="AD20" s="2561"/>
      <c r="AE20" s="2561"/>
      <c r="AF20" s="2561"/>
      <c r="AG20" s="2561"/>
      <c r="AH20" s="2561"/>
      <c r="AI20" s="2561"/>
      <c r="AJ20" s="2562"/>
      <c r="AK20" s="389"/>
      <c r="AL20" s="389"/>
      <c r="AM20" s="389"/>
      <c r="AN20" s="384"/>
      <c r="AO20" s="398">
        <f>IF($B33="yes",14,0)</f>
        <v>0</v>
      </c>
    </row>
    <row r="21" spans="1:42" s="385" customFormat="1" ht="12.75" customHeight="1">
      <c r="A21" s="389"/>
      <c r="B21" s="389"/>
      <c r="C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4"/>
      <c r="AO21" s="398">
        <f>IF($B36="yes",14,0)</f>
        <v>0</v>
      </c>
      <c r="AP21" s="11"/>
    </row>
    <row r="22" spans="1:42" s="385" customFormat="1" ht="12.75" customHeight="1">
      <c r="A22" s="389"/>
      <c r="B22" s="2544" t="s">
        <v>810</v>
      </c>
      <c r="C22" s="2544"/>
      <c r="D22" s="395"/>
      <c r="E22" s="2554" t="s">
        <v>2131</v>
      </c>
      <c r="F22" s="2555"/>
      <c r="G22" s="2555"/>
      <c r="H22" s="2555"/>
      <c r="I22" s="2555"/>
      <c r="J22" s="2555"/>
      <c r="K22" s="2555"/>
      <c r="L22" s="2555"/>
      <c r="M22" s="2555"/>
      <c r="N22" s="2555"/>
      <c r="O22" s="2555"/>
      <c r="P22" s="2555"/>
      <c r="Q22" s="2555"/>
      <c r="R22" s="2555"/>
      <c r="S22" s="2555"/>
      <c r="T22" s="2555"/>
      <c r="U22" s="2555"/>
      <c r="V22" s="2555"/>
      <c r="W22" s="2555"/>
      <c r="X22" s="2555"/>
      <c r="Y22" s="2555"/>
      <c r="Z22" s="2555"/>
      <c r="AA22" s="2555"/>
      <c r="AB22" s="2555"/>
      <c r="AC22" s="2555"/>
      <c r="AD22" s="2555"/>
      <c r="AE22" s="2555"/>
      <c r="AF22" s="2555"/>
      <c r="AG22" s="2555"/>
      <c r="AH22" s="2555"/>
      <c r="AI22" s="2555"/>
      <c r="AJ22" s="2556"/>
      <c r="AK22" s="389"/>
      <c r="AL22" s="389"/>
      <c r="AM22" s="389"/>
      <c r="AN22" s="384"/>
      <c r="AO22" s="398">
        <f>IF($B40="yes",14,0)</f>
        <v>0</v>
      </c>
    </row>
    <row r="23" spans="1:42" s="385" customFormat="1" ht="12.75" customHeight="1">
      <c r="A23" s="389"/>
      <c r="B23" s="389"/>
      <c r="C23" s="389"/>
      <c r="D23" s="398"/>
      <c r="E23" s="2557"/>
      <c r="F23" s="2558"/>
      <c r="G23" s="2558"/>
      <c r="H23" s="2558"/>
      <c r="I23" s="2558"/>
      <c r="J23" s="2558"/>
      <c r="K23" s="2558"/>
      <c r="L23" s="2558"/>
      <c r="M23" s="2558"/>
      <c r="N23" s="2558"/>
      <c r="O23" s="2558"/>
      <c r="P23" s="2558"/>
      <c r="Q23" s="2558"/>
      <c r="R23" s="2558"/>
      <c r="S23" s="2558"/>
      <c r="T23" s="2558"/>
      <c r="U23" s="2558"/>
      <c r="V23" s="2558"/>
      <c r="W23" s="2558"/>
      <c r="X23" s="2558"/>
      <c r="Y23" s="2558"/>
      <c r="Z23" s="2558"/>
      <c r="AA23" s="2558"/>
      <c r="AB23" s="2558"/>
      <c r="AC23" s="2558"/>
      <c r="AD23" s="2558"/>
      <c r="AE23" s="2558"/>
      <c r="AF23" s="2558"/>
      <c r="AG23" s="2558"/>
      <c r="AH23" s="2558"/>
      <c r="AI23" s="2558"/>
      <c r="AJ23" s="2559"/>
      <c r="AK23" s="389"/>
      <c r="AL23" s="389"/>
      <c r="AM23" s="389"/>
      <c r="AN23" s="384"/>
      <c r="AO23" s="385">
        <f>IF(SUM(AO20:AO21)&gt;14,14,SUM(AO20:AO21))</f>
        <v>0</v>
      </c>
      <c r="AP23" s="385" t="s">
        <v>2129</v>
      </c>
    </row>
    <row r="24" spans="1:42" s="385" customFormat="1" ht="12.75" customHeight="1">
      <c r="A24" s="389"/>
      <c r="B24" s="389"/>
      <c r="C24" s="389"/>
      <c r="D24" s="39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4"/>
    </row>
    <row r="25" spans="1:42" s="385" customFormat="1" ht="12.75" customHeight="1">
      <c r="A25" s="389"/>
      <c r="B25" s="2544" t="s">
        <v>810</v>
      </c>
      <c r="C25" s="2544"/>
      <c r="D25" s="395"/>
      <c r="E25" s="2471" t="s">
        <v>2132</v>
      </c>
      <c r="F25" s="2472"/>
      <c r="G25" s="2472"/>
      <c r="H25" s="2472"/>
      <c r="I25" s="2472"/>
      <c r="J25" s="2472"/>
      <c r="K25" s="2472"/>
      <c r="L25" s="2472"/>
      <c r="M25" s="2472"/>
      <c r="N25" s="2472"/>
      <c r="O25" s="2472"/>
      <c r="P25" s="2472"/>
      <c r="Q25" s="2472"/>
      <c r="R25" s="2472"/>
      <c r="S25" s="2472"/>
      <c r="T25" s="2472"/>
      <c r="U25" s="2472"/>
      <c r="V25" s="2472"/>
      <c r="W25" s="2472"/>
      <c r="X25" s="2472"/>
      <c r="Y25" s="2472"/>
      <c r="Z25" s="2472"/>
      <c r="AA25" s="2472"/>
      <c r="AB25" s="2472"/>
      <c r="AC25" s="2472"/>
      <c r="AD25" s="2472"/>
      <c r="AE25" s="2472"/>
      <c r="AF25" s="2472"/>
      <c r="AG25" s="2472"/>
      <c r="AH25" s="2472"/>
      <c r="AI25" s="2472"/>
      <c r="AJ25" s="2473"/>
      <c r="AK25" s="389"/>
      <c r="AL25" s="389"/>
      <c r="AM25" s="389"/>
      <c r="AN25" s="384"/>
      <c r="AO25" s="398">
        <f>IF($B45="yes",6,0)</f>
        <v>0</v>
      </c>
    </row>
    <row r="26" spans="1:42" s="385" customFormat="1" ht="12.75" customHeight="1">
      <c r="A26" s="389"/>
      <c r="B26" s="389"/>
      <c r="C26" s="389"/>
      <c r="D26" s="398"/>
      <c r="E26" s="2496"/>
      <c r="F26" s="2497"/>
      <c r="G26" s="2497"/>
      <c r="H26" s="2497"/>
      <c r="I26" s="2497"/>
      <c r="J26" s="2497"/>
      <c r="K26" s="2497"/>
      <c r="L26" s="2497"/>
      <c r="M26" s="2497"/>
      <c r="N26" s="2497"/>
      <c r="O26" s="2497"/>
      <c r="P26" s="2497"/>
      <c r="Q26" s="2497"/>
      <c r="R26" s="2497"/>
      <c r="S26" s="2497"/>
      <c r="T26" s="2497"/>
      <c r="U26" s="2497"/>
      <c r="V26" s="2497"/>
      <c r="W26" s="2497"/>
      <c r="X26" s="2497"/>
      <c r="Y26" s="2497"/>
      <c r="Z26" s="2497"/>
      <c r="AA26" s="2497"/>
      <c r="AB26" s="2497"/>
      <c r="AC26" s="2497"/>
      <c r="AD26" s="2497"/>
      <c r="AE26" s="2497"/>
      <c r="AF26" s="2497"/>
      <c r="AG26" s="2497"/>
      <c r="AH26" s="2497"/>
      <c r="AI26" s="2497"/>
      <c r="AJ26" s="2498"/>
      <c r="AK26" s="389"/>
      <c r="AL26" s="389"/>
      <c r="AM26" s="389"/>
      <c r="AN26" s="384"/>
      <c r="AO26" s="385">
        <f>IF(AO25&gt;6,6,AO25)</f>
        <v>0</v>
      </c>
      <c r="AP26" s="385" t="s">
        <v>2129</v>
      </c>
    </row>
    <row r="27" spans="1:42" s="385" customFormat="1" ht="12.75" customHeight="1">
      <c r="A27" s="389"/>
      <c r="B27" s="389"/>
      <c r="C27" s="389"/>
      <c r="D27" s="398"/>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4"/>
      <c r="AO27" s="398"/>
    </row>
    <row r="28" spans="1:42" s="385" customFormat="1" ht="12.75" customHeight="1">
      <c r="A28" s="389"/>
      <c r="B28" s="2544" t="s">
        <v>810</v>
      </c>
      <c r="C28" s="2544"/>
      <c r="D28" s="395"/>
      <c r="E28" s="2573" t="s">
        <v>2133</v>
      </c>
      <c r="F28" s="2574"/>
      <c r="G28" s="2574"/>
      <c r="H28" s="2574"/>
      <c r="I28" s="2574"/>
      <c r="J28" s="2574"/>
      <c r="K28" s="2574"/>
      <c r="L28" s="2574"/>
      <c r="M28" s="2574"/>
      <c r="N28" s="2574"/>
      <c r="O28" s="2574"/>
      <c r="P28" s="2574"/>
      <c r="Q28" s="2574"/>
      <c r="R28" s="2574"/>
      <c r="S28" s="2574"/>
      <c r="T28" s="2574"/>
      <c r="U28" s="2574"/>
      <c r="V28" s="2574"/>
      <c r="W28" s="2574"/>
      <c r="X28" s="2574"/>
      <c r="Y28" s="2574"/>
      <c r="Z28" s="2574"/>
      <c r="AA28" s="2574"/>
      <c r="AB28" s="2574"/>
      <c r="AC28" s="2574"/>
      <c r="AD28" s="2574"/>
      <c r="AE28" s="2574"/>
      <c r="AF28" s="2574"/>
      <c r="AG28" s="2574"/>
      <c r="AH28" s="2574"/>
      <c r="AI28" s="2574"/>
      <c r="AJ28" s="2575"/>
      <c r="AK28" s="389"/>
      <c r="AL28" s="389"/>
      <c r="AM28" s="389"/>
      <c r="AN28" s="384"/>
      <c r="AO28" s="398"/>
    </row>
    <row r="29" spans="1:42" s="385" customFormat="1" ht="12.75" customHeight="1">
      <c r="A29" s="389"/>
      <c r="B29" s="389"/>
      <c r="C29" s="389"/>
      <c r="D29" s="398"/>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4"/>
      <c r="AO29" s="398"/>
    </row>
    <row r="30" spans="1:42" s="385" customFormat="1" ht="12.75" customHeight="1">
      <c r="A30" s="389"/>
      <c r="B30" s="389"/>
      <c r="C30" s="389"/>
      <c r="D30" s="398"/>
      <c r="E30" s="389"/>
      <c r="F30" s="389"/>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4"/>
      <c r="AO30" s="398"/>
    </row>
    <row r="31" spans="1:42" s="385" customFormat="1" ht="12.75" customHeight="1">
      <c r="A31" s="389"/>
      <c r="C31" s="392" t="s">
        <v>2134</v>
      </c>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4"/>
      <c r="AO31" s="398">
        <f>IF(AND(B52="Yes",B56="Yes",B58="Yes"),20,0)</f>
        <v>0</v>
      </c>
    </row>
    <row r="32" spans="1:42" s="385" customFormat="1" ht="12.75" customHeight="1">
      <c r="A32" s="389"/>
      <c r="B32" s="389"/>
      <c r="C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4"/>
      <c r="AO32" s="385">
        <f>IF(AO31&gt;20,20,AO31)</f>
        <v>0</v>
      </c>
      <c r="AP32" s="385" t="s">
        <v>2129</v>
      </c>
    </row>
    <row r="33" spans="1:41" s="385" customFormat="1" ht="12.75" customHeight="1">
      <c r="A33" s="389"/>
      <c r="B33" s="2544" t="s">
        <v>810</v>
      </c>
      <c r="C33" s="2544"/>
      <c r="D33" s="395"/>
      <c r="E33" s="2554" t="s">
        <v>2135</v>
      </c>
      <c r="F33" s="2555"/>
      <c r="G33" s="2555"/>
      <c r="H33" s="2555"/>
      <c r="I33" s="2555"/>
      <c r="J33" s="2555"/>
      <c r="K33" s="2555"/>
      <c r="L33" s="2555"/>
      <c r="M33" s="2555"/>
      <c r="N33" s="2555"/>
      <c r="O33" s="2555"/>
      <c r="P33" s="2555"/>
      <c r="Q33" s="2555"/>
      <c r="R33" s="2555"/>
      <c r="S33" s="2555"/>
      <c r="T33" s="2555"/>
      <c r="U33" s="2555"/>
      <c r="V33" s="2555"/>
      <c r="W33" s="2555"/>
      <c r="X33" s="2555"/>
      <c r="Y33" s="2555"/>
      <c r="Z33" s="2555"/>
      <c r="AA33" s="2555"/>
      <c r="AB33" s="2555"/>
      <c r="AC33" s="2555"/>
      <c r="AD33" s="2555"/>
      <c r="AE33" s="2555"/>
      <c r="AF33" s="2555"/>
      <c r="AG33" s="2555"/>
      <c r="AH33" s="2555"/>
      <c r="AI33" s="2555"/>
      <c r="AJ33" s="2556"/>
      <c r="AK33" s="389"/>
      <c r="AL33" s="389"/>
      <c r="AM33" s="389"/>
      <c r="AN33" s="384"/>
      <c r="AO33" s="398"/>
    </row>
    <row r="34" spans="1:41" s="385" customFormat="1" ht="12.75" customHeight="1">
      <c r="A34" s="389"/>
      <c r="B34" s="389"/>
      <c r="C34" s="389"/>
      <c r="E34" s="2557"/>
      <c r="F34" s="2558"/>
      <c r="G34" s="2558"/>
      <c r="H34" s="2558"/>
      <c r="I34" s="2558"/>
      <c r="J34" s="2558"/>
      <c r="K34" s="2558"/>
      <c r="L34" s="2558"/>
      <c r="M34" s="2558"/>
      <c r="N34" s="2558"/>
      <c r="O34" s="2558"/>
      <c r="P34" s="2558"/>
      <c r="Q34" s="2558"/>
      <c r="R34" s="2558"/>
      <c r="S34" s="2558"/>
      <c r="T34" s="2558"/>
      <c r="U34" s="2558"/>
      <c r="V34" s="2558"/>
      <c r="W34" s="2558"/>
      <c r="X34" s="2558"/>
      <c r="Y34" s="2558"/>
      <c r="Z34" s="2558"/>
      <c r="AA34" s="2558"/>
      <c r="AB34" s="2558"/>
      <c r="AC34" s="2558"/>
      <c r="AD34" s="2558"/>
      <c r="AE34" s="2558"/>
      <c r="AF34" s="2558"/>
      <c r="AG34" s="2558"/>
      <c r="AH34" s="2558"/>
      <c r="AI34" s="2558"/>
      <c r="AJ34" s="2559"/>
      <c r="AK34" s="389"/>
      <c r="AL34" s="389"/>
      <c r="AM34" s="389"/>
      <c r="AN34" s="384"/>
    </row>
    <row r="35" spans="1:41" s="385" customFormat="1" ht="12.75" customHeight="1">
      <c r="A35" s="389"/>
      <c r="B35" s="389"/>
      <c r="C35" s="389"/>
      <c r="F35" s="1221"/>
      <c r="G35" s="1221"/>
      <c r="H35" s="1221"/>
      <c r="I35" s="1221"/>
      <c r="J35" s="1221"/>
      <c r="K35" s="1221"/>
      <c r="L35" s="1221"/>
      <c r="M35" s="1221"/>
      <c r="N35" s="1221"/>
      <c r="O35" s="1221"/>
      <c r="P35" s="1221"/>
      <c r="Q35" s="1221"/>
      <c r="R35" s="1221"/>
      <c r="S35" s="1221"/>
      <c r="T35" s="1221"/>
      <c r="U35" s="1221"/>
      <c r="V35" s="1221"/>
      <c r="W35" s="1221"/>
      <c r="X35" s="1221"/>
      <c r="Y35" s="1221"/>
      <c r="Z35" s="1221"/>
      <c r="AA35" s="1221"/>
      <c r="AB35" s="1221"/>
      <c r="AC35" s="1221"/>
      <c r="AD35" s="1221"/>
      <c r="AE35" s="1221"/>
      <c r="AF35" s="1221"/>
      <c r="AG35" s="1221"/>
      <c r="AH35" s="1221"/>
      <c r="AI35" s="1221"/>
      <c r="AJ35" s="1221"/>
      <c r="AK35" s="389"/>
      <c r="AL35" s="389"/>
      <c r="AM35" s="389"/>
      <c r="AN35" s="384"/>
    </row>
    <row r="36" spans="1:41" s="385" customFormat="1" ht="12.75" customHeight="1">
      <c r="A36" s="389"/>
      <c r="B36" s="2544" t="s">
        <v>810</v>
      </c>
      <c r="C36" s="2544"/>
      <c r="D36" s="395"/>
      <c r="E36" s="2471" t="s">
        <v>2136</v>
      </c>
      <c r="F36" s="2472"/>
      <c r="G36" s="2472"/>
      <c r="H36" s="2472"/>
      <c r="I36" s="2472"/>
      <c r="J36" s="2472"/>
      <c r="K36" s="2472"/>
      <c r="L36" s="2472"/>
      <c r="M36" s="2472"/>
      <c r="N36" s="2472"/>
      <c r="O36" s="2472"/>
      <c r="P36" s="2472"/>
      <c r="Q36" s="2472"/>
      <c r="R36" s="2472"/>
      <c r="S36" s="2472"/>
      <c r="T36" s="2472"/>
      <c r="U36" s="2472"/>
      <c r="V36" s="2472"/>
      <c r="W36" s="2472"/>
      <c r="X36" s="2472"/>
      <c r="Y36" s="2472"/>
      <c r="Z36" s="2472"/>
      <c r="AA36" s="2472"/>
      <c r="AB36" s="2472"/>
      <c r="AC36" s="2472"/>
      <c r="AD36" s="2472"/>
      <c r="AE36" s="2472"/>
      <c r="AF36" s="2472"/>
      <c r="AG36" s="2472"/>
      <c r="AH36" s="2472"/>
      <c r="AI36" s="2472"/>
      <c r="AJ36" s="2473"/>
      <c r="AK36" s="389"/>
      <c r="AL36" s="389"/>
      <c r="AM36" s="389"/>
      <c r="AN36" s="384"/>
    </row>
    <row r="37" spans="1:41" s="385" customFormat="1" ht="12.75" customHeight="1">
      <c r="A37" s="389"/>
      <c r="B37" s="389"/>
      <c r="C37" s="389"/>
      <c r="E37" s="2474"/>
      <c r="F37" s="2475"/>
      <c r="G37" s="2475"/>
      <c r="H37" s="2475"/>
      <c r="I37" s="2475"/>
      <c r="J37" s="2475"/>
      <c r="K37" s="2475"/>
      <c r="L37" s="2475"/>
      <c r="M37" s="2475"/>
      <c r="N37" s="2475"/>
      <c r="O37" s="2475"/>
      <c r="P37" s="2475"/>
      <c r="Q37" s="2475"/>
      <c r="R37" s="2475"/>
      <c r="S37" s="2475"/>
      <c r="T37" s="2475"/>
      <c r="U37" s="2475"/>
      <c r="V37" s="2475"/>
      <c r="W37" s="2475"/>
      <c r="X37" s="2475"/>
      <c r="Y37" s="2475"/>
      <c r="Z37" s="2475"/>
      <c r="AA37" s="2475"/>
      <c r="AB37" s="2475"/>
      <c r="AC37" s="2475"/>
      <c r="AD37" s="2475"/>
      <c r="AE37" s="2475"/>
      <c r="AF37" s="2475"/>
      <c r="AG37" s="2475"/>
      <c r="AH37" s="2475"/>
      <c r="AI37" s="2475"/>
      <c r="AJ37" s="2476"/>
      <c r="AK37" s="389"/>
      <c r="AL37" s="389"/>
      <c r="AM37" s="389"/>
      <c r="AN37" s="384"/>
    </row>
    <row r="38" spans="1:41" s="385" customFormat="1" ht="12.75" customHeight="1">
      <c r="A38" s="389"/>
      <c r="B38" s="389"/>
      <c r="C38" s="389"/>
      <c r="E38" s="2496"/>
      <c r="F38" s="2497"/>
      <c r="G38" s="2497"/>
      <c r="H38" s="2497"/>
      <c r="I38" s="2497"/>
      <c r="J38" s="2497"/>
      <c r="K38" s="2497"/>
      <c r="L38" s="2497"/>
      <c r="M38" s="2497"/>
      <c r="N38" s="2497"/>
      <c r="O38" s="2497"/>
      <c r="P38" s="2497"/>
      <c r="Q38" s="2497"/>
      <c r="R38" s="2497"/>
      <c r="S38" s="2497"/>
      <c r="T38" s="2497"/>
      <c r="U38" s="2497"/>
      <c r="V38" s="2497"/>
      <c r="W38" s="2497"/>
      <c r="X38" s="2497"/>
      <c r="Y38" s="2497"/>
      <c r="Z38" s="2497"/>
      <c r="AA38" s="2497"/>
      <c r="AB38" s="2497"/>
      <c r="AC38" s="2497"/>
      <c r="AD38" s="2497"/>
      <c r="AE38" s="2497"/>
      <c r="AF38" s="2497"/>
      <c r="AG38" s="2497"/>
      <c r="AH38" s="2497"/>
      <c r="AI38" s="2497"/>
      <c r="AJ38" s="2498"/>
      <c r="AK38" s="389"/>
      <c r="AL38" s="389"/>
      <c r="AM38" s="389"/>
      <c r="AN38" s="384"/>
    </row>
    <row r="39" spans="1:41" s="385" customFormat="1" ht="12.75" customHeight="1">
      <c r="A39" s="389"/>
      <c r="B39" s="389"/>
      <c r="C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4"/>
      <c r="AO39" s="385">
        <f>MAX(AO18,AO23,AO26,AO32)</f>
        <v>0</v>
      </c>
    </row>
    <row r="40" spans="1:41" s="385" customFormat="1" ht="12.75" customHeight="1">
      <c r="A40" s="389"/>
      <c r="B40" s="2544" t="s">
        <v>810</v>
      </c>
      <c r="C40" s="2544"/>
      <c r="D40" s="395"/>
      <c r="E40" s="2471" t="s">
        <v>2137</v>
      </c>
      <c r="F40" s="2472"/>
      <c r="G40" s="2472"/>
      <c r="H40" s="2472"/>
      <c r="I40" s="2472"/>
      <c r="J40" s="2472"/>
      <c r="K40" s="2472"/>
      <c r="L40" s="2472"/>
      <c r="M40" s="2472"/>
      <c r="N40" s="2472"/>
      <c r="O40" s="2472"/>
      <c r="P40" s="2472"/>
      <c r="Q40" s="2472"/>
      <c r="R40" s="2472"/>
      <c r="S40" s="2472"/>
      <c r="T40" s="2472"/>
      <c r="U40" s="2472"/>
      <c r="V40" s="2472"/>
      <c r="W40" s="2472"/>
      <c r="X40" s="2472"/>
      <c r="Y40" s="2472"/>
      <c r="Z40" s="2472"/>
      <c r="AA40" s="2472"/>
      <c r="AB40" s="2472"/>
      <c r="AC40" s="2472"/>
      <c r="AD40" s="2472"/>
      <c r="AE40" s="2472"/>
      <c r="AF40" s="2472"/>
      <c r="AG40" s="2472"/>
      <c r="AH40" s="2472"/>
      <c r="AI40" s="2472"/>
      <c r="AJ40" s="2473"/>
      <c r="AK40" s="389"/>
      <c r="AL40" s="389"/>
      <c r="AM40" s="389"/>
      <c r="AN40" s="384"/>
    </row>
    <row r="41" spans="1:41" s="385" customFormat="1" ht="12.75" customHeight="1">
      <c r="A41" s="389"/>
      <c r="B41" s="389"/>
      <c r="C41" s="389"/>
      <c r="E41" s="2496"/>
      <c r="F41" s="2497"/>
      <c r="G41" s="2497"/>
      <c r="H41" s="2497"/>
      <c r="I41" s="2497"/>
      <c r="J41" s="2497"/>
      <c r="K41" s="2497"/>
      <c r="L41" s="2497"/>
      <c r="M41" s="2497"/>
      <c r="N41" s="2497"/>
      <c r="O41" s="2497"/>
      <c r="P41" s="2497"/>
      <c r="Q41" s="2497"/>
      <c r="R41" s="2497"/>
      <c r="S41" s="2497"/>
      <c r="T41" s="2497"/>
      <c r="U41" s="2497"/>
      <c r="V41" s="2497"/>
      <c r="W41" s="2497"/>
      <c r="X41" s="2497"/>
      <c r="Y41" s="2497"/>
      <c r="Z41" s="2497"/>
      <c r="AA41" s="2497"/>
      <c r="AB41" s="2497"/>
      <c r="AC41" s="2497"/>
      <c r="AD41" s="2497"/>
      <c r="AE41" s="2497"/>
      <c r="AF41" s="2497"/>
      <c r="AG41" s="2497"/>
      <c r="AH41" s="2497"/>
      <c r="AI41" s="2497"/>
      <c r="AJ41" s="2498"/>
      <c r="AK41" s="389"/>
      <c r="AL41" s="389"/>
      <c r="AM41" s="389"/>
      <c r="AN41" s="384"/>
    </row>
    <row r="42" spans="1:41" s="385" customFormat="1" ht="12.75" customHeight="1">
      <c r="A42" s="389"/>
      <c r="B42" s="389"/>
      <c r="C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4"/>
      <c r="AO42" s="385">
        <f>MAX(AO18,AO23,AO26,AO32)</f>
        <v>0</v>
      </c>
    </row>
    <row r="43" spans="1:41" s="385" customFormat="1" ht="12.75" customHeight="1">
      <c r="A43" s="389"/>
      <c r="C43" s="392" t="s">
        <v>2138</v>
      </c>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4"/>
    </row>
    <row r="44" spans="1:41" s="385" customFormat="1" ht="12.75" customHeight="1">
      <c r="A44" s="389"/>
      <c r="C44" s="924"/>
      <c r="D44" s="924"/>
      <c r="E44" s="924"/>
      <c r="F44" s="924"/>
      <c r="G44" s="924"/>
      <c r="H44" s="924"/>
      <c r="I44" s="924"/>
      <c r="J44" s="924"/>
      <c r="K44" s="924"/>
      <c r="L44" s="924"/>
      <c r="M44" s="924"/>
      <c r="N44" s="924"/>
      <c r="O44" s="924"/>
      <c r="P44" s="924"/>
      <c r="Q44" s="924"/>
      <c r="R44" s="924"/>
      <c r="S44" s="924"/>
      <c r="T44" s="924"/>
      <c r="U44" s="924"/>
      <c r="V44" s="924"/>
      <c r="W44" s="924"/>
      <c r="X44" s="924"/>
      <c r="Y44" s="924"/>
      <c r="Z44" s="924"/>
      <c r="AA44" s="924"/>
      <c r="AB44" s="924"/>
      <c r="AC44" s="924"/>
      <c r="AD44" s="924"/>
      <c r="AE44" s="924"/>
      <c r="AF44" s="924"/>
      <c r="AG44" s="924"/>
      <c r="AH44" s="924"/>
      <c r="AI44" s="924"/>
      <c r="AJ44" s="924"/>
      <c r="AK44" s="924"/>
      <c r="AL44" s="389"/>
      <c r="AM44" s="389"/>
      <c r="AN44" s="384"/>
    </row>
    <row r="45" spans="1:41" s="385" customFormat="1" ht="12.75" customHeight="1">
      <c r="A45" s="389"/>
      <c r="B45" s="2544" t="s">
        <v>810</v>
      </c>
      <c r="C45" s="2544"/>
      <c r="D45" s="924"/>
      <c r="E45" s="2471" t="s">
        <v>2139</v>
      </c>
      <c r="F45" s="2472"/>
      <c r="G45" s="2472"/>
      <c r="H45" s="2472"/>
      <c r="I45" s="2472"/>
      <c r="J45" s="2472"/>
      <c r="K45" s="2472"/>
      <c r="L45" s="2472"/>
      <c r="M45" s="2472"/>
      <c r="N45" s="2472"/>
      <c r="O45" s="2472"/>
      <c r="P45" s="2472"/>
      <c r="Q45" s="2472"/>
      <c r="R45" s="2472"/>
      <c r="S45" s="2472"/>
      <c r="T45" s="2472"/>
      <c r="U45" s="2472"/>
      <c r="V45" s="2472"/>
      <c r="W45" s="2472"/>
      <c r="X45" s="2472"/>
      <c r="Y45" s="2472"/>
      <c r="Z45" s="2472"/>
      <c r="AA45" s="2472"/>
      <c r="AB45" s="2472"/>
      <c r="AC45" s="2472"/>
      <c r="AD45" s="2472"/>
      <c r="AE45" s="2472"/>
      <c r="AF45" s="2472"/>
      <c r="AG45" s="2472"/>
      <c r="AH45" s="2472"/>
      <c r="AI45" s="2472"/>
      <c r="AJ45" s="2473"/>
      <c r="AK45" s="924"/>
      <c r="AL45" s="389"/>
      <c r="AM45" s="389"/>
      <c r="AN45" s="384"/>
    </row>
    <row r="46" spans="1:41" s="385" customFormat="1" ht="12.75" customHeight="1">
      <c r="A46" s="389"/>
      <c r="B46" s="389"/>
      <c r="C46" s="389"/>
      <c r="E46" s="2474"/>
      <c r="F46" s="2475"/>
      <c r="G46" s="2475"/>
      <c r="H46" s="2475"/>
      <c r="I46" s="2475"/>
      <c r="J46" s="2475"/>
      <c r="K46" s="2475"/>
      <c r="L46" s="2475"/>
      <c r="M46" s="2475"/>
      <c r="N46" s="2475"/>
      <c r="O46" s="2475"/>
      <c r="P46" s="2475"/>
      <c r="Q46" s="2475"/>
      <c r="R46" s="2475"/>
      <c r="S46" s="2475"/>
      <c r="T46" s="2475"/>
      <c r="U46" s="2475"/>
      <c r="V46" s="2475"/>
      <c r="W46" s="2475"/>
      <c r="X46" s="2475"/>
      <c r="Y46" s="2475"/>
      <c r="Z46" s="2475"/>
      <c r="AA46" s="2475"/>
      <c r="AB46" s="2475"/>
      <c r="AC46" s="2475"/>
      <c r="AD46" s="2475"/>
      <c r="AE46" s="2475"/>
      <c r="AF46" s="2475"/>
      <c r="AG46" s="2475"/>
      <c r="AH46" s="2475"/>
      <c r="AI46" s="2475"/>
      <c r="AJ46" s="2476"/>
      <c r="AK46" s="389"/>
      <c r="AL46" s="389"/>
      <c r="AM46" s="389"/>
      <c r="AN46" s="384"/>
    </row>
    <row r="47" spans="1:41" s="385" customFormat="1" ht="12.75" customHeight="1">
      <c r="A47" s="389"/>
      <c r="D47" s="395"/>
      <c r="E47" s="2496"/>
      <c r="F47" s="2497"/>
      <c r="G47" s="2497"/>
      <c r="H47" s="2497"/>
      <c r="I47" s="2497"/>
      <c r="J47" s="2497"/>
      <c r="K47" s="2497"/>
      <c r="L47" s="2497"/>
      <c r="M47" s="2497"/>
      <c r="N47" s="2497"/>
      <c r="O47" s="2497"/>
      <c r="P47" s="2497"/>
      <c r="Q47" s="2497"/>
      <c r="R47" s="2497"/>
      <c r="S47" s="2497"/>
      <c r="T47" s="2497"/>
      <c r="U47" s="2497"/>
      <c r="V47" s="2497"/>
      <c r="W47" s="2497"/>
      <c r="X47" s="2497"/>
      <c r="Y47" s="2497"/>
      <c r="Z47" s="2497"/>
      <c r="AA47" s="2497"/>
      <c r="AB47" s="2497"/>
      <c r="AC47" s="2497"/>
      <c r="AD47" s="2497"/>
      <c r="AE47" s="2497"/>
      <c r="AF47" s="2497"/>
      <c r="AG47" s="2497"/>
      <c r="AH47" s="2497"/>
      <c r="AI47" s="2497"/>
      <c r="AJ47" s="2498"/>
      <c r="AK47" s="389"/>
      <c r="AL47" s="389"/>
      <c r="AM47" s="389"/>
      <c r="AN47" s="384"/>
      <c r="AO47" s="402"/>
    </row>
    <row r="48" spans="1:41" s="385" customFormat="1" ht="12.75" customHeight="1">
      <c r="A48" s="389"/>
      <c r="B48" s="389"/>
      <c r="C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4"/>
      <c r="AO48" s="402"/>
    </row>
    <row r="49" spans="1:50" s="385" customFormat="1" ht="12.75" customHeight="1">
      <c r="A49" s="388"/>
      <c r="B49" s="388" t="s">
        <v>2140</v>
      </c>
      <c r="C49" s="395"/>
      <c r="D49" s="395"/>
      <c r="E49" s="403"/>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4"/>
      <c r="AO49" s="402"/>
    </row>
    <row r="50" spans="1:50" s="385" customFormat="1" ht="12.75" customHeight="1">
      <c r="A50" s="389"/>
      <c r="B50" s="389"/>
      <c r="C50" s="923" t="s">
        <v>2141</v>
      </c>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4"/>
      <c r="AO50" s="402"/>
    </row>
    <row r="51" spans="1:50" s="385" customFormat="1" ht="12.75" customHeight="1">
      <c r="A51" s="395"/>
      <c r="B51" s="395"/>
      <c r="C51" s="395"/>
      <c r="D51" s="395"/>
      <c r="E51" s="404"/>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4"/>
      <c r="AO51" s="402"/>
    </row>
    <row r="52" spans="1:50" s="385" customFormat="1" ht="12.75" customHeight="1">
      <c r="A52" s="389"/>
      <c r="B52" s="2544" t="s">
        <v>810</v>
      </c>
      <c r="C52" s="2544"/>
      <c r="D52" s="389"/>
      <c r="E52" s="2471" t="s">
        <v>2142</v>
      </c>
      <c r="F52" s="2472"/>
      <c r="G52" s="2472"/>
      <c r="H52" s="2472"/>
      <c r="I52" s="2472"/>
      <c r="J52" s="2472"/>
      <c r="K52" s="2472"/>
      <c r="L52" s="2472"/>
      <c r="M52" s="2472"/>
      <c r="N52" s="2472"/>
      <c r="O52" s="2472"/>
      <c r="P52" s="2472"/>
      <c r="Q52" s="2472"/>
      <c r="R52" s="2472"/>
      <c r="S52" s="2472"/>
      <c r="T52" s="2472"/>
      <c r="U52" s="2472"/>
      <c r="V52" s="2472"/>
      <c r="W52" s="2472"/>
      <c r="X52" s="2472"/>
      <c r="Y52" s="2472"/>
      <c r="Z52" s="2472"/>
      <c r="AA52" s="2472"/>
      <c r="AB52" s="2472"/>
      <c r="AC52" s="2472"/>
      <c r="AD52" s="2472"/>
      <c r="AE52" s="2472"/>
      <c r="AF52" s="2472"/>
      <c r="AG52" s="2472"/>
      <c r="AH52" s="2472"/>
      <c r="AI52" s="2472"/>
      <c r="AJ52" s="2473"/>
      <c r="AK52" s="389"/>
      <c r="AL52" s="389"/>
      <c r="AM52" s="389"/>
      <c r="AN52" s="384"/>
      <c r="AO52" s="405"/>
    </row>
    <row r="53" spans="1:50" s="385" customFormat="1" ht="12.75" customHeight="1">
      <c r="A53" s="389"/>
      <c r="D53" s="395"/>
      <c r="E53" s="2474"/>
      <c r="F53" s="2475"/>
      <c r="G53" s="2475"/>
      <c r="H53" s="2475"/>
      <c r="I53" s="2475"/>
      <c r="J53" s="2475"/>
      <c r="K53" s="2475"/>
      <c r="L53" s="2475"/>
      <c r="M53" s="2475"/>
      <c r="N53" s="2475"/>
      <c r="O53" s="2475"/>
      <c r="P53" s="2475"/>
      <c r="Q53" s="2475"/>
      <c r="R53" s="2475"/>
      <c r="S53" s="2475"/>
      <c r="T53" s="2475"/>
      <c r="U53" s="2475"/>
      <c r="V53" s="2475"/>
      <c r="W53" s="2475"/>
      <c r="X53" s="2475"/>
      <c r="Y53" s="2475"/>
      <c r="Z53" s="2475"/>
      <c r="AA53" s="2475"/>
      <c r="AB53" s="2475"/>
      <c r="AC53" s="2475"/>
      <c r="AD53" s="2475"/>
      <c r="AE53" s="2475"/>
      <c r="AF53" s="2475"/>
      <c r="AG53" s="2475"/>
      <c r="AH53" s="2475"/>
      <c r="AI53" s="2475"/>
      <c r="AJ53" s="2476"/>
      <c r="AK53" s="389"/>
      <c r="AL53" s="389"/>
      <c r="AM53" s="389"/>
      <c r="AN53" s="384"/>
      <c r="AO53" s="405"/>
    </row>
    <row r="54" spans="1:50" s="385" customFormat="1" ht="12.75" customHeight="1">
      <c r="A54" s="389"/>
      <c r="D54" s="389"/>
      <c r="E54" s="2496"/>
      <c r="F54" s="2497"/>
      <c r="G54" s="2497"/>
      <c r="H54" s="2497"/>
      <c r="I54" s="2497"/>
      <c r="J54" s="2497"/>
      <c r="K54" s="2497"/>
      <c r="L54" s="2497"/>
      <c r="M54" s="2497"/>
      <c r="N54" s="2497"/>
      <c r="O54" s="2497"/>
      <c r="P54" s="2497"/>
      <c r="Q54" s="2497"/>
      <c r="R54" s="2497"/>
      <c r="S54" s="2497"/>
      <c r="T54" s="2497"/>
      <c r="U54" s="2497"/>
      <c r="V54" s="2497"/>
      <c r="W54" s="2497"/>
      <c r="X54" s="2497"/>
      <c r="Y54" s="2497"/>
      <c r="Z54" s="2497"/>
      <c r="AA54" s="2497"/>
      <c r="AB54" s="2497"/>
      <c r="AC54" s="2497"/>
      <c r="AD54" s="2497"/>
      <c r="AE54" s="2497"/>
      <c r="AF54" s="2497"/>
      <c r="AG54" s="2497"/>
      <c r="AH54" s="2497"/>
      <c r="AI54" s="2497"/>
      <c r="AJ54" s="2498"/>
      <c r="AK54" s="389"/>
      <c r="AL54" s="389"/>
      <c r="AM54" s="389"/>
      <c r="AN54" s="384"/>
    </row>
    <row r="55" spans="1:50" s="385" customFormat="1" ht="12.75" customHeight="1">
      <c r="A55" s="389"/>
      <c r="B55" s="389"/>
      <c r="C55" s="389"/>
      <c r="D55" s="395"/>
      <c r="E55" s="404"/>
      <c r="F55" s="402"/>
      <c r="G55" s="402"/>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4"/>
    </row>
    <row r="56" spans="1:50" s="385" customFormat="1" ht="12.75" customHeight="1">
      <c r="A56" s="389"/>
      <c r="B56" s="2544" t="s">
        <v>810</v>
      </c>
      <c r="C56" s="2544"/>
      <c r="D56" s="389"/>
      <c r="E56" s="2570" t="s">
        <v>2143</v>
      </c>
      <c r="F56" s="2571"/>
      <c r="G56" s="2571"/>
      <c r="H56" s="2571"/>
      <c r="I56" s="2571"/>
      <c r="J56" s="2571"/>
      <c r="K56" s="2571"/>
      <c r="L56" s="2571"/>
      <c r="M56" s="2571"/>
      <c r="N56" s="2571"/>
      <c r="O56" s="2571"/>
      <c r="P56" s="2571"/>
      <c r="Q56" s="2571"/>
      <c r="R56" s="2571"/>
      <c r="S56" s="2571"/>
      <c r="T56" s="2571"/>
      <c r="U56" s="2571"/>
      <c r="V56" s="2571"/>
      <c r="W56" s="2571"/>
      <c r="X56" s="2571"/>
      <c r="Y56" s="2571"/>
      <c r="Z56" s="2571"/>
      <c r="AA56" s="2571"/>
      <c r="AB56" s="2571"/>
      <c r="AC56" s="2571"/>
      <c r="AD56" s="2571"/>
      <c r="AE56" s="2571"/>
      <c r="AF56" s="2571"/>
      <c r="AG56" s="2571"/>
      <c r="AH56" s="2571"/>
      <c r="AI56" s="2571"/>
      <c r="AJ56" s="2572"/>
      <c r="AK56" s="389"/>
      <c r="AL56" s="389"/>
      <c r="AM56" s="389"/>
      <c r="AN56" s="384"/>
    </row>
    <row r="57" spans="1:50" s="385" customFormat="1" ht="12.75" customHeight="1">
      <c r="A57" s="389"/>
      <c r="B57" s="389"/>
      <c r="C57" s="389"/>
      <c r="D57" s="395"/>
      <c r="E57" s="406"/>
      <c r="F57" s="402"/>
      <c r="G57" s="402"/>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4"/>
    </row>
    <row r="58" spans="1:50" s="385" customFormat="1" ht="12.75" customHeight="1">
      <c r="A58" s="389"/>
      <c r="B58" s="2544" t="s">
        <v>810</v>
      </c>
      <c r="C58" s="2544"/>
      <c r="D58" s="389"/>
      <c r="E58" s="2471" t="s">
        <v>2144</v>
      </c>
      <c r="F58" s="2472"/>
      <c r="G58" s="2472"/>
      <c r="H58" s="2472"/>
      <c r="I58" s="2472"/>
      <c r="J58" s="2472"/>
      <c r="K58" s="2472"/>
      <c r="L58" s="2472"/>
      <c r="M58" s="2472"/>
      <c r="N58" s="2472"/>
      <c r="O58" s="2472"/>
      <c r="P58" s="2472"/>
      <c r="Q58" s="2472"/>
      <c r="R58" s="2472"/>
      <c r="S58" s="2472"/>
      <c r="T58" s="2472"/>
      <c r="U58" s="2472"/>
      <c r="V58" s="2472"/>
      <c r="W58" s="2472"/>
      <c r="X58" s="2472"/>
      <c r="Y58" s="2472"/>
      <c r="Z58" s="2472"/>
      <c r="AA58" s="2472"/>
      <c r="AB58" s="2472"/>
      <c r="AC58" s="2472"/>
      <c r="AD58" s="2472"/>
      <c r="AE58" s="2472"/>
      <c r="AF58" s="2472"/>
      <c r="AG58" s="2472"/>
      <c r="AH58" s="2472"/>
      <c r="AI58" s="2472"/>
      <c r="AJ58" s="2473"/>
      <c r="AK58" s="389"/>
      <c r="AL58" s="389"/>
      <c r="AM58" s="389"/>
      <c r="AN58" s="384"/>
    </row>
    <row r="59" spans="1:50" s="385" customFormat="1" ht="12.75" customHeight="1">
      <c r="A59" s="389"/>
      <c r="B59" s="395"/>
      <c r="C59" s="395"/>
      <c r="D59" s="395"/>
      <c r="E59" s="2496"/>
      <c r="F59" s="2497"/>
      <c r="G59" s="2497"/>
      <c r="H59" s="2497"/>
      <c r="I59" s="2497"/>
      <c r="J59" s="2497"/>
      <c r="K59" s="2497"/>
      <c r="L59" s="2497"/>
      <c r="M59" s="2497"/>
      <c r="N59" s="2497"/>
      <c r="O59" s="2497"/>
      <c r="P59" s="2497"/>
      <c r="Q59" s="2497"/>
      <c r="R59" s="2497"/>
      <c r="S59" s="2497"/>
      <c r="T59" s="2497"/>
      <c r="U59" s="2497"/>
      <c r="V59" s="2497"/>
      <c r="W59" s="2497"/>
      <c r="X59" s="2497"/>
      <c r="Y59" s="2497"/>
      <c r="Z59" s="2497"/>
      <c r="AA59" s="2497"/>
      <c r="AB59" s="2497"/>
      <c r="AC59" s="2497"/>
      <c r="AD59" s="2497"/>
      <c r="AE59" s="2497"/>
      <c r="AF59" s="2497"/>
      <c r="AG59" s="2497"/>
      <c r="AH59" s="2497"/>
      <c r="AI59" s="2497"/>
      <c r="AJ59" s="2498"/>
      <c r="AK59" s="389"/>
      <c r="AL59" s="389"/>
      <c r="AM59" s="389"/>
      <c r="AN59" s="384"/>
      <c r="AX59" s="388"/>
    </row>
    <row r="60" spans="1:50" s="385" customFormat="1" ht="12.75" customHeight="1">
      <c r="A60" s="389"/>
      <c r="B60" s="395"/>
      <c r="C60" s="395"/>
      <c r="D60" s="395"/>
      <c r="E60" s="406"/>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4"/>
      <c r="AX60" s="388"/>
    </row>
    <row r="61" spans="1:50" s="385" customFormat="1" ht="12.75" customHeight="1">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4"/>
    </row>
    <row r="62" spans="1:50" s="385" customFormat="1" ht="12.75" customHeight="1">
      <c r="A62" s="407"/>
      <c r="B62" s="408"/>
      <c r="C62" s="408"/>
      <c r="D62" s="408"/>
      <c r="E62" s="408"/>
      <c r="F62" s="408"/>
      <c r="G62" s="409"/>
      <c r="H62" s="410"/>
      <c r="I62" s="410"/>
      <c r="J62" s="410"/>
      <c r="K62" s="410"/>
      <c r="L62" s="410"/>
      <c r="M62" s="410"/>
      <c r="N62" s="410"/>
      <c r="O62" s="410"/>
      <c r="P62" s="410"/>
      <c r="Q62" s="410"/>
      <c r="R62" s="410"/>
      <c r="S62" s="410"/>
      <c r="T62" s="410"/>
      <c r="U62" s="410"/>
      <c r="V62" s="410"/>
      <c r="W62" s="410"/>
      <c r="X62" s="410"/>
      <c r="Y62" s="410"/>
      <c r="Z62" s="410"/>
      <c r="AA62" s="410"/>
      <c r="AB62" s="410"/>
      <c r="AC62" s="410"/>
      <c r="AD62" s="410"/>
      <c r="AE62" s="410"/>
      <c r="AF62" s="410"/>
      <c r="AG62" s="410"/>
      <c r="AH62" s="410"/>
      <c r="AI62" s="411"/>
      <c r="AJ62" s="411" t="s">
        <v>2145</v>
      </c>
      <c r="AK62" s="2517">
        <f>AO39</f>
        <v>0</v>
      </c>
      <c r="AL62" s="2518"/>
      <c r="AM62" s="2519"/>
      <c r="AN62" s="384"/>
    </row>
    <row r="63" spans="1:50" s="385" customFormat="1" ht="12.75" customHeight="1" thickBot="1">
      <c r="A63" s="412"/>
      <c r="B63" s="413"/>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5"/>
      <c r="AN63" s="384"/>
    </row>
    <row r="64" spans="1:50" s="385" customFormat="1" ht="12.75" customHeight="1" thickTop="1">
      <c r="A64" s="416"/>
      <c r="B64" s="417"/>
      <c r="C64" s="418"/>
      <c r="D64" s="418"/>
      <c r="E64" s="418"/>
      <c r="F64" s="418"/>
      <c r="G64" s="418"/>
      <c r="H64" s="418"/>
      <c r="I64" s="1194"/>
      <c r="J64" s="1194"/>
      <c r="K64" s="1194"/>
      <c r="L64" s="1194"/>
      <c r="M64" s="1194"/>
      <c r="N64" s="1194"/>
      <c r="O64" s="1194"/>
      <c r="P64" s="1194"/>
      <c r="Q64" s="1194"/>
      <c r="R64" s="416"/>
      <c r="S64" s="388"/>
      <c r="T64" s="388"/>
      <c r="U64" s="388"/>
      <c r="V64" s="388"/>
      <c r="W64" s="388"/>
      <c r="X64" s="388"/>
      <c r="Y64" s="388"/>
      <c r="Z64" s="388"/>
      <c r="AA64" s="388"/>
      <c r="AB64" s="388"/>
      <c r="AC64" s="388"/>
      <c r="AD64" s="388"/>
      <c r="AE64" s="388"/>
      <c r="AF64" s="416"/>
      <c r="AG64" s="388"/>
      <c r="AH64" s="388"/>
      <c r="AI64" s="388"/>
      <c r="AJ64" s="388"/>
      <c r="AK64" s="398"/>
      <c r="AL64" s="398"/>
      <c r="AM64" s="398"/>
      <c r="AN64" s="384"/>
    </row>
    <row r="65" spans="1:42" s="385" customFormat="1" ht="12.75" customHeight="1">
      <c r="A65" s="387" t="s">
        <v>2146</v>
      </c>
      <c r="B65" s="388" t="s">
        <v>619</v>
      </c>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2391" t="s">
        <v>2147</v>
      </c>
      <c r="AF65" s="2391"/>
      <c r="AG65" s="2391"/>
      <c r="AH65" s="2391"/>
      <c r="AI65" s="2391"/>
      <c r="AJ65" s="2391"/>
      <c r="AK65" s="2391"/>
      <c r="AL65" s="389"/>
      <c r="AM65" s="389"/>
      <c r="AN65" s="384"/>
    </row>
    <row r="66" spans="1:42" s="385" customFormat="1" ht="12.75" customHeight="1">
      <c r="A66" s="387"/>
      <c r="B66" s="388" t="s">
        <v>2148</v>
      </c>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1200"/>
      <c r="AF66" s="1200"/>
      <c r="AG66" s="1200"/>
      <c r="AH66" s="1200"/>
      <c r="AI66" s="1200"/>
      <c r="AJ66" s="1200"/>
      <c r="AK66" s="1200"/>
      <c r="AL66" s="389"/>
      <c r="AM66" s="389"/>
      <c r="AN66" s="384"/>
    </row>
    <row r="67" spans="1:42" s="385" customFormat="1" ht="12.75" customHeight="1">
      <c r="A67" s="387"/>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1200"/>
      <c r="AF67" s="1200"/>
      <c r="AG67" s="1200"/>
      <c r="AH67" s="1200"/>
      <c r="AI67" s="1200"/>
      <c r="AJ67" s="1200"/>
      <c r="AK67" s="1200"/>
      <c r="AL67" s="389"/>
      <c r="AM67" s="389"/>
      <c r="AN67" s="384"/>
    </row>
    <row r="68" spans="1:42" s="385" customFormat="1" ht="12.75" customHeight="1">
      <c r="A68" s="387"/>
      <c r="B68" s="2544" t="s">
        <v>694</v>
      </c>
      <c r="C68" s="2544"/>
      <c r="D68" s="395" t="s">
        <v>2149</v>
      </c>
      <c r="E68" s="2536" t="s">
        <v>2150</v>
      </c>
      <c r="F68" s="2537"/>
      <c r="G68" s="2537"/>
      <c r="H68" s="2537"/>
      <c r="I68" s="2537"/>
      <c r="J68" s="2537"/>
      <c r="K68" s="2537"/>
      <c r="L68" s="2537"/>
      <c r="M68" s="2537"/>
      <c r="N68" s="2537"/>
      <c r="O68" s="2537"/>
      <c r="P68" s="2537"/>
      <c r="Q68" s="2537"/>
      <c r="R68" s="2537"/>
      <c r="S68" s="2537"/>
      <c r="T68" s="2537"/>
      <c r="U68" s="2537"/>
      <c r="V68" s="2537"/>
      <c r="W68" s="2537"/>
      <c r="X68" s="2537"/>
      <c r="Y68" s="2537"/>
      <c r="Z68" s="2537"/>
      <c r="AA68" s="2537"/>
      <c r="AB68" s="2537"/>
      <c r="AC68" s="2537"/>
      <c r="AD68" s="2537"/>
      <c r="AE68" s="2537"/>
      <c r="AF68" s="2537"/>
      <c r="AG68" s="2537"/>
      <c r="AH68" s="2537"/>
      <c r="AI68" s="2537"/>
      <c r="AJ68" s="2538"/>
      <c r="AK68" s="1200"/>
      <c r="AL68" s="389"/>
      <c r="AM68" s="389"/>
      <c r="AN68" s="384"/>
      <c r="AO68" s="398">
        <f>IF($B68="yes",10,0)</f>
        <v>10</v>
      </c>
    </row>
    <row r="69" spans="1:42" s="385" customFormat="1" ht="12.75" customHeight="1">
      <c r="A69" s="387"/>
      <c r="B69" s="389"/>
      <c r="C69" s="389"/>
      <c r="D69" s="399"/>
      <c r="E69" s="2539"/>
      <c r="F69" s="2540"/>
      <c r="G69" s="2540"/>
      <c r="H69" s="2540"/>
      <c r="I69" s="2540"/>
      <c r="J69" s="2540"/>
      <c r="K69" s="2540"/>
      <c r="L69" s="2540"/>
      <c r="M69" s="2540"/>
      <c r="N69" s="2540"/>
      <c r="O69" s="2540"/>
      <c r="P69" s="2540"/>
      <c r="Q69" s="2540"/>
      <c r="R69" s="2540"/>
      <c r="S69" s="2540"/>
      <c r="T69" s="2540"/>
      <c r="U69" s="2540"/>
      <c r="V69" s="2540"/>
      <c r="W69" s="2540"/>
      <c r="X69" s="2540"/>
      <c r="Y69" s="2540"/>
      <c r="Z69" s="2540"/>
      <c r="AA69" s="2540"/>
      <c r="AB69" s="2540"/>
      <c r="AC69" s="2540"/>
      <c r="AD69" s="2540"/>
      <c r="AE69" s="2540"/>
      <c r="AF69" s="2540"/>
      <c r="AG69" s="2540"/>
      <c r="AH69" s="2540"/>
      <c r="AI69" s="2540"/>
      <c r="AJ69" s="2541"/>
      <c r="AK69" s="1200"/>
      <c r="AL69" s="389"/>
      <c r="AM69" s="389"/>
      <c r="AN69" s="384"/>
      <c r="AO69" s="398">
        <f>IF($B74="yes",10,0)</f>
        <v>0</v>
      </c>
    </row>
    <row r="70" spans="1:42" s="385" customFormat="1" ht="12.75" customHeight="1">
      <c r="A70" s="387"/>
      <c r="B70" s="389"/>
      <c r="C70" s="389"/>
      <c r="D70" s="399"/>
      <c r="E70" s="2539"/>
      <c r="F70" s="2540"/>
      <c r="G70" s="2540"/>
      <c r="H70" s="2540"/>
      <c r="I70" s="2540"/>
      <c r="J70" s="2540"/>
      <c r="K70" s="2540"/>
      <c r="L70" s="2540"/>
      <c r="M70" s="2540"/>
      <c r="N70" s="2540"/>
      <c r="O70" s="2540"/>
      <c r="P70" s="2540"/>
      <c r="Q70" s="2540"/>
      <c r="R70" s="2540"/>
      <c r="S70" s="2540"/>
      <c r="T70" s="2540"/>
      <c r="U70" s="2540"/>
      <c r="V70" s="2540"/>
      <c r="W70" s="2540"/>
      <c r="X70" s="2540"/>
      <c r="Y70" s="2540"/>
      <c r="Z70" s="2540"/>
      <c r="AA70" s="2540"/>
      <c r="AB70" s="2540"/>
      <c r="AC70" s="2540"/>
      <c r="AD70" s="2540"/>
      <c r="AE70" s="2540"/>
      <c r="AF70" s="2540"/>
      <c r="AG70" s="2540"/>
      <c r="AH70" s="2540"/>
      <c r="AI70" s="2540"/>
      <c r="AJ70" s="2541"/>
      <c r="AK70" s="1200"/>
      <c r="AL70" s="389"/>
      <c r="AM70" s="389"/>
      <c r="AN70" s="384"/>
      <c r="AO70" s="398">
        <f>IF($B81="yes",10,0)</f>
        <v>0</v>
      </c>
    </row>
    <row r="71" spans="1:42" s="385" customFormat="1" ht="12.75" customHeight="1">
      <c r="A71" s="387"/>
      <c r="B71" s="389"/>
      <c r="C71" s="389"/>
      <c r="D71" s="399"/>
      <c r="E71" s="2539"/>
      <c r="F71" s="2540"/>
      <c r="G71" s="2540"/>
      <c r="H71" s="2540"/>
      <c r="I71" s="2540"/>
      <c r="J71" s="2540"/>
      <c r="K71" s="2540"/>
      <c r="L71" s="2540"/>
      <c r="M71" s="2540"/>
      <c r="N71" s="2540"/>
      <c r="O71" s="2540"/>
      <c r="P71" s="2540"/>
      <c r="Q71" s="2540"/>
      <c r="R71" s="2540"/>
      <c r="S71" s="2540"/>
      <c r="T71" s="2540"/>
      <c r="U71" s="2540"/>
      <c r="V71" s="2540"/>
      <c r="W71" s="2540"/>
      <c r="X71" s="2540"/>
      <c r="Y71" s="2540"/>
      <c r="Z71" s="2540"/>
      <c r="AA71" s="2540"/>
      <c r="AB71" s="2540"/>
      <c r="AC71" s="2540"/>
      <c r="AD71" s="2540"/>
      <c r="AE71" s="2540"/>
      <c r="AF71" s="2540"/>
      <c r="AG71" s="2540"/>
      <c r="AH71" s="2540"/>
      <c r="AI71" s="2540"/>
      <c r="AJ71" s="2541"/>
      <c r="AK71" s="1200"/>
      <c r="AL71" s="389"/>
      <c r="AM71" s="389"/>
      <c r="AN71" s="384"/>
      <c r="AO71" s="385">
        <f>IF(SUM(AO68:AO70)&gt;10,10,(SUM(AO68:AO70)))</f>
        <v>10</v>
      </c>
      <c r="AP71" s="419" t="s">
        <v>2151</v>
      </c>
    </row>
    <row r="72" spans="1:42" s="385" customFormat="1" ht="12.75" customHeight="1">
      <c r="A72" s="387"/>
      <c r="B72" s="389"/>
      <c r="C72" s="389"/>
      <c r="D72" s="399"/>
      <c r="E72" s="2566"/>
      <c r="F72" s="2567"/>
      <c r="G72" s="2567"/>
      <c r="H72" s="2567"/>
      <c r="I72" s="2567"/>
      <c r="J72" s="2567"/>
      <c r="K72" s="2567"/>
      <c r="L72" s="2567"/>
      <c r="M72" s="2567"/>
      <c r="N72" s="2567"/>
      <c r="O72" s="2567"/>
      <c r="P72" s="2567"/>
      <c r="Q72" s="2567"/>
      <c r="R72" s="2567"/>
      <c r="S72" s="2567"/>
      <c r="T72" s="2567"/>
      <c r="U72" s="2567"/>
      <c r="V72" s="2567"/>
      <c r="W72" s="2567"/>
      <c r="X72" s="2567"/>
      <c r="Y72" s="2567"/>
      <c r="Z72" s="2567"/>
      <c r="AA72" s="2567"/>
      <c r="AB72" s="2567"/>
      <c r="AC72" s="2567"/>
      <c r="AD72" s="2567"/>
      <c r="AE72" s="2567"/>
      <c r="AF72" s="2567"/>
      <c r="AG72" s="2567"/>
      <c r="AH72" s="2567"/>
      <c r="AI72" s="2567"/>
      <c r="AJ72" s="2568"/>
      <c r="AK72" s="1200"/>
      <c r="AL72" s="389"/>
      <c r="AM72" s="389"/>
      <c r="AN72" s="384"/>
    </row>
    <row r="73" spans="1:42" s="385" customFormat="1" ht="12.75" customHeight="1">
      <c r="A73" s="387"/>
      <c r="B73" s="389"/>
      <c r="C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1200"/>
      <c r="AL73" s="389"/>
      <c r="AM73" s="389"/>
      <c r="AN73" s="384"/>
    </row>
    <row r="74" spans="1:42" s="385" customFormat="1" ht="12.75" customHeight="1">
      <c r="A74" s="387"/>
      <c r="B74" s="2544" t="s">
        <v>810</v>
      </c>
      <c r="C74" s="2544"/>
      <c r="D74" s="395" t="s">
        <v>2152</v>
      </c>
      <c r="E74" s="772" t="s">
        <v>2153</v>
      </c>
      <c r="F74" s="773"/>
      <c r="G74" s="773"/>
      <c r="H74" s="773"/>
      <c r="I74" s="773"/>
      <c r="J74" s="773"/>
      <c r="K74" s="773"/>
      <c r="L74" s="773"/>
      <c r="M74" s="773"/>
      <c r="N74" s="773"/>
      <c r="O74" s="773"/>
      <c r="P74" s="773"/>
      <c r="Q74" s="773"/>
      <c r="R74" s="773"/>
      <c r="S74" s="773"/>
      <c r="T74" s="773"/>
      <c r="U74" s="773"/>
      <c r="V74" s="773"/>
      <c r="W74" s="773"/>
      <c r="X74" s="773"/>
      <c r="Y74" s="773"/>
      <c r="Z74" s="773"/>
      <c r="AA74" s="773"/>
      <c r="AB74" s="773"/>
      <c r="AC74" s="773"/>
      <c r="AD74" s="773"/>
      <c r="AE74" s="773"/>
      <c r="AF74" s="773"/>
      <c r="AG74" s="773"/>
      <c r="AH74" s="773"/>
      <c r="AI74" s="773"/>
      <c r="AJ74" s="774"/>
      <c r="AK74" s="1200"/>
      <c r="AL74" s="389"/>
      <c r="AM74" s="389"/>
      <c r="AN74" s="384"/>
    </row>
    <row r="75" spans="1:42" s="385" customFormat="1" ht="12.75" customHeight="1">
      <c r="A75" s="387"/>
      <c r="B75" s="389"/>
      <c r="C75" s="389"/>
      <c r="D75" s="398"/>
      <c r="E75" s="2569" t="s">
        <v>810</v>
      </c>
      <c r="F75" s="2544"/>
      <c r="G75" s="420"/>
      <c r="H75" s="404" t="s">
        <v>2154</v>
      </c>
      <c r="I75" s="1211"/>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775"/>
      <c r="AK75" s="1200"/>
      <c r="AL75" s="389"/>
      <c r="AM75" s="389"/>
      <c r="AN75" s="384"/>
    </row>
    <row r="76" spans="1:42" s="385" customFormat="1" ht="12.75" customHeight="1">
      <c r="A76" s="387"/>
      <c r="B76" s="389"/>
      <c r="C76" s="389"/>
      <c r="D76" s="398"/>
      <c r="E76" s="2564" t="s">
        <v>810</v>
      </c>
      <c r="F76" s="2565"/>
      <c r="G76" s="420"/>
      <c r="H76" s="404" t="s">
        <v>2155</v>
      </c>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775"/>
      <c r="AK76" s="1200"/>
      <c r="AL76" s="389"/>
      <c r="AM76" s="389"/>
      <c r="AN76" s="384"/>
    </row>
    <row r="77" spans="1:42" s="385" customFormat="1" ht="12.75" customHeight="1">
      <c r="A77" s="387"/>
      <c r="B77" s="389"/>
      <c r="C77" s="389"/>
      <c r="D77" s="398"/>
      <c r="E77" s="2564" t="s">
        <v>810</v>
      </c>
      <c r="F77" s="2565"/>
      <c r="G77" s="420"/>
      <c r="H77" s="404" t="s">
        <v>2156</v>
      </c>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775"/>
      <c r="AK77" s="1200"/>
      <c r="AL77" s="389"/>
      <c r="AM77" s="389"/>
      <c r="AN77" s="384"/>
    </row>
    <row r="78" spans="1:42" s="385" customFormat="1" ht="12.75" customHeight="1">
      <c r="A78" s="387"/>
      <c r="B78" s="389"/>
      <c r="C78" s="389"/>
      <c r="D78" s="398"/>
      <c r="E78" s="493"/>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775"/>
      <c r="AK78" s="1200"/>
      <c r="AL78" s="389"/>
      <c r="AM78" s="389"/>
      <c r="AN78" s="384"/>
    </row>
    <row r="79" spans="1:42" s="385" customFormat="1" ht="12.75" customHeight="1">
      <c r="A79" s="387"/>
      <c r="B79" s="389"/>
      <c r="C79" s="389"/>
      <c r="D79" s="398"/>
      <c r="E79" s="2569" t="s">
        <v>810</v>
      </c>
      <c r="F79" s="2544"/>
      <c r="G79" s="1221"/>
      <c r="H79" s="777" t="s">
        <v>2157</v>
      </c>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2"/>
      <c r="AK79" s="1200"/>
      <c r="AL79" s="389"/>
      <c r="AM79" s="389"/>
      <c r="AN79" s="384"/>
    </row>
    <row r="80" spans="1:42" s="385" customFormat="1" ht="12.75" customHeight="1">
      <c r="A80" s="387"/>
      <c r="B80" s="389"/>
      <c r="C80" s="389"/>
      <c r="D80" s="399"/>
      <c r="E80" s="389"/>
      <c r="F80" s="389"/>
      <c r="G80" s="389"/>
      <c r="H80" s="389"/>
      <c r="I80" s="389"/>
      <c r="J80" s="389"/>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89"/>
      <c r="AI80" s="389"/>
      <c r="AJ80" s="389"/>
      <c r="AK80" s="1200"/>
      <c r="AL80" s="389"/>
      <c r="AM80" s="389"/>
      <c r="AN80" s="384"/>
    </row>
    <row r="81" spans="1:43" s="385" customFormat="1" ht="12.75" customHeight="1">
      <c r="A81" s="387"/>
      <c r="B81" s="2544" t="s">
        <v>810</v>
      </c>
      <c r="C81" s="2544"/>
      <c r="D81" s="395" t="s">
        <v>2158</v>
      </c>
      <c r="E81" s="2471" t="s">
        <v>2159</v>
      </c>
      <c r="F81" s="2472"/>
      <c r="G81" s="2472"/>
      <c r="H81" s="2472"/>
      <c r="I81" s="2472"/>
      <c r="J81" s="2472"/>
      <c r="K81" s="2472"/>
      <c r="L81" s="2472"/>
      <c r="M81" s="2472"/>
      <c r="N81" s="2472"/>
      <c r="O81" s="2472"/>
      <c r="P81" s="2472"/>
      <c r="Q81" s="2472"/>
      <c r="R81" s="2472"/>
      <c r="S81" s="2472"/>
      <c r="T81" s="2472"/>
      <c r="U81" s="2472"/>
      <c r="V81" s="2472"/>
      <c r="W81" s="2472"/>
      <c r="X81" s="2472"/>
      <c r="Y81" s="2472"/>
      <c r="Z81" s="2472"/>
      <c r="AA81" s="2472"/>
      <c r="AB81" s="2472"/>
      <c r="AC81" s="2472"/>
      <c r="AD81" s="2472"/>
      <c r="AE81" s="2472"/>
      <c r="AF81" s="2472"/>
      <c r="AG81" s="2472"/>
      <c r="AH81" s="2472"/>
      <c r="AI81" s="2472"/>
      <c r="AJ81" s="2473"/>
      <c r="AK81" s="1200"/>
      <c r="AL81" s="389"/>
      <c r="AM81" s="389"/>
      <c r="AN81" s="384"/>
    </row>
    <row r="82" spans="1:43" s="385" customFormat="1" ht="12.75" customHeight="1">
      <c r="A82" s="387"/>
      <c r="B82" s="389"/>
      <c r="C82" s="389"/>
      <c r="D82" s="398"/>
      <c r="E82" s="2496"/>
      <c r="F82" s="2497"/>
      <c r="G82" s="2497"/>
      <c r="H82" s="2497"/>
      <c r="I82" s="2497"/>
      <c r="J82" s="2497"/>
      <c r="K82" s="2497"/>
      <c r="L82" s="2497"/>
      <c r="M82" s="2497"/>
      <c r="N82" s="2497"/>
      <c r="O82" s="2497"/>
      <c r="P82" s="2497"/>
      <c r="Q82" s="2497"/>
      <c r="R82" s="2497"/>
      <c r="S82" s="2497"/>
      <c r="T82" s="2497"/>
      <c r="U82" s="2497"/>
      <c r="V82" s="2497"/>
      <c r="W82" s="2497"/>
      <c r="X82" s="2497"/>
      <c r="Y82" s="2497"/>
      <c r="Z82" s="2497"/>
      <c r="AA82" s="2497"/>
      <c r="AB82" s="2497"/>
      <c r="AC82" s="2497"/>
      <c r="AD82" s="2497"/>
      <c r="AE82" s="2497"/>
      <c r="AF82" s="2497"/>
      <c r="AG82" s="2497"/>
      <c r="AH82" s="2497"/>
      <c r="AI82" s="2497"/>
      <c r="AJ82" s="2498"/>
      <c r="AK82" s="1200"/>
      <c r="AL82" s="389"/>
      <c r="AM82" s="389"/>
      <c r="AN82" s="384"/>
    </row>
    <row r="83" spans="1:43" s="385" customFormat="1" ht="12.75" customHeight="1">
      <c r="A83" s="387"/>
      <c r="B83" s="389"/>
      <c r="C83" s="389"/>
      <c r="D83" s="398"/>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1200"/>
      <c r="AL83" s="389"/>
      <c r="AM83" s="389"/>
      <c r="AN83" s="384"/>
    </row>
    <row r="84" spans="1:43" s="385" customFormat="1" ht="12.75" customHeight="1">
      <c r="A84" s="407"/>
      <c r="B84" s="408"/>
      <c r="C84" s="408"/>
      <c r="D84" s="408"/>
      <c r="E84" s="408"/>
      <c r="F84" s="408"/>
      <c r="G84" s="409"/>
      <c r="H84" s="410"/>
      <c r="I84" s="410"/>
      <c r="J84" s="410"/>
      <c r="K84" s="410"/>
      <c r="L84" s="410"/>
      <c r="M84" s="410"/>
      <c r="N84" s="410"/>
      <c r="O84" s="410"/>
      <c r="P84" s="410"/>
      <c r="Q84" s="410"/>
      <c r="R84" s="410"/>
      <c r="S84" s="410"/>
      <c r="T84" s="410"/>
      <c r="U84" s="410"/>
      <c r="V84" s="410"/>
      <c r="W84" s="410"/>
      <c r="X84" s="410"/>
      <c r="Y84" s="410"/>
      <c r="Z84" s="410"/>
      <c r="AA84" s="410"/>
      <c r="AB84" s="410"/>
      <c r="AC84" s="410"/>
      <c r="AD84" s="410"/>
      <c r="AE84" s="410"/>
      <c r="AF84" s="410"/>
      <c r="AG84" s="410"/>
      <c r="AH84" s="410"/>
      <c r="AI84" s="411"/>
      <c r="AJ84" s="411" t="s">
        <v>2160</v>
      </c>
      <c r="AK84" s="2517">
        <f>IF(AK62&gt;0,0,AO71)</f>
        <v>10</v>
      </c>
      <c r="AL84" s="2518"/>
      <c r="AM84" s="2519"/>
      <c r="AN84" s="384"/>
    </row>
    <row r="85" spans="1:43" s="385" customFormat="1" ht="12.75" customHeight="1" thickBot="1">
      <c r="A85" s="412"/>
      <c r="B85" s="413"/>
      <c r="C85" s="414"/>
      <c r="D85" s="414"/>
      <c r="E85" s="414"/>
      <c r="F85" s="414"/>
      <c r="G85" s="414"/>
      <c r="H85" s="414"/>
      <c r="I85" s="414"/>
      <c r="J85" s="414"/>
      <c r="K85" s="414"/>
      <c r="L85" s="414"/>
      <c r="M85" s="414"/>
      <c r="N85" s="414"/>
      <c r="O85" s="414"/>
      <c r="P85" s="414"/>
      <c r="Q85" s="414"/>
      <c r="R85" s="414"/>
      <c r="S85" s="414"/>
      <c r="T85" s="414"/>
      <c r="U85" s="414"/>
      <c r="V85" s="414"/>
      <c r="W85" s="414"/>
      <c r="X85" s="414"/>
      <c r="Y85" s="414"/>
      <c r="Z85" s="414"/>
      <c r="AA85" s="414"/>
      <c r="AB85" s="414"/>
      <c r="AC85" s="414"/>
      <c r="AD85" s="414"/>
      <c r="AE85" s="414"/>
      <c r="AF85" s="414"/>
      <c r="AG85" s="414"/>
      <c r="AH85" s="414"/>
      <c r="AI85" s="414"/>
      <c r="AJ85" s="414"/>
      <c r="AK85" s="414"/>
      <c r="AL85" s="414"/>
      <c r="AM85" s="415"/>
      <c r="AN85" s="384"/>
    </row>
    <row r="86" spans="1:43" s="385" customFormat="1" ht="12.75" customHeight="1" thickTop="1">
      <c r="A86" s="416"/>
      <c r="B86" s="417"/>
      <c r="C86" s="418"/>
      <c r="D86" s="418"/>
      <c r="E86" s="418"/>
      <c r="F86" s="418"/>
      <c r="G86" s="418"/>
      <c r="H86" s="418"/>
      <c r="I86" s="1194"/>
      <c r="J86" s="1194"/>
      <c r="K86" s="1194"/>
      <c r="L86" s="1194"/>
      <c r="M86" s="1194"/>
      <c r="N86" s="1194"/>
      <c r="O86" s="1194"/>
      <c r="P86" s="1194"/>
      <c r="Q86" s="1194"/>
      <c r="R86" s="416"/>
      <c r="S86" s="388"/>
      <c r="T86" s="388"/>
      <c r="U86" s="388"/>
      <c r="V86" s="388"/>
      <c r="W86" s="388"/>
      <c r="X86" s="388"/>
      <c r="Y86" s="388"/>
      <c r="Z86" s="388"/>
      <c r="AA86" s="388"/>
      <c r="AB86" s="388"/>
      <c r="AC86" s="388"/>
      <c r="AD86" s="388"/>
      <c r="AE86" s="388"/>
      <c r="AF86" s="416"/>
      <c r="AG86" s="388"/>
      <c r="AH86" s="388"/>
      <c r="AI86" s="388"/>
      <c r="AJ86" s="388"/>
      <c r="AK86" s="398"/>
      <c r="AL86" s="398"/>
      <c r="AM86" s="398"/>
      <c r="AN86" s="384"/>
    </row>
    <row r="87" spans="1:43" s="385" customFormat="1" ht="12.75" customHeight="1">
      <c r="A87" s="387" t="s">
        <v>2161</v>
      </c>
      <c r="B87" s="388" t="s">
        <v>2162</v>
      </c>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2391" t="s">
        <v>2123</v>
      </c>
      <c r="AF87" s="2391"/>
      <c r="AG87" s="2391"/>
      <c r="AH87" s="2391"/>
      <c r="AI87" s="2391"/>
      <c r="AJ87" s="2391"/>
      <c r="AK87" s="2391"/>
      <c r="AL87" s="389"/>
      <c r="AM87" s="389"/>
      <c r="AN87" s="384"/>
    </row>
    <row r="88" spans="1:43" s="385" customFormat="1" ht="12.75" customHeight="1">
      <c r="A88" s="387"/>
      <c r="B88" s="388" t="s">
        <v>2163</v>
      </c>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1200"/>
      <c r="AF88" s="1200"/>
      <c r="AG88" s="1200"/>
      <c r="AH88" s="1200"/>
      <c r="AI88" s="1200"/>
      <c r="AJ88" s="1200"/>
      <c r="AK88" s="1200"/>
      <c r="AL88" s="389"/>
      <c r="AM88" s="389"/>
      <c r="AN88" s="384"/>
    </row>
    <row r="89" spans="1:43" s="385" customFormat="1" ht="12.75" customHeight="1">
      <c r="A89" s="387"/>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1200"/>
      <c r="AF89" s="1200"/>
      <c r="AG89" s="1200"/>
      <c r="AH89" s="1200"/>
      <c r="AI89" s="1200"/>
      <c r="AJ89" s="1200"/>
      <c r="AK89" s="1200"/>
      <c r="AL89" s="389"/>
      <c r="AM89" s="389"/>
      <c r="AN89" s="384"/>
    </row>
    <row r="90" spans="1:43" s="385" customFormat="1" ht="12.75" customHeight="1">
      <c r="A90" s="387"/>
      <c r="B90" s="2544" t="s">
        <v>810</v>
      </c>
      <c r="C90" s="2544"/>
      <c r="D90" s="395" t="s">
        <v>2149</v>
      </c>
      <c r="E90" s="2536" t="s">
        <v>2164</v>
      </c>
      <c r="F90" s="2537"/>
      <c r="G90" s="2537"/>
      <c r="H90" s="2537"/>
      <c r="I90" s="2537"/>
      <c r="J90" s="2537"/>
      <c r="K90" s="2537"/>
      <c r="L90" s="2537"/>
      <c r="M90" s="2537"/>
      <c r="N90" s="2537"/>
      <c r="O90" s="2537"/>
      <c r="P90" s="2537"/>
      <c r="Q90" s="2537"/>
      <c r="R90" s="2537"/>
      <c r="S90" s="2537"/>
      <c r="T90" s="2537"/>
      <c r="U90" s="2537"/>
      <c r="V90" s="2537"/>
      <c r="W90" s="2537"/>
      <c r="X90" s="2537"/>
      <c r="Y90" s="2537"/>
      <c r="Z90" s="2537"/>
      <c r="AA90" s="2537"/>
      <c r="AB90" s="2537"/>
      <c r="AC90" s="2537"/>
      <c r="AD90" s="2537"/>
      <c r="AE90" s="2537"/>
      <c r="AF90" s="2537"/>
      <c r="AG90" s="2537"/>
      <c r="AH90" s="2537"/>
      <c r="AI90" s="2537"/>
      <c r="AJ90" s="2538"/>
      <c r="AK90" s="1200"/>
      <c r="AL90" s="389"/>
      <c r="AM90" s="389"/>
      <c r="AN90" s="384"/>
    </row>
    <row r="91" spans="1:43" s="385" customFormat="1" ht="12.75" customHeight="1">
      <c r="A91" s="387"/>
      <c r="B91" s="388"/>
      <c r="C91" s="388"/>
      <c r="D91" s="388"/>
      <c r="E91" s="2539"/>
      <c r="F91" s="2540"/>
      <c r="G91" s="2540"/>
      <c r="H91" s="2540"/>
      <c r="I91" s="2540"/>
      <c r="J91" s="2540"/>
      <c r="K91" s="2540"/>
      <c r="L91" s="2540"/>
      <c r="M91" s="2540"/>
      <c r="N91" s="2540"/>
      <c r="O91" s="2540"/>
      <c r="P91" s="2540"/>
      <c r="Q91" s="2540"/>
      <c r="R91" s="2540"/>
      <c r="S91" s="2540"/>
      <c r="T91" s="2540"/>
      <c r="U91" s="2540"/>
      <c r="V91" s="2540"/>
      <c r="W91" s="2540"/>
      <c r="X91" s="2540"/>
      <c r="Y91" s="2540"/>
      <c r="Z91" s="2540"/>
      <c r="AA91" s="2540"/>
      <c r="AB91" s="2540"/>
      <c r="AC91" s="2540"/>
      <c r="AD91" s="2540"/>
      <c r="AE91" s="2540"/>
      <c r="AF91" s="2540"/>
      <c r="AG91" s="2540"/>
      <c r="AH91" s="2540"/>
      <c r="AI91" s="2540"/>
      <c r="AJ91" s="2541"/>
      <c r="AK91" s="1200"/>
      <c r="AL91" s="389"/>
      <c r="AM91" s="389"/>
      <c r="AN91" s="384"/>
    </row>
    <row r="92" spans="1:43" s="385" customFormat="1" ht="12.75" customHeight="1">
      <c r="A92" s="387"/>
      <c r="B92" s="388"/>
      <c r="C92" s="388"/>
      <c r="D92" s="388"/>
      <c r="E92" s="421"/>
      <c r="F92" s="422"/>
      <c r="G92" s="422"/>
      <c r="H92" s="422"/>
      <c r="I92" s="422"/>
      <c r="J92" s="422"/>
      <c r="K92" s="422"/>
      <c r="L92" s="422"/>
      <c r="M92" s="422"/>
      <c r="N92" s="422"/>
      <c r="O92" s="422"/>
      <c r="P92" s="422"/>
      <c r="Q92" s="422"/>
      <c r="R92" s="422"/>
      <c r="S92" s="422"/>
      <c r="T92" s="422"/>
      <c r="U92" s="422"/>
      <c r="V92" s="422"/>
      <c r="W92" s="422"/>
      <c r="X92" s="422"/>
      <c r="Y92" s="422"/>
      <c r="Z92" s="423"/>
      <c r="AA92" s="423"/>
      <c r="AB92" s="423"/>
      <c r="AC92" s="422"/>
      <c r="AD92" s="422"/>
      <c r="AE92" s="422"/>
      <c r="AF92" s="422"/>
      <c r="AG92" s="422"/>
      <c r="AH92" s="422"/>
      <c r="AI92" s="422"/>
      <c r="AJ92" s="424"/>
      <c r="AK92" s="1200"/>
      <c r="AL92" s="389"/>
      <c r="AM92" s="389"/>
      <c r="AN92" s="384"/>
    </row>
    <row r="93" spans="1:43" s="385" customFormat="1" ht="12.75" customHeight="1">
      <c r="A93" s="387"/>
      <c r="B93" s="388"/>
      <c r="C93" s="388"/>
      <c r="D93" s="388"/>
      <c r="E93" s="2532">
        <f>Application!AC753</f>
        <v>0.59999999999999987</v>
      </c>
      <c r="F93" s="2533"/>
      <c r="G93" s="2533"/>
      <c r="H93" s="2533"/>
      <c r="I93" s="422"/>
      <c r="J93" s="425" t="s">
        <v>2165</v>
      </c>
      <c r="K93" s="422"/>
      <c r="L93" s="422"/>
      <c r="M93" s="422"/>
      <c r="N93" s="422"/>
      <c r="O93" s="422"/>
      <c r="P93" s="422"/>
      <c r="Q93" s="422"/>
      <c r="R93" s="422"/>
      <c r="S93" s="422"/>
      <c r="T93" s="422"/>
      <c r="U93" s="422"/>
      <c r="V93" s="422"/>
      <c r="W93" s="422"/>
      <c r="X93" s="422"/>
      <c r="Y93" s="422"/>
      <c r="Z93" s="426"/>
      <c r="AA93" s="426"/>
      <c r="AB93" s="426"/>
      <c r="AC93" s="422"/>
      <c r="AD93" s="422"/>
      <c r="AE93" s="422"/>
      <c r="AF93" s="422"/>
      <c r="AG93" s="422"/>
      <c r="AH93" s="422"/>
      <c r="AI93" s="422"/>
      <c r="AJ93" s="424"/>
      <c r="AK93" s="1200"/>
      <c r="AL93" s="389"/>
      <c r="AM93" s="389"/>
      <c r="AN93" s="384"/>
    </row>
    <row r="94" spans="1:43" s="385" customFormat="1" ht="12.75" customHeight="1">
      <c r="A94" s="387"/>
      <c r="B94" s="388"/>
      <c r="C94" s="388"/>
      <c r="D94" s="388"/>
      <c r="E94" s="2563">
        <f>0.6-ROUNDUP(E93,2)</f>
        <v>0</v>
      </c>
      <c r="F94" s="2338"/>
      <c r="G94" s="2338"/>
      <c r="H94" s="2338"/>
      <c r="I94" s="422"/>
      <c r="J94" s="425" t="s">
        <v>2166</v>
      </c>
      <c r="K94" s="422"/>
      <c r="L94" s="422"/>
      <c r="M94" s="422"/>
      <c r="N94" s="422"/>
      <c r="O94" s="422"/>
      <c r="P94" s="422"/>
      <c r="Q94" s="422"/>
      <c r="R94" s="422"/>
      <c r="S94" s="422"/>
      <c r="T94" s="422"/>
      <c r="U94" s="422"/>
      <c r="V94" s="422"/>
      <c r="W94" s="422"/>
      <c r="X94" s="422"/>
      <c r="Y94" s="422"/>
      <c r="Z94" s="422"/>
      <c r="AA94" s="422"/>
      <c r="AB94" s="422"/>
      <c r="AC94" s="422"/>
      <c r="AD94" s="422"/>
      <c r="AE94" s="422"/>
      <c r="AF94" s="422"/>
      <c r="AG94" s="422"/>
      <c r="AH94" s="422"/>
      <c r="AI94" s="422"/>
      <c r="AJ94" s="424"/>
      <c r="AK94" s="1200"/>
      <c r="AL94" s="389"/>
      <c r="AM94" s="389"/>
      <c r="AN94" s="384"/>
    </row>
    <row r="95" spans="1:43" s="385" customFormat="1" ht="12.75" customHeight="1">
      <c r="A95" s="387"/>
      <c r="B95" s="388"/>
      <c r="C95" s="388"/>
      <c r="D95" s="388"/>
      <c r="E95" s="2548">
        <f>IF(E94*200&gt;20,20,E94*200)</f>
        <v>0</v>
      </c>
      <c r="F95" s="2549"/>
      <c r="G95" s="2549"/>
      <c r="H95" s="2549"/>
      <c r="I95" s="422"/>
      <c r="J95" s="425" t="s">
        <v>2167</v>
      </c>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4"/>
      <c r="AK95" s="1200"/>
      <c r="AL95" s="389"/>
      <c r="AM95" s="389"/>
      <c r="AN95" s="384"/>
      <c r="AP95" s="385">
        <f>IF(B90="yes",E95,0)</f>
        <v>0</v>
      </c>
      <c r="AQ95" s="385" t="s">
        <v>2129</v>
      </c>
    </row>
    <row r="96" spans="1:43" s="385" customFormat="1" ht="12.75" customHeight="1">
      <c r="A96" s="387"/>
      <c r="B96" s="388"/>
      <c r="C96" s="388"/>
      <c r="D96" s="388"/>
      <c r="E96" s="427"/>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9"/>
      <c r="AF96" s="429"/>
      <c r="AG96" s="429"/>
      <c r="AH96" s="429"/>
      <c r="AI96" s="429"/>
      <c r="AJ96" s="430"/>
      <c r="AK96" s="1200"/>
      <c r="AL96" s="389"/>
      <c r="AM96" s="389"/>
      <c r="AN96" s="384"/>
    </row>
    <row r="97" spans="1:47" s="385" customFormat="1" ht="12.75" customHeight="1">
      <c r="A97" s="387"/>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1200"/>
      <c r="AF97" s="1200"/>
      <c r="AG97" s="1200"/>
      <c r="AH97" s="1200"/>
      <c r="AI97" s="1200"/>
      <c r="AJ97" s="1200"/>
      <c r="AK97" s="1200"/>
      <c r="AL97" s="389"/>
      <c r="AM97" s="389"/>
      <c r="AN97" s="384"/>
    </row>
    <row r="98" spans="1:47" s="385" customFormat="1" ht="12.75" customHeight="1">
      <c r="A98" s="387"/>
      <c r="B98" s="2544" t="s">
        <v>694</v>
      </c>
      <c r="C98" s="2544"/>
      <c r="D98" s="395" t="s">
        <v>2152</v>
      </c>
      <c r="E98" s="2536" t="s">
        <v>2168</v>
      </c>
      <c r="F98" s="2537"/>
      <c r="G98" s="2537"/>
      <c r="H98" s="2537"/>
      <c r="I98" s="2537"/>
      <c r="J98" s="2537"/>
      <c r="K98" s="2537"/>
      <c r="L98" s="2537"/>
      <c r="M98" s="2537"/>
      <c r="N98" s="2537"/>
      <c r="O98" s="2537"/>
      <c r="P98" s="2537"/>
      <c r="Q98" s="2537"/>
      <c r="R98" s="2537"/>
      <c r="S98" s="2537"/>
      <c r="T98" s="2537"/>
      <c r="U98" s="2537"/>
      <c r="V98" s="2537"/>
      <c r="W98" s="2537"/>
      <c r="X98" s="2537"/>
      <c r="Y98" s="2537"/>
      <c r="Z98" s="2537"/>
      <c r="AA98" s="2537"/>
      <c r="AB98" s="2537"/>
      <c r="AC98" s="2537"/>
      <c r="AD98" s="2537"/>
      <c r="AE98" s="2537"/>
      <c r="AF98" s="2537"/>
      <c r="AG98" s="2537"/>
      <c r="AH98" s="2537"/>
      <c r="AI98" s="2537"/>
      <c r="AJ98" s="2538"/>
      <c r="AK98" s="1200"/>
      <c r="AL98" s="389"/>
      <c r="AM98" s="389"/>
      <c r="AN98" s="384"/>
    </row>
    <row r="99" spans="1:47" s="385" customFormat="1" ht="12.75" customHeight="1">
      <c r="A99" s="387"/>
      <c r="B99" s="388"/>
      <c r="C99" s="388"/>
      <c r="D99" s="388"/>
      <c r="E99" s="2539"/>
      <c r="F99" s="2540"/>
      <c r="G99" s="2540"/>
      <c r="H99" s="2540"/>
      <c r="I99" s="2540"/>
      <c r="J99" s="2540"/>
      <c r="K99" s="2540"/>
      <c r="L99" s="2540"/>
      <c r="M99" s="2540"/>
      <c r="N99" s="2540"/>
      <c r="O99" s="2540"/>
      <c r="P99" s="2540"/>
      <c r="Q99" s="2540"/>
      <c r="R99" s="2540"/>
      <c r="S99" s="2540"/>
      <c r="T99" s="2540"/>
      <c r="U99" s="2540"/>
      <c r="V99" s="2540"/>
      <c r="W99" s="2540"/>
      <c r="X99" s="2540"/>
      <c r="Y99" s="2540"/>
      <c r="Z99" s="2540"/>
      <c r="AA99" s="2540"/>
      <c r="AB99" s="2540"/>
      <c r="AC99" s="2540"/>
      <c r="AD99" s="2540"/>
      <c r="AE99" s="2540"/>
      <c r="AF99" s="2540"/>
      <c r="AG99" s="2540"/>
      <c r="AH99" s="2540"/>
      <c r="AI99" s="2540"/>
      <c r="AJ99" s="2541"/>
      <c r="AK99" s="1200"/>
      <c r="AL99" s="389"/>
      <c r="AM99" s="389"/>
      <c r="AN99" s="384"/>
    </row>
    <row r="100" spans="1:47" s="385" customFormat="1" ht="12.75" customHeight="1">
      <c r="A100" s="387"/>
      <c r="B100" s="388"/>
      <c r="C100" s="388"/>
      <c r="D100" s="388"/>
      <c r="E100" s="2539"/>
      <c r="F100" s="2540"/>
      <c r="G100" s="2540"/>
      <c r="H100" s="2540"/>
      <c r="I100" s="2540"/>
      <c r="J100" s="2540"/>
      <c r="K100" s="2540"/>
      <c r="L100" s="2540"/>
      <c r="M100" s="2540"/>
      <c r="N100" s="2540"/>
      <c r="O100" s="2540"/>
      <c r="P100" s="2540"/>
      <c r="Q100" s="2540"/>
      <c r="R100" s="2540"/>
      <c r="S100" s="2540"/>
      <c r="T100" s="2540"/>
      <c r="U100" s="2540"/>
      <c r="V100" s="2540"/>
      <c r="W100" s="2540"/>
      <c r="X100" s="2540"/>
      <c r="Y100" s="2540"/>
      <c r="Z100" s="2540"/>
      <c r="AA100" s="2540"/>
      <c r="AB100" s="2540"/>
      <c r="AC100" s="2540"/>
      <c r="AD100" s="2540"/>
      <c r="AE100" s="2540"/>
      <c r="AF100" s="2540"/>
      <c r="AG100" s="2540"/>
      <c r="AH100" s="2540"/>
      <c r="AI100" s="2540"/>
      <c r="AJ100" s="2541"/>
      <c r="AK100" s="1200"/>
      <c r="AL100" s="389"/>
      <c r="AM100" s="389"/>
      <c r="AN100" s="384"/>
    </row>
    <row r="101" spans="1:47" s="385" customFormat="1" ht="12.75" customHeight="1">
      <c r="A101" s="387"/>
      <c r="B101" s="388"/>
      <c r="C101" s="388"/>
      <c r="D101" s="388"/>
      <c r="E101" s="2539"/>
      <c r="F101" s="2540"/>
      <c r="G101" s="2540"/>
      <c r="H101" s="2540"/>
      <c r="I101" s="2540"/>
      <c r="J101" s="2540"/>
      <c r="K101" s="2540"/>
      <c r="L101" s="2540"/>
      <c r="M101" s="2540"/>
      <c r="N101" s="2540"/>
      <c r="O101" s="2540"/>
      <c r="P101" s="2540"/>
      <c r="Q101" s="2540"/>
      <c r="R101" s="2540"/>
      <c r="S101" s="2540"/>
      <c r="T101" s="2540"/>
      <c r="U101" s="2540"/>
      <c r="V101" s="2540"/>
      <c r="W101" s="2540"/>
      <c r="X101" s="2540"/>
      <c r="Y101" s="2540"/>
      <c r="Z101" s="2540"/>
      <c r="AA101" s="2540"/>
      <c r="AB101" s="2540"/>
      <c r="AC101" s="2540"/>
      <c r="AD101" s="2540"/>
      <c r="AE101" s="2540"/>
      <c r="AF101" s="2540"/>
      <c r="AG101" s="2540"/>
      <c r="AH101" s="2540"/>
      <c r="AI101" s="2540"/>
      <c r="AJ101" s="2541"/>
      <c r="AK101" s="1200"/>
      <c r="AL101" s="389"/>
      <c r="AM101" s="389"/>
      <c r="AN101" s="384"/>
    </row>
    <row r="102" spans="1:47" s="385" customFormat="1" ht="12.75" customHeight="1">
      <c r="A102" s="387"/>
      <c r="B102" s="388"/>
      <c r="C102" s="388"/>
      <c r="D102" s="388"/>
      <c r="E102" s="1218"/>
      <c r="F102" s="1219"/>
      <c r="G102" s="1219"/>
      <c r="H102" s="1219"/>
      <c r="I102" s="1219"/>
      <c r="J102" s="1219"/>
      <c r="K102" s="1219"/>
      <c r="L102" s="1219"/>
      <c r="M102" s="1219"/>
      <c r="N102" s="1219"/>
      <c r="O102" s="1219"/>
      <c r="P102" s="1219"/>
      <c r="Q102" s="1219"/>
      <c r="R102" s="1219"/>
      <c r="S102" s="1219"/>
      <c r="T102" s="1219"/>
      <c r="U102" s="1219"/>
      <c r="V102" s="1219"/>
      <c r="W102" s="1219"/>
      <c r="X102" s="1219"/>
      <c r="Y102" s="1219"/>
      <c r="Z102" s="1219"/>
      <c r="AA102" s="1219"/>
      <c r="AB102" s="1219"/>
      <c r="AC102" s="1219"/>
      <c r="AD102" s="1219"/>
      <c r="AE102" s="1219"/>
      <c r="AF102" s="1219"/>
      <c r="AG102" s="1219"/>
      <c r="AH102" s="1219"/>
      <c r="AI102" s="1219"/>
      <c r="AJ102" s="1220"/>
      <c r="AK102" s="1200"/>
      <c r="AL102" s="389"/>
      <c r="AM102" s="389"/>
      <c r="AN102" s="384"/>
    </row>
    <row r="103" spans="1:47" s="385" customFormat="1" ht="12.75" customHeight="1">
      <c r="A103" s="387"/>
      <c r="B103" s="388"/>
      <c r="C103" s="388"/>
      <c r="D103" s="388"/>
      <c r="E103" s="2532">
        <f>Application!AC753</f>
        <v>0.59999999999999987</v>
      </c>
      <c r="F103" s="2533"/>
      <c r="G103" s="2533"/>
      <c r="H103" s="2533"/>
      <c r="I103" s="422"/>
      <c r="J103" s="425" t="s">
        <v>2165</v>
      </c>
      <c r="K103" s="422"/>
      <c r="L103" s="422"/>
      <c r="M103" s="422"/>
      <c r="N103" s="422"/>
      <c r="O103" s="422"/>
      <c r="P103" s="422"/>
      <c r="Q103" s="422"/>
      <c r="R103" s="1219"/>
      <c r="S103" s="1219"/>
      <c r="T103" s="1219"/>
      <c r="U103" s="1219"/>
      <c r="V103" s="1219"/>
      <c r="W103" s="1219"/>
      <c r="X103" s="1219"/>
      <c r="Y103" s="1219"/>
      <c r="Z103" s="1219"/>
      <c r="AA103" s="1219"/>
      <c r="AB103" s="1219"/>
      <c r="AC103" s="1219"/>
      <c r="AD103" s="1219"/>
      <c r="AE103" s="1219"/>
      <c r="AF103" s="1219"/>
      <c r="AG103" s="1219"/>
      <c r="AH103" s="1219"/>
      <c r="AI103" s="1219"/>
      <c r="AJ103" s="1220"/>
      <c r="AK103" s="1200"/>
      <c r="AL103" s="389"/>
      <c r="AM103" s="389"/>
      <c r="AN103" s="384"/>
    </row>
    <row r="104" spans="1:47" s="385" customFormat="1" ht="12.75" customHeight="1">
      <c r="A104" s="387"/>
      <c r="B104" s="388"/>
      <c r="C104" s="388"/>
      <c r="D104" s="388"/>
      <c r="E104" s="2532">
        <f ca="1">SUMIF(Application!AC718:AG752,0.2,Application!G718:J752)/Application!G753+SUMIF(Application!AC718:AG752,0.25,Application!G718:J752)/Application!G753+SUMIF(Application!AC718:AG752,0.3,Application!G718:J752)/Application!G753</f>
        <v>0.1111111111111111</v>
      </c>
      <c r="F104" s="2533"/>
      <c r="G104" s="2533"/>
      <c r="H104" s="2533"/>
      <c r="I104" s="422"/>
      <c r="J104" s="425" t="s">
        <v>2169</v>
      </c>
      <c r="K104" s="422"/>
      <c r="L104" s="422"/>
      <c r="M104" s="422"/>
      <c r="N104" s="422"/>
      <c r="O104" s="422"/>
      <c r="P104" s="422"/>
      <c r="Q104" s="422"/>
      <c r="R104" s="1219"/>
      <c r="S104" s="1219"/>
      <c r="T104" s="1219"/>
      <c r="U104" s="1219"/>
      <c r="V104" s="1219"/>
      <c r="W104" s="1219"/>
      <c r="X104" s="1219"/>
      <c r="Y104" s="1219"/>
      <c r="Z104" s="1219"/>
      <c r="AA104" s="1219"/>
      <c r="AB104" s="1219"/>
      <c r="AC104" s="1219"/>
      <c r="AD104" s="1219"/>
      <c r="AE104" s="1219"/>
      <c r="AF104" s="1219"/>
      <c r="AG104" s="1219"/>
      <c r="AH104" s="1219"/>
      <c r="AI104" s="1219"/>
      <c r="AJ104" s="1220"/>
      <c r="AK104" s="1200"/>
      <c r="AL104" s="389"/>
      <c r="AM104" s="389"/>
      <c r="AN104" s="384"/>
      <c r="AU104" s="684"/>
    </row>
    <row r="105" spans="1:47" s="385" customFormat="1" ht="12.75" customHeight="1">
      <c r="A105" s="387"/>
      <c r="B105" s="388"/>
      <c r="C105" s="388"/>
      <c r="D105" s="388"/>
      <c r="E105" s="2532">
        <f ca="1">SUMIF(Application!AC718:AG752,0.35,Application!G718:J752)/Application!G753+SUMIF(Application!AC718:AG752,0.4,Application!G718:J752)/Application!G753+SUMIF(Application!AC718:AG752,0.45,Application!G718:J752)/Application!G753+SUMIF(Application!AC718:AG752,0.5,Application!G718:J752)/Application!G753</f>
        <v>0.1111111111111111</v>
      </c>
      <c r="F105" s="2533"/>
      <c r="G105" s="2533"/>
      <c r="H105" s="2533"/>
      <c r="I105" s="422"/>
      <c r="J105" s="425" t="s">
        <v>2170</v>
      </c>
      <c r="K105" s="422"/>
      <c r="L105" s="422"/>
      <c r="M105" s="422"/>
      <c r="N105" s="422"/>
      <c r="O105" s="422"/>
      <c r="P105" s="422"/>
      <c r="Q105" s="422"/>
      <c r="R105" s="1219"/>
      <c r="S105" s="1219"/>
      <c r="T105" s="1219"/>
      <c r="U105" s="1219"/>
      <c r="V105" s="1219"/>
      <c r="W105" s="1219"/>
      <c r="X105" s="1219"/>
      <c r="Y105" s="1219"/>
      <c r="Z105" s="1219"/>
      <c r="AA105" s="1219"/>
      <c r="AB105" s="1219"/>
      <c r="AC105" s="1219"/>
      <c r="AD105" s="1219"/>
      <c r="AE105" s="1219"/>
      <c r="AF105" s="1219"/>
      <c r="AG105" s="1219"/>
      <c r="AH105" s="1219"/>
      <c r="AI105" s="1219"/>
      <c r="AJ105" s="1220"/>
      <c r="AK105" s="1200"/>
      <c r="AL105" s="389"/>
      <c r="AM105" s="389"/>
      <c r="AN105" s="384"/>
      <c r="AU105" s="684"/>
    </row>
    <row r="106" spans="1:47" s="385" customFormat="1" ht="12.75" customHeight="1">
      <c r="A106" s="387"/>
      <c r="B106" s="388"/>
      <c r="C106" s="388"/>
      <c r="D106" s="388"/>
      <c r="E106" s="2530">
        <f ca="1">IF(AND(E103&lt;=0.6,OR(AND(E104&gt;=0.1,E105&gt;=0.1),AND(E104&gt;0.1,(E104+E105)&gt;=0.2))),20,0)</f>
        <v>20</v>
      </c>
      <c r="F106" s="2531"/>
      <c r="G106" s="2531"/>
      <c r="H106" s="2531"/>
      <c r="I106" s="1219"/>
      <c r="J106" s="431" t="s">
        <v>2167</v>
      </c>
      <c r="K106" s="1219"/>
      <c r="L106" s="1219"/>
      <c r="M106" s="1219"/>
      <c r="N106" s="1219"/>
      <c r="O106" s="1219"/>
      <c r="P106" s="1219"/>
      <c r="Q106" s="1219"/>
      <c r="R106" s="1219"/>
      <c r="S106" s="1219"/>
      <c r="T106" s="1219"/>
      <c r="U106" s="1219"/>
      <c r="V106" s="1219"/>
      <c r="W106" s="1219"/>
      <c r="X106" s="1219"/>
      <c r="Y106" s="1219"/>
      <c r="Z106" s="1219"/>
      <c r="AA106" s="1219"/>
      <c r="AB106" s="1219"/>
      <c r="AC106" s="1219"/>
      <c r="AD106" s="1219"/>
      <c r="AE106" s="1219"/>
      <c r="AF106" s="1219"/>
      <c r="AG106" s="1219"/>
      <c r="AH106" s="1219"/>
      <c r="AI106" s="1219"/>
      <c r="AJ106" s="1220"/>
      <c r="AK106" s="1200"/>
      <c r="AL106" s="389"/>
      <c r="AM106" s="389"/>
      <c r="AN106" s="384"/>
      <c r="AP106" s="385">
        <f ca="1">IF(B98="yes",E106,0)</f>
        <v>20</v>
      </c>
      <c r="AQ106" s="385" t="s">
        <v>2129</v>
      </c>
    </row>
    <row r="107" spans="1:47" s="385" customFormat="1" ht="12.75" customHeight="1">
      <c r="A107" s="387"/>
      <c r="B107" s="388"/>
      <c r="C107" s="388"/>
      <c r="D107" s="388"/>
      <c r="E107" s="427"/>
      <c r="F107" s="428"/>
      <c r="G107" s="428"/>
      <c r="H107" s="428"/>
      <c r="I107" s="428"/>
      <c r="J107" s="428"/>
      <c r="K107" s="428"/>
      <c r="L107" s="428"/>
      <c r="M107" s="428"/>
      <c r="N107" s="428"/>
      <c r="O107" s="428"/>
      <c r="P107" s="428"/>
      <c r="Q107" s="428"/>
      <c r="R107" s="428"/>
      <c r="S107" s="428"/>
      <c r="T107" s="428"/>
      <c r="U107" s="428"/>
      <c r="V107" s="428"/>
      <c r="W107" s="428"/>
      <c r="X107" s="428"/>
      <c r="Y107" s="428"/>
      <c r="Z107" s="428"/>
      <c r="AA107" s="428"/>
      <c r="AB107" s="428"/>
      <c r="AC107" s="428"/>
      <c r="AD107" s="428"/>
      <c r="AE107" s="429"/>
      <c r="AF107" s="429"/>
      <c r="AG107" s="429"/>
      <c r="AH107" s="429"/>
      <c r="AI107" s="429"/>
      <c r="AJ107" s="430"/>
      <c r="AK107" s="1200"/>
      <c r="AL107" s="389"/>
      <c r="AM107" s="389"/>
      <c r="AN107" s="384"/>
    </row>
    <row r="108" spans="1:47" s="385" customFormat="1" ht="12.75" customHeight="1">
      <c r="A108" s="387"/>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1200"/>
      <c r="AF108" s="1200"/>
      <c r="AG108" s="1200"/>
      <c r="AH108" s="1200"/>
      <c r="AI108" s="1200"/>
      <c r="AJ108" s="1200"/>
      <c r="AK108" s="1200"/>
      <c r="AL108" s="389"/>
      <c r="AM108" s="389"/>
      <c r="AN108" s="384"/>
    </row>
    <row r="109" spans="1:47" s="385" customFormat="1" ht="12.75" customHeight="1">
      <c r="A109" s="407"/>
      <c r="B109" s="408"/>
      <c r="C109" s="408"/>
      <c r="D109" s="408"/>
      <c r="E109" s="408"/>
      <c r="F109" s="408"/>
      <c r="G109" s="409"/>
      <c r="H109" s="410"/>
      <c r="I109" s="410"/>
      <c r="J109" s="410"/>
      <c r="K109" s="410"/>
      <c r="L109" s="410"/>
      <c r="M109" s="410"/>
      <c r="N109" s="410"/>
      <c r="O109" s="410"/>
      <c r="P109" s="410"/>
      <c r="Q109" s="410"/>
      <c r="R109" s="410"/>
      <c r="S109" s="410"/>
      <c r="T109" s="410"/>
      <c r="U109" s="410"/>
      <c r="V109" s="410"/>
      <c r="W109" s="410"/>
      <c r="X109" s="410"/>
      <c r="Y109" s="410"/>
      <c r="Z109" s="410"/>
      <c r="AA109" s="410"/>
      <c r="AB109" s="410"/>
      <c r="AC109" s="410"/>
      <c r="AD109" s="410"/>
      <c r="AE109" s="410"/>
      <c r="AF109" s="410"/>
      <c r="AG109" s="410"/>
      <c r="AH109" s="410"/>
      <c r="AI109" s="411"/>
      <c r="AJ109" s="411" t="s">
        <v>2171</v>
      </c>
      <c r="AK109" s="2517">
        <f ca="1">MAX(AP95,AP106)</f>
        <v>20</v>
      </c>
      <c r="AL109" s="2518"/>
      <c r="AM109" s="2519"/>
      <c r="AN109" s="384"/>
    </row>
    <row r="110" spans="1:47" s="385" customFormat="1" ht="12.75" customHeight="1" thickBot="1">
      <c r="A110" s="412"/>
      <c r="B110" s="413"/>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5"/>
      <c r="AN110" s="384"/>
    </row>
    <row r="111" spans="1:47" s="385" customFormat="1" ht="12.75" customHeight="1" thickTop="1">
      <c r="A111" s="416"/>
      <c r="B111" s="417"/>
      <c r="C111" s="418"/>
      <c r="D111" s="418"/>
      <c r="E111" s="418"/>
      <c r="F111" s="418"/>
      <c r="G111" s="418"/>
      <c r="H111" s="418"/>
      <c r="I111" s="1194"/>
      <c r="J111" s="1194"/>
      <c r="K111" s="1194"/>
      <c r="L111" s="1194"/>
      <c r="M111" s="1194"/>
      <c r="N111" s="1194"/>
      <c r="O111" s="1194"/>
      <c r="P111" s="1194"/>
      <c r="Q111" s="1194"/>
      <c r="R111" s="416"/>
      <c r="S111" s="388"/>
      <c r="T111" s="388"/>
      <c r="U111" s="388"/>
      <c r="V111" s="388"/>
      <c r="W111" s="388"/>
      <c r="X111" s="388"/>
      <c r="Y111" s="388"/>
      <c r="Z111" s="388"/>
      <c r="AA111" s="388"/>
      <c r="AB111" s="388"/>
      <c r="AC111" s="388"/>
      <c r="AD111" s="388"/>
      <c r="AE111" s="388"/>
      <c r="AF111" s="416"/>
      <c r="AG111" s="388"/>
      <c r="AH111" s="388"/>
      <c r="AI111" s="388"/>
      <c r="AJ111" s="388"/>
      <c r="AK111" s="398"/>
      <c r="AL111" s="398"/>
      <c r="AM111" s="398"/>
      <c r="AN111" s="384"/>
    </row>
    <row r="112" spans="1:47" s="385" customFormat="1" ht="12.75" customHeight="1">
      <c r="A112" s="387" t="s">
        <v>2172</v>
      </c>
      <c r="B112" s="388" t="s">
        <v>2173</v>
      </c>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2391" t="s">
        <v>2147</v>
      </c>
      <c r="AF112" s="2391"/>
      <c r="AG112" s="2391"/>
      <c r="AH112" s="2391"/>
      <c r="AI112" s="2391"/>
      <c r="AJ112" s="2391"/>
      <c r="AK112" s="2391"/>
      <c r="AL112" s="389"/>
      <c r="AM112" s="389"/>
      <c r="AN112" s="384"/>
      <c r="AO112" s="385" t="str">
        <f>Application!B718</f>
        <v>1 Bedroom</v>
      </c>
      <c r="AQ112" s="385">
        <f>Application!O718</f>
        <v>2578</v>
      </c>
    </row>
    <row r="113" spans="1:52" s="385" customFormat="1" ht="12.75" customHeight="1">
      <c r="A113" s="389"/>
      <c r="B113" s="388" t="s">
        <v>2163</v>
      </c>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1200"/>
      <c r="AF113" s="1200"/>
      <c r="AG113" s="1200"/>
      <c r="AH113" s="1200"/>
      <c r="AI113" s="1200"/>
      <c r="AJ113" s="1200"/>
      <c r="AK113" s="389"/>
      <c r="AL113" s="389"/>
      <c r="AM113" s="389"/>
      <c r="AN113" s="384"/>
      <c r="AO113" s="385" t="str">
        <f>Application!B719</f>
        <v>1 Bedroom</v>
      </c>
      <c r="AQ113" s="385">
        <f>Application!O719</f>
        <v>2201</v>
      </c>
    </row>
    <row r="114" spans="1:52" s="385" customFormat="1" ht="12.75" customHeight="1">
      <c r="A114" s="389"/>
      <c r="B114" s="388"/>
      <c r="C114" s="388"/>
      <c r="D114" s="388"/>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389"/>
      <c r="AL114" s="389"/>
      <c r="AM114" s="389"/>
      <c r="AN114" s="384"/>
      <c r="AO114" s="385" t="str">
        <f>Application!B720</f>
        <v>1 Bedroom</v>
      </c>
      <c r="AQ114" s="385">
        <f>Application!O720</f>
        <v>1825</v>
      </c>
    </row>
    <row r="115" spans="1:52" s="385" customFormat="1" ht="12.75" customHeight="1">
      <c r="A115" s="389"/>
      <c r="B115" s="2544" t="s">
        <v>694</v>
      </c>
      <c r="C115" s="2544"/>
      <c r="D115" s="395" t="s">
        <v>2149</v>
      </c>
      <c r="E115" s="2536" t="s">
        <v>2174</v>
      </c>
      <c r="F115" s="2537"/>
      <c r="G115" s="2537"/>
      <c r="H115" s="2537"/>
      <c r="I115" s="2537"/>
      <c r="J115" s="2537"/>
      <c r="K115" s="2537"/>
      <c r="L115" s="2537"/>
      <c r="M115" s="2537"/>
      <c r="N115" s="2537"/>
      <c r="O115" s="2537"/>
      <c r="P115" s="2537"/>
      <c r="Q115" s="2537"/>
      <c r="R115" s="2537"/>
      <c r="S115" s="2537"/>
      <c r="T115" s="2537"/>
      <c r="U115" s="2537"/>
      <c r="V115" s="2537"/>
      <c r="W115" s="2537"/>
      <c r="X115" s="2537"/>
      <c r="Y115" s="2537"/>
      <c r="Z115" s="2537"/>
      <c r="AA115" s="2537"/>
      <c r="AB115" s="2537"/>
      <c r="AC115" s="2537"/>
      <c r="AD115" s="2537"/>
      <c r="AE115" s="2537"/>
      <c r="AF115" s="2537"/>
      <c r="AG115" s="2537"/>
      <c r="AH115" s="2537"/>
      <c r="AI115" s="2537"/>
      <c r="AJ115" s="2538"/>
      <c r="AK115" s="389"/>
      <c r="AL115" s="389"/>
      <c r="AM115" s="389"/>
      <c r="AN115" s="384"/>
      <c r="AO115" s="385" t="str">
        <f>Application!B721</f>
        <v>1 Bedroom</v>
      </c>
      <c r="AQ115" s="385">
        <f>Application!O721</f>
        <v>1071</v>
      </c>
      <c r="AU115" s="385" t="s">
        <v>2175</v>
      </c>
      <c r="AV115" s="437" t="s">
        <v>1674</v>
      </c>
      <c r="AW115" s="385" t="s">
        <v>2176</v>
      </c>
    </row>
    <row r="116" spans="1:52" s="385" customFormat="1" ht="12.75" customHeight="1">
      <c r="A116" s="389"/>
      <c r="B116" s="388"/>
      <c r="C116" s="388"/>
      <c r="D116" s="388"/>
      <c r="E116" s="2539"/>
      <c r="F116" s="2540"/>
      <c r="G116" s="2540"/>
      <c r="H116" s="2540"/>
      <c r="I116" s="2540"/>
      <c r="J116" s="2540"/>
      <c r="K116" s="2540"/>
      <c r="L116" s="2540"/>
      <c r="M116" s="2540"/>
      <c r="N116" s="2540"/>
      <c r="O116" s="2540"/>
      <c r="P116" s="2540"/>
      <c r="Q116" s="2540"/>
      <c r="R116" s="2540"/>
      <c r="S116" s="2540"/>
      <c r="T116" s="2540"/>
      <c r="U116" s="2540"/>
      <c r="V116" s="2540"/>
      <c r="W116" s="2540"/>
      <c r="X116" s="2540"/>
      <c r="Y116" s="2540"/>
      <c r="Z116" s="2540"/>
      <c r="AA116" s="2540"/>
      <c r="AB116" s="2540"/>
      <c r="AC116" s="2540"/>
      <c r="AD116" s="2540"/>
      <c r="AE116" s="2540"/>
      <c r="AF116" s="2540"/>
      <c r="AG116" s="2540"/>
      <c r="AH116" s="2540"/>
      <c r="AI116" s="2540"/>
      <c r="AJ116" s="2541"/>
      <c r="AK116" s="389"/>
      <c r="AL116" s="389"/>
      <c r="AM116" s="389"/>
      <c r="AN116" s="384"/>
      <c r="AO116" s="385" t="str">
        <f>Application!B722</f>
        <v>2 Bedrooms</v>
      </c>
      <c r="AQ116" s="385">
        <f>Application!O722</f>
        <v>3085</v>
      </c>
      <c r="AU116" s="679" t="str">
        <f>E124</f>
        <v>Studio/SRO</v>
      </c>
      <c r="AV116" s="385">
        <f t="array" ref="AV116">SUM(IF(Application!B718:F752="SRO/Studio",Application!G718:J752))</f>
        <v>0</v>
      </c>
      <c r="AW116" s="802">
        <f>AV116/AV122</f>
        <v>0</v>
      </c>
    </row>
    <row r="117" spans="1:52" s="385" customFormat="1" ht="12.75" customHeight="1">
      <c r="A117" s="389"/>
      <c r="B117" s="388"/>
      <c r="C117" s="388"/>
      <c r="D117" s="388"/>
      <c r="E117" s="2539"/>
      <c r="F117" s="2540"/>
      <c r="G117" s="2540"/>
      <c r="H117" s="2540"/>
      <c r="I117" s="2540"/>
      <c r="J117" s="2540"/>
      <c r="K117" s="2540"/>
      <c r="L117" s="2540"/>
      <c r="M117" s="2540"/>
      <c r="N117" s="2540"/>
      <c r="O117" s="2540"/>
      <c r="P117" s="2540"/>
      <c r="Q117" s="2540"/>
      <c r="R117" s="2540"/>
      <c r="S117" s="2540"/>
      <c r="T117" s="2540"/>
      <c r="U117" s="2540"/>
      <c r="V117" s="2540"/>
      <c r="W117" s="2540"/>
      <c r="X117" s="2540"/>
      <c r="Y117" s="2540"/>
      <c r="Z117" s="2540"/>
      <c r="AA117" s="2540"/>
      <c r="AB117" s="2540"/>
      <c r="AC117" s="2540"/>
      <c r="AD117" s="2540"/>
      <c r="AE117" s="2540"/>
      <c r="AF117" s="2540"/>
      <c r="AG117" s="2540"/>
      <c r="AH117" s="2540"/>
      <c r="AI117" s="2540"/>
      <c r="AJ117" s="2541"/>
      <c r="AK117" s="389"/>
      <c r="AL117" s="389"/>
      <c r="AM117" s="389"/>
      <c r="AN117" s="384"/>
      <c r="AO117" s="385" t="str">
        <f>Application!B723</f>
        <v>2 Bedrooms</v>
      </c>
      <c r="AQ117" s="385">
        <f>Application!O723</f>
        <v>2633</v>
      </c>
      <c r="AU117" s="679" t="str">
        <f>J124</f>
        <v>1-bedroom</v>
      </c>
      <c r="AV117" s="385">
        <f t="array" ref="AV117">SUM(IF(Application!B718:F752="1 Bedroom",Application!G718:J752))</f>
        <v>36</v>
      </c>
      <c r="AW117" s="802">
        <f>AV117/AV122</f>
        <v>0.36363636363636365</v>
      </c>
    </row>
    <row r="118" spans="1:52" s="385" customFormat="1" ht="12.75" customHeight="1">
      <c r="A118" s="389"/>
      <c r="B118" s="388"/>
      <c r="C118" s="388"/>
      <c r="D118" s="388"/>
      <c r="E118" s="2539"/>
      <c r="F118" s="2540"/>
      <c r="G118" s="2540"/>
      <c r="H118" s="2540"/>
      <c r="I118" s="2540"/>
      <c r="J118" s="2540"/>
      <c r="K118" s="2540"/>
      <c r="L118" s="2540"/>
      <c r="M118" s="2540"/>
      <c r="N118" s="2540"/>
      <c r="O118" s="2540"/>
      <c r="P118" s="2540"/>
      <c r="Q118" s="2540"/>
      <c r="R118" s="2540"/>
      <c r="S118" s="2540"/>
      <c r="T118" s="2540"/>
      <c r="U118" s="2540"/>
      <c r="V118" s="2540"/>
      <c r="W118" s="2540"/>
      <c r="X118" s="2540"/>
      <c r="Y118" s="2540"/>
      <c r="Z118" s="2540"/>
      <c r="AA118" s="2540"/>
      <c r="AB118" s="2540"/>
      <c r="AC118" s="2540"/>
      <c r="AD118" s="2540"/>
      <c r="AE118" s="2540"/>
      <c r="AF118" s="2540"/>
      <c r="AG118" s="2540"/>
      <c r="AH118" s="2540"/>
      <c r="AI118" s="2540"/>
      <c r="AJ118" s="2541"/>
      <c r="AK118" s="389"/>
      <c r="AL118" s="389"/>
      <c r="AM118" s="389"/>
      <c r="AN118" s="384"/>
      <c r="AO118" s="385" t="str">
        <f>Application!B724</f>
        <v>2 Bedrooms</v>
      </c>
      <c r="AQ118" s="385">
        <f>Application!O724</f>
        <v>2181</v>
      </c>
      <c r="AU118" s="679" t="str">
        <f>O124</f>
        <v>2-bedroom</v>
      </c>
      <c r="AV118" s="385">
        <f t="array" ref="AV118">SUM(IF(Application!B718:F752="2 Bedrooms",Application!G718:J752))</f>
        <v>28</v>
      </c>
      <c r="AW118" s="802">
        <f>AV118/AV122</f>
        <v>0.28282828282828282</v>
      </c>
    </row>
    <row r="119" spans="1:52" s="385" customFormat="1" ht="12.75" customHeight="1">
      <c r="A119" s="389"/>
      <c r="B119" s="388"/>
      <c r="C119" s="388"/>
      <c r="D119" s="388"/>
      <c r="E119" s="2539"/>
      <c r="F119" s="2540"/>
      <c r="G119" s="2540"/>
      <c r="H119" s="2540"/>
      <c r="I119" s="2540"/>
      <c r="J119" s="2540"/>
      <c r="K119" s="2540"/>
      <c r="L119" s="2540"/>
      <c r="M119" s="2540"/>
      <c r="N119" s="2540"/>
      <c r="O119" s="2540"/>
      <c r="P119" s="2540"/>
      <c r="Q119" s="2540"/>
      <c r="R119" s="2540"/>
      <c r="S119" s="2540"/>
      <c r="T119" s="2540"/>
      <c r="U119" s="2540"/>
      <c r="V119" s="2540"/>
      <c r="W119" s="2540"/>
      <c r="X119" s="2540"/>
      <c r="Y119" s="2540"/>
      <c r="Z119" s="2540"/>
      <c r="AA119" s="2540"/>
      <c r="AB119" s="2540"/>
      <c r="AC119" s="2540"/>
      <c r="AD119" s="2540"/>
      <c r="AE119" s="2540"/>
      <c r="AF119" s="2540"/>
      <c r="AG119" s="2540"/>
      <c r="AH119" s="2540"/>
      <c r="AI119" s="2540"/>
      <c r="AJ119" s="2541"/>
      <c r="AK119" s="389"/>
      <c r="AL119" s="389"/>
      <c r="AM119" s="389"/>
      <c r="AN119" s="384"/>
      <c r="AO119" s="385" t="str">
        <f>Application!B725</f>
        <v>2 Bedrooms</v>
      </c>
      <c r="AQ119" s="385">
        <f>Application!O725</f>
        <v>1276</v>
      </c>
      <c r="AU119" s="679" t="str">
        <f>T124</f>
        <v>3-bedroom</v>
      </c>
      <c r="AV119" s="385">
        <f t="array" ref="AV119">SUM(IF(Application!B718:F752="3 Bedrooms",Application!G718:J752))</f>
        <v>35</v>
      </c>
      <c r="AW119" s="802">
        <f>AV119/AV122</f>
        <v>0.35353535353535354</v>
      </c>
    </row>
    <row r="120" spans="1:52" s="385" customFormat="1" ht="12.75" customHeight="1">
      <c r="A120" s="389"/>
      <c r="B120" s="388"/>
      <c r="C120" s="388"/>
      <c r="D120" s="388"/>
      <c r="E120" s="2539"/>
      <c r="F120" s="2540"/>
      <c r="G120" s="2540"/>
      <c r="H120" s="2540"/>
      <c r="I120" s="2540"/>
      <c r="J120" s="2540"/>
      <c r="K120" s="2540"/>
      <c r="L120" s="2540"/>
      <c r="M120" s="2540"/>
      <c r="N120" s="2540"/>
      <c r="O120" s="2540"/>
      <c r="P120" s="2540"/>
      <c r="Q120" s="2540"/>
      <c r="R120" s="2540"/>
      <c r="S120" s="2540"/>
      <c r="T120" s="2540"/>
      <c r="U120" s="2540"/>
      <c r="V120" s="2540"/>
      <c r="W120" s="2540"/>
      <c r="X120" s="2540"/>
      <c r="Y120" s="2540"/>
      <c r="Z120" s="2540"/>
      <c r="AA120" s="2540"/>
      <c r="AB120" s="2540"/>
      <c r="AC120" s="2540"/>
      <c r="AD120" s="2540"/>
      <c r="AE120" s="2540"/>
      <c r="AF120" s="2540"/>
      <c r="AG120" s="2540"/>
      <c r="AH120" s="2540"/>
      <c r="AI120" s="2540"/>
      <c r="AJ120" s="2541"/>
      <c r="AK120" s="389"/>
      <c r="AL120" s="389"/>
      <c r="AM120" s="389"/>
      <c r="AN120" s="384"/>
      <c r="AO120" s="385" t="str">
        <f>Application!B726</f>
        <v>3 Bedrooms</v>
      </c>
      <c r="AQ120" s="385">
        <f>Application!O726</f>
        <v>3552</v>
      </c>
      <c r="AU120" s="679" t="str">
        <f>Y124</f>
        <v>4-bedroom</v>
      </c>
      <c r="AV120" s="385">
        <f t="array" ref="AV120">SUM(IF(Application!B718:F752="4 Bedrooms",Application!G718:J752))</f>
        <v>0</v>
      </c>
      <c r="AW120" s="802">
        <f>AV120/AV122</f>
        <v>0</v>
      </c>
    </row>
    <row r="121" spans="1:52" s="385" customFormat="1" ht="12.75" customHeight="1">
      <c r="A121" s="389"/>
      <c r="B121" s="388"/>
      <c r="C121" s="388"/>
      <c r="D121" s="388"/>
      <c r="E121" s="2539"/>
      <c r="F121" s="2540"/>
      <c r="G121" s="2540"/>
      <c r="H121" s="2540"/>
      <c r="I121" s="2540"/>
      <c r="J121" s="2540"/>
      <c r="K121" s="2540"/>
      <c r="L121" s="2540"/>
      <c r="M121" s="2540"/>
      <c r="N121" s="2540"/>
      <c r="O121" s="2540"/>
      <c r="P121" s="2540"/>
      <c r="Q121" s="2540"/>
      <c r="R121" s="2540"/>
      <c r="S121" s="2540"/>
      <c r="T121" s="2540"/>
      <c r="U121" s="2540"/>
      <c r="V121" s="2540"/>
      <c r="W121" s="2540"/>
      <c r="X121" s="2540"/>
      <c r="Y121" s="2540"/>
      <c r="Z121" s="2540"/>
      <c r="AA121" s="2540"/>
      <c r="AB121" s="2540"/>
      <c r="AC121" s="2540"/>
      <c r="AD121" s="2540"/>
      <c r="AE121" s="2540"/>
      <c r="AF121" s="2540"/>
      <c r="AG121" s="2540"/>
      <c r="AH121" s="2540"/>
      <c r="AI121" s="2540"/>
      <c r="AJ121" s="2541"/>
      <c r="AK121" s="389"/>
      <c r="AL121" s="389"/>
      <c r="AM121" s="389"/>
      <c r="AN121" s="384"/>
      <c r="AO121" s="385" t="str">
        <f>Application!B727</f>
        <v>3 Bedrooms</v>
      </c>
      <c r="AQ121" s="385">
        <f>Application!O727</f>
        <v>3030</v>
      </c>
      <c r="AU121" s="679" t="str">
        <f>AD124</f>
        <v>5-bedroom</v>
      </c>
      <c r="AV121" s="385">
        <f t="array" ref="AV121">SUM(IF(Application!B718:F752="5 Bedrooms",Application!G718:J752))</f>
        <v>0</v>
      </c>
      <c r="AW121" s="802">
        <f>AV121/AV122</f>
        <v>0</v>
      </c>
    </row>
    <row r="122" spans="1:52" s="385" customFormat="1" ht="12.75" customHeight="1">
      <c r="A122" s="389"/>
      <c r="B122" s="388"/>
      <c r="C122" s="388"/>
      <c r="D122" s="388"/>
      <c r="E122" s="2539"/>
      <c r="F122" s="2540"/>
      <c r="G122" s="2540"/>
      <c r="H122" s="2540"/>
      <c r="I122" s="2540"/>
      <c r="J122" s="2540"/>
      <c r="K122" s="2540"/>
      <c r="L122" s="2540"/>
      <c r="M122" s="2540"/>
      <c r="N122" s="2540"/>
      <c r="O122" s="2540"/>
      <c r="P122" s="2540"/>
      <c r="Q122" s="2540"/>
      <c r="R122" s="2540"/>
      <c r="S122" s="2540"/>
      <c r="T122" s="2540"/>
      <c r="U122" s="2540"/>
      <c r="V122" s="2540"/>
      <c r="W122" s="2540"/>
      <c r="X122" s="2540"/>
      <c r="Y122" s="2540"/>
      <c r="Z122" s="2540"/>
      <c r="AA122" s="2540"/>
      <c r="AB122" s="2540"/>
      <c r="AC122" s="2540"/>
      <c r="AD122" s="2540"/>
      <c r="AE122" s="2540"/>
      <c r="AF122" s="2540"/>
      <c r="AG122" s="2540"/>
      <c r="AH122" s="2540"/>
      <c r="AI122" s="2540"/>
      <c r="AJ122" s="2541"/>
      <c r="AK122" s="389"/>
      <c r="AL122" s="389"/>
      <c r="AM122" s="389"/>
      <c r="AN122" s="384"/>
      <c r="AO122" s="385" t="str">
        <f>Application!B728</f>
        <v>3 Bedrooms</v>
      </c>
      <c r="AQ122" s="385">
        <f>Application!O728</f>
        <v>2508</v>
      </c>
      <c r="AV122" s="385">
        <f>SUM(AV116:AV121)</f>
        <v>99</v>
      </c>
      <c r="AW122" s="802">
        <f>SUM(AW116:AW121)</f>
        <v>1</v>
      </c>
    </row>
    <row r="123" spans="1:52" s="385" customFormat="1" ht="12.75" customHeight="1">
      <c r="A123" s="389"/>
      <c r="B123" s="388"/>
      <c r="C123" s="388"/>
      <c r="D123" s="388"/>
      <c r="E123" s="1218"/>
      <c r="F123" s="1219"/>
      <c r="G123" s="1219"/>
      <c r="H123" s="1219"/>
      <c r="I123" s="1219"/>
      <c r="J123" s="1219"/>
      <c r="K123" s="1219"/>
      <c r="L123" s="1219"/>
      <c r="M123" s="1219"/>
      <c r="N123" s="1219"/>
      <c r="O123" s="1219"/>
      <c r="P123" s="1219"/>
      <c r="Q123" s="1219"/>
      <c r="R123" s="1219"/>
      <c r="S123" s="1219"/>
      <c r="T123" s="1219"/>
      <c r="U123" s="1219"/>
      <c r="V123" s="1219"/>
      <c r="W123" s="1219"/>
      <c r="X123" s="1219"/>
      <c r="Y123" s="1219"/>
      <c r="Z123" s="1219"/>
      <c r="AA123" s="1219"/>
      <c r="AB123" s="1219"/>
      <c r="AC123" s="1219"/>
      <c r="AD123" s="1219"/>
      <c r="AE123" s="1219"/>
      <c r="AF123" s="1219"/>
      <c r="AG123" s="1219"/>
      <c r="AH123" s="1219"/>
      <c r="AI123" s="1219"/>
      <c r="AJ123" s="1220"/>
      <c r="AK123" s="389"/>
      <c r="AL123" s="389"/>
      <c r="AM123" s="389"/>
      <c r="AN123" s="384"/>
      <c r="AO123" s="385" t="str">
        <f>Application!B729</f>
        <v>3 Bedrooms</v>
      </c>
      <c r="AQ123" s="385">
        <f>Application!O729</f>
        <v>1463</v>
      </c>
    </row>
    <row r="124" spans="1:52" s="385" customFormat="1" ht="12.75" customHeight="1">
      <c r="A124" s="389"/>
      <c r="B124" s="388"/>
      <c r="C124" s="389"/>
      <c r="D124" s="389"/>
      <c r="E124" s="2532" t="s">
        <v>2177</v>
      </c>
      <c r="F124" s="2533"/>
      <c r="G124" s="2533"/>
      <c r="H124" s="2533"/>
      <c r="I124" s="422"/>
      <c r="J124" s="2533" t="s">
        <v>2178</v>
      </c>
      <c r="K124" s="2533"/>
      <c r="L124" s="2533"/>
      <c r="M124" s="2533"/>
      <c r="N124" s="422"/>
      <c r="O124" s="2533" t="s">
        <v>2179</v>
      </c>
      <c r="P124" s="2533"/>
      <c r="Q124" s="2533"/>
      <c r="R124" s="2533"/>
      <c r="S124" s="422"/>
      <c r="T124" s="2533" t="s">
        <v>2180</v>
      </c>
      <c r="U124" s="2533"/>
      <c r="V124" s="2533"/>
      <c r="W124" s="2533"/>
      <c r="X124" s="422"/>
      <c r="Y124" s="2533" t="s">
        <v>2181</v>
      </c>
      <c r="Z124" s="2533"/>
      <c r="AA124" s="2533"/>
      <c r="AB124" s="2533"/>
      <c r="AC124" s="422"/>
      <c r="AD124" s="2533" t="s">
        <v>2182</v>
      </c>
      <c r="AE124" s="2533"/>
      <c r="AF124" s="2533"/>
      <c r="AG124" s="2533"/>
      <c r="AH124" s="422"/>
      <c r="AI124" s="422"/>
      <c r="AJ124" s="424"/>
      <c r="AK124" s="389"/>
      <c r="AL124" s="389"/>
      <c r="AM124" s="389"/>
      <c r="AN124" s="384"/>
      <c r="AO124" s="385">
        <f>Application!B730</f>
        <v>0</v>
      </c>
      <c r="AQ124" s="385">
        <f>Application!O730</f>
        <v>0</v>
      </c>
    </row>
    <row r="125" spans="1:52" s="385" customFormat="1" ht="12.75" customHeight="1">
      <c r="A125" s="389"/>
      <c r="B125" s="388"/>
      <c r="C125" s="389"/>
      <c r="D125" s="389"/>
      <c r="E125" s="687"/>
      <c r="F125" s="685"/>
      <c r="G125" s="685"/>
      <c r="H125" s="685"/>
      <c r="I125" s="422"/>
      <c r="J125" s="685"/>
      <c r="K125" s="685"/>
      <c r="L125" s="685"/>
      <c r="M125" s="685"/>
      <c r="N125" s="422"/>
      <c r="O125" s="685"/>
      <c r="P125" s="685"/>
      <c r="Q125" s="685"/>
      <c r="R125" s="685"/>
      <c r="S125" s="422"/>
      <c r="T125" s="685"/>
      <c r="U125" s="685"/>
      <c r="V125" s="685"/>
      <c r="W125" s="685"/>
      <c r="X125" s="422"/>
      <c r="Y125" s="685"/>
      <c r="Z125" s="685"/>
      <c r="AA125" s="685"/>
      <c r="AB125" s="685"/>
      <c r="AC125" s="422"/>
      <c r="AD125" s="685"/>
      <c r="AE125" s="685"/>
      <c r="AF125" s="685"/>
      <c r="AG125" s="685"/>
      <c r="AH125" s="422"/>
      <c r="AI125" s="422"/>
      <c r="AJ125" s="424"/>
      <c r="AK125" s="389"/>
      <c r="AL125" s="389"/>
      <c r="AM125" s="389"/>
      <c r="AN125" s="384"/>
      <c r="AO125" s="385">
        <f>Application!B731</f>
        <v>0</v>
      </c>
      <c r="AQ125" s="385">
        <f>Application!O731</f>
        <v>0</v>
      </c>
    </row>
    <row r="126" spans="1:52" s="385" customFormat="1" ht="12.75" customHeight="1">
      <c r="A126" s="389"/>
      <c r="B126" s="388"/>
      <c r="C126" s="389"/>
      <c r="D126" s="389"/>
      <c r="E126" s="688" t="s">
        <v>2183</v>
      </c>
      <c r="F126" s="685"/>
      <c r="G126" s="685"/>
      <c r="H126" s="685"/>
      <c r="I126" s="422"/>
      <c r="J126" s="685"/>
      <c r="K126" s="685"/>
      <c r="L126" s="685"/>
      <c r="M126" s="685"/>
      <c r="N126" s="422"/>
      <c r="O126" s="685"/>
      <c r="P126" s="685"/>
      <c r="Q126" s="685"/>
      <c r="R126" s="685"/>
      <c r="S126" s="422"/>
      <c r="T126" s="685"/>
      <c r="U126" s="685"/>
      <c r="V126" s="685"/>
      <c r="W126" s="685"/>
      <c r="X126" s="422"/>
      <c r="Y126" s="685"/>
      <c r="Z126" s="685"/>
      <c r="AA126" s="685"/>
      <c r="AB126" s="685"/>
      <c r="AC126" s="422"/>
      <c r="AD126" s="685"/>
      <c r="AE126" s="685"/>
      <c r="AF126" s="685"/>
      <c r="AG126" s="685"/>
      <c r="AH126" s="422"/>
      <c r="AI126" s="422"/>
      <c r="AJ126" s="424"/>
      <c r="AK126" s="389"/>
      <c r="AL126" s="389"/>
      <c r="AM126" s="389"/>
      <c r="AN126" s="384"/>
      <c r="AO126" s="385">
        <f>Application!B732</f>
        <v>0</v>
      </c>
      <c r="AQ126" s="385">
        <f>Application!O732</f>
        <v>0</v>
      </c>
    </row>
    <row r="127" spans="1:52" s="385" customFormat="1" ht="12.75" customHeight="1">
      <c r="A127" s="389"/>
      <c r="B127" s="388"/>
      <c r="C127" s="389"/>
      <c r="D127" s="389"/>
      <c r="E127" s="2534"/>
      <c r="F127" s="2535"/>
      <c r="G127" s="2535"/>
      <c r="H127" s="2535"/>
      <c r="I127" s="686"/>
      <c r="J127" s="2535">
        <v>3471</v>
      </c>
      <c r="K127" s="2535"/>
      <c r="L127" s="2535"/>
      <c r="M127" s="2535"/>
      <c r="N127" s="686"/>
      <c r="O127" s="2535">
        <v>4878</v>
      </c>
      <c r="P127" s="2535"/>
      <c r="Q127" s="2535"/>
      <c r="R127" s="2535"/>
      <c r="S127" s="686"/>
      <c r="T127" s="2535">
        <v>7765</v>
      </c>
      <c r="U127" s="2535"/>
      <c r="V127" s="2535"/>
      <c r="W127" s="2535"/>
      <c r="X127" s="686"/>
      <c r="Y127" s="2535"/>
      <c r="Z127" s="2535"/>
      <c r="AA127" s="2535"/>
      <c r="AB127" s="2535"/>
      <c r="AC127" s="686"/>
      <c r="AD127" s="2535"/>
      <c r="AE127" s="2535"/>
      <c r="AF127" s="2535"/>
      <c r="AG127" s="2535"/>
      <c r="AH127" s="422"/>
      <c r="AI127" s="422"/>
      <c r="AJ127" s="424"/>
      <c r="AK127" s="389"/>
      <c r="AL127" s="389"/>
      <c r="AM127" s="389"/>
      <c r="AN127" s="384"/>
      <c r="AO127" s="385">
        <f>Application!B733</f>
        <v>0</v>
      </c>
      <c r="AQ127" s="385">
        <f>Application!O733</f>
        <v>0</v>
      </c>
    </row>
    <row r="128" spans="1:52" s="385" customFormat="1" ht="12.75" customHeight="1">
      <c r="A128" s="389"/>
      <c r="B128" s="388"/>
      <c r="C128" s="389"/>
      <c r="D128" s="389"/>
      <c r="E128" s="687"/>
      <c r="F128" s="685"/>
      <c r="G128" s="685"/>
      <c r="H128" s="685"/>
      <c r="I128" s="422"/>
      <c r="J128" s="685"/>
      <c r="K128" s="685"/>
      <c r="L128" s="685"/>
      <c r="M128" s="685"/>
      <c r="N128" s="422"/>
      <c r="O128" s="685"/>
      <c r="P128" s="685"/>
      <c r="Q128" s="685"/>
      <c r="R128" s="685"/>
      <c r="S128" s="422"/>
      <c r="T128" s="685"/>
      <c r="U128" s="685"/>
      <c r="V128" s="685"/>
      <c r="W128" s="685"/>
      <c r="X128" s="422"/>
      <c r="Y128" s="685"/>
      <c r="Z128" s="685"/>
      <c r="AA128" s="685"/>
      <c r="AB128" s="685"/>
      <c r="AC128" s="422"/>
      <c r="AD128" s="685"/>
      <c r="AE128" s="685"/>
      <c r="AF128" s="685"/>
      <c r="AG128" s="685"/>
      <c r="AH128" s="422"/>
      <c r="AI128" s="422"/>
      <c r="AJ128" s="424"/>
      <c r="AK128" s="389"/>
      <c r="AL128" s="389"/>
      <c r="AM128" s="389"/>
      <c r="AN128" s="384"/>
      <c r="AO128" s="385">
        <f>Application!B734</f>
        <v>0</v>
      </c>
      <c r="AQ128" s="385">
        <f>Application!O734</f>
        <v>0</v>
      </c>
      <c r="AU128" s="800"/>
      <c r="AV128" s="800"/>
      <c r="AW128" s="800"/>
      <c r="AX128" s="800"/>
      <c r="AY128" s="800"/>
      <c r="AZ128" s="800"/>
    </row>
    <row r="129" spans="1:52" s="385" customFormat="1" ht="12.75" customHeight="1">
      <c r="A129" s="389"/>
      <c r="B129" s="388"/>
      <c r="C129" s="389"/>
      <c r="D129" s="389"/>
      <c r="E129" s="688" t="s">
        <v>2184</v>
      </c>
      <c r="F129" s="685"/>
      <c r="G129" s="685"/>
      <c r="H129" s="685"/>
      <c r="I129" s="422"/>
      <c r="J129" s="685"/>
      <c r="K129" s="685"/>
      <c r="L129" s="685"/>
      <c r="M129" s="685"/>
      <c r="N129" s="422"/>
      <c r="O129" s="685"/>
      <c r="P129" s="685"/>
      <c r="Q129" s="685"/>
      <c r="R129" s="685"/>
      <c r="S129" s="422"/>
      <c r="T129" s="685"/>
      <c r="U129" s="685"/>
      <c r="V129" s="685"/>
      <c r="W129" s="685"/>
      <c r="X129" s="422"/>
      <c r="Y129" s="685"/>
      <c r="Z129" s="685"/>
      <c r="AA129" s="685"/>
      <c r="AB129" s="685"/>
      <c r="AC129" s="422"/>
      <c r="AD129" s="685"/>
      <c r="AE129" s="685"/>
      <c r="AF129" s="685"/>
      <c r="AG129" s="685"/>
      <c r="AH129" s="422"/>
      <c r="AI129" s="422"/>
      <c r="AJ129" s="424"/>
      <c r="AK129" s="389"/>
      <c r="AL129" s="389"/>
      <c r="AM129" s="389"/>
      <c r="AN129" s="384"/>
      <c r="AO129" s="385">
        <f>Application!B735</f>
        <v>0</v>
      </c>
      <c r="AQ129" s="385">
        <f>Application!O735</f>
        <v>0</v>
      </c>
      <c r="AU129" s="800"/>
      <c r="AV129" s="800"/>
      <c r="AW129" s="800"/>
      <c r="AX129" s="800"/>
      <c r="AY129" s="800"/>
      <c r="AZ129" s="800"/>
    </row>
    <row r="130" spans="1:52" s="385" customFormat="1" ht="12.75" customHeight="1">
      <c r="A130" s="389"/>
      <c r="B130" s="388"/>
      <c r="C130" s="389"/>
      <c r="D130" s="389"/>
      <c r="E130" s="2542">
        <f>Application!DX670</f>
        <v>0</v>
      </c>
      <c r="F130" s="2543"/>
      <c r="G130" s="2543"/>
      <c r="H130" s="2543"/>
      <c r="I130" s="686"/>
      <c r="J130" s="2543">
        <f>Application!EC670</f>
        <v>2201.2222222222222</v>
      </c>
      <c r="K130" s="2543"/>
      <c r="L130" s="2543"/>
      <c r="M130" s="2543"/>
      <c r="N130" s="686"/>
      <c r="O130" s="2543">
        <f>Application!EH670</f>
        <v>2632.8928571428573</v>
      </c>
      <c r="P130" s="2543"/>
      <c r="Q130" s="2543"/>
      <c r="R130" s="2543"/>
      <c r="S130" s="690"/>
      <c r="T130" s="2543">
        <f>Application!EM670</f>
        <v>3029.8857142857141</v>
      </c>
      <c r="U130" s="2543"/>
      <c r="V130" s="2543"/>
      <c r="W130" s="2543"/>
      <c r="X130" s="690"/>
      <c r="Y130" s="2543">
        <f>Application!ER670</f>
        <v>0</v>
      </c>
      <c r="Z130" s="2543"/>
      <c r="AA130" s="2543"/>
      <c r="AB130" s="2543"/>
      <c r="AC130" s="690"/>
      <c r="AD130" s="2543">
        <f>Application!EW670</f>
        <v>0</v>
      </c>
      <c r="AE130" s="2543"/>
      <c r="AF130" s="2543"/>
      <c r="AG130" s="2543"/>
      <c r="AH130" s="422"/>
      <c r="AI130" s="422"/>
      <c r="AJ130" s="424"/>
      <c r="AK130" s="389"/>
      <c r="AL130" s="389"/>
      <c r="AM130" s="389"/>
      <c r="AN130" s="384"/>
      <c r="AO130" s="385">
        <f>Application!B736</f>
        <v>0</v>
      </c>
      <c r="AQ130" s="385">
        <f>Application!O736</f>
        <v>0</v>
      </c>
      <c r="AU130" s="800"/>
      <c r="AV130" s="800"/>
      <c r="AW130" s="801"/>
      <c r="AX130" s="801"/>
      <c r="AY130" s="800"/>
      <c r="AZ130" s="800"/>
    </row>
    <row r="131" spans="1:52" s="385" customFormat="1" ht="12.75" customHeight="1">
      <c r="A131" s="389"/>
      <c r="B131" s="388"/>
      <c r="C131" s="389"/>
      <c r="D131" s="389"/>
      <c r="E131" s="689"/>
      <c r="F131" s="685"/>
      <c r="G131" s="685"/>
      <c r="H131" s="685"/>
      <c r="I131" s="422"/>
      <c r="J131" s="425"/>
      <c r="K131" s="422"/>
      <c r="L131" s="422"/>
      <c r="M131" s="422"/>
      <c r="N131" s="422"/>
      <c r="O131" s="422"/>
      <c r="P131" s="422"/>
      <c r="Q131" s="422"/>
      <c r="R131" s="422"/>
      <c r="S131" s="422"/>
      <c r="T131" s="422"/>
      <c r="U131" s="422"/>
      <c r="V131" s="422"/>
      <c r="W131" s="422"/>
      <c r="X131" s="422"/>
      <c r="Y131" s="422"/>
      <c r="Z131" s="422"/>
      <c r="AA131" s="422"/>
      <c r="AB131" s="422"/>
      <c r="AC131" s="422"/>
      <c r="AD131" s="422"/>
      <c r="AE131" s="422"/>
      <c r="AF131" s="422"/>
      <c r="AG131" s="422"/>
      <c r="AH131" s="422"/>
      <c r="AI131" s="422"/>
      <c r="AJ131" s="424"/>
      <c r="AK131" s="389"/>
      <c r="AL131" s="389"/>
      <c r="AM131" s="389"/>
      <c r="AN131" s="384"/>
      <c r="AO131" s="385">
        <f>Application!B737</f>
        <v>0</v>
      </c>
      <c r="AQ131" s="385">
        <f>Application!O737</f>
        <v>0</v>
      </c>
      <c r="AU131" s="800"/>
      <c r="AV131" s="800"/>
      <c r="AW131" s="801"/>
      <c r="AX131" s="801"/>
      <c r="AY131" s="800"/>
      <c r="AZ131" s="800"/>
    </row>
    <row r="132" spans="1:52" s="385" customFormat="1" ht="12.75" customHeight="1">
      <c r="A132" s="389"/>
      <c r="B132" s="388"/>
      <c r="C132" s="389"/>
      <c r="D132" s="389"/>
      <c r="E132" s="688" t="s">
        <v>2185</v>
      </c>
      <c r="F132" s="685"/>
      <c r="G132" s="685"/>
      <c r="H132" s="685"/>
      <c r="I132" s="422"/>
      <c r="J132" s="425"/>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4"/>
      <c r="AK132" s="389"/>
      <c r="AL132" s="389"/>
      <c r="AM132" s="389"/>
      <c r="AN132" s="384"/>
      <c r="AO132" s="385">
        <f>Application!B738</f>
        <v>0</v>
      </c>
      <c r="AQ132" s="385">
        <f>Application!O738</f>
        <v>0</v>
      </c>
      <c r="AU132" s="800"/>
      <c r="AV132" s="800"/>
      <c r="AW132" s="801"/>
      <c r="AX132" s="801"/>
      <c r="AY132" s="800"/>
      <c r="AZ132" s="800"/>
    </row>
    <row r="133" spans="1:52" s="385" customFormat="1" ht="12.75" customHeight="1">
      <c r="A133" s="389"/>
      <c r="B133" s="388"/>
      <c r="C133" s="389"/>
      <c r="D133" s="389"/>
      <c r="E133" s="2337" t="e">
        <f>(E127-E130)/E127</f>
        <v>#DIV/0!</v>
      </c>
      <c r="F133" s="2338"/>
      <c r="G133" s="2338"/>
      <c r="H133" s="2339"/>
      <c r="I133" s="422"/>
      <c r="J133" s="2337">
        <f>(J127-J130)/J127</f>
        <v>0.36582477031915234</v>
      </c>
      <c r="K133" s="2338"/>
      <c r="L133" s="2338"/>
      <c r="M133" s="2339"/>
      <c r="N133" s="422"/>
      <c r="O133" s="2337">
        <f>(O127-O130)/O127</f>
        <v>0.46025156680138224</v>
      </c>
      <c r="P133" s="2338"/>
      <c r="Q133" s="2338"/>
      <c r="R133" s="2339"/>
      <c r="S133" s="422"/>
      <c r="T133" s="2337">
        <f>(T127-T130)/T127</f>
        <v>0.60980222610615398</v>
      </c>
      <c r="U133" s="2338"/>
      <c r="V133" s="2338"/>
      <c r="W133" s="2339"/>
      <c r="X133" s="422"/>
      <c r="Y133" s="2337" t="e">
        <f>(Y127-Y130)/Y127</f>
        <v>#DIV/0!</v>
      </c>
      <c r="Z133" s="2338"/>
      <c r="AA133" s="2338"/>
      <c r="AB133" s="2339"/>
      <c r="AC133" s="422"/>
      <c r="AD133" s="2337" t="e">
        <f>(AD127-AD130)/AD127</f>
        <v>#DIV/0!</v>
      </c>
      <c r="AE133" s="2338"/>
      <c r="AF133" s="2338"/>
      <c r="AG133" s="2339"/>
      <c r="AH133" s="422"/>
      <c r="AI133" s="422"/>
      <c r="AJ133" s="424"/>
      <c r="AK133" s="389"/>
      <c r="AL133" s="389"/>
      <c r="AM133" s="389"/>
      <c r="AN133" s="384"/>
      <c r="AO133" s="385">
        <f>Application!B739</f>
        <v>0</v>
      </c>
      <c r="AQ133" s="385">
        <f>Application!O739</f>
        <v>0</v>
      </c>
      <c r="AU133" s="800"/>
      <c r="AV133" s="800"/>
      <c r="AW133" s="801"/>
      <c r="AX133" s="801"/>
      <c r="AY133" s="800"/>
      <c r="AZ133" s="800"/>
    </row>
    <row r="134" spans="1:52" s="385" customFormat="1" ht="12.75" customHeight="1">
      <c r="A134" s="389"/>
      <c r="B134" s="388"/>
      <c r="C134" s="389"/>
      <c r="D134" s="389"/>
      <c r="E134" s="798"/>
      <c r="F134" s="797"/>
      <c r="G134" s="797"/>
      <c r="H134" s="797"/>
      <c r="I134" s="422"/>
      <c r="J134" s="797"/>
      <c r="K134" s="797"/>
      <c r="L134" s="797"/>
      <c r="M134" s="797"/>
      <c r="N134" s="422"/>
      <c r="O134" s="797"/>
      <c r="P134" s="797"/>
      <c r="Q134" s="797"/>
      <c r="R134" s="797"/>
      <c r="S134" s="422"/>
      <c r="T134" s="797"/>
      <c r="U134" s="797"/>
      <c r="V134" s="797"/>
      <c r="W134" s="797"/>
      <c r="X134" s="422"/>
      <c r="Y134" s="797"/>
      <c r="Z134" s="797"/>
      <c r="AA134" s="797"/>
      <c r="AB134" s="797"/>
      <c r="AC134" s="422"/>
      <c r="AD134" s="797"/>
      <c r="AE134" s="797"/>
      <c r="AF134" s="797"/>
      <c r="AG134" s="797"/>
      <c r="AH134" s="422"/>
      <c r="AI134" s="422"/>
      <c r="AJ134" s="424"/>
      <c r="AK134" s="389"/>
      <c r="AL134" s="389"/>
      <c r="AM134" s="389"/>
      <c r="AN134" s="384"/>
      <c r="AO134" s="385">
        <f>Application!B740</f>
        <v>0</v>
      </c>
      <c r="AQ134" s="385">
        <f>Application!O740</f>
        <v>0</v>
      </c>
      <c r="AU134" s="800"/>
      <c r="AV134" s="800"/>
      <c r="AW134" s="801"/>
      <c r="AX134" s="801"/>
      <c r="AY134" s="800"/>
      <c r="AZ134" s="800"/>
    </row>
    <row r="135" spans="1:52" s="385" customFormat="1" ht="12.75" customHeight="1">
      <c r="A135" s="389"/>
      <c r="B135" s="388"/>
      <c r="C135" s="389"/>
      <c r="D135" s="389"/>
      <c r="E135" s="799" t="s">
        <v>2186</v>
      </c>
      <c r="F135" s="797"/>
      <c r="G135" s="797"/>
      <c r="H135" s="797"/>
      <c r="I135" s="422"/>
      <c r="J135" s="797"/>
      <c r="K135" s="797"/>
      <c r="L135" s="797"/>
      <c r="M135" s="797"/>
      <c r="N135" s="422"/>
      <c r="O135" s="797"/>
      <c r="P135" s="797"/>
      <c r="Q135" s="797"/>
      <c r="R135" s="797"/>
      <c r="S135" s="422"/>
      <c r="T135" s="797"/>
      <c r="U135" s="797"/>
      <c r="V135" s="797"/>
      <c r="W135" s="797"/>
      <c r="X135" s="422"/>
      <c r="Y135" s="797"/>
      <c r="Z135" s="797"/>
      <c r="AA135" s="797"/>
      <c r="AB135" s="797"/>
      <c r="AC135" s="422"/>
      <c r="AD135" s="797"/>
      <c r="AE135" s="797"/>
      <c r="AF135" s="797"/>
      <c r="AG135" s="797"/>
      <c r="AH135" s="422"/>
      <c r="AI135" s="422"/>
      <c r="AJ135" s="424"/>
      <c r="AK135" s="389"/>
      <c r="AL135" s="389"/>
      <c r="AM135" s="389"/>
      <c r="AN135" s="384"/>
      <c r="AO135" s="385">
        <f>Application!B741</f>
        <v>0</v>
      </c>
      <c r="AQ135" s="385">
        <f>Application!O741</f>
        <v>0</v>
      </c>
      <c r="AU135" s="801"/>
      <c r="AV135" s="800"/>
      <c r="AW135" s="801"/>
      <c r="AX135" s="801"/>
      <c r="AY135" s="800"/>
      <c r="AZ135" s="800"/>
    </row>
    <row r="136" spans="1:52" s="385" customFormat="1" ht="12.75" customHeight="1">
      <c r="A136" s="389"/>
      <c r="B136" s="388"/>
      <c r="C136" s="389"/>
      <c r="D136" s="389"/>
      <c r="E136" s="2545" t="e">
        <f>IF(((E133-0.1)*AW116)&gt;0,((E133-0.1)*AW116),0)</f>
        <v>#DIV/0!</v>
      </c>
      <c r="F136" s="2546"/>
      <c r="G136" s="2546"/>
      <c r="H136" s="2547"/>
      <c r="I136" s="422"/>
      <c r="J136" s="2545">
        <f>IF(((J133-0.1)*AW117)&gt;0,((J133-0.1)*AW117),0)</f>
        <v>9.6663552843328115E-2</v>
      </c>
      <c r="K136" s="2546"/>
      <c r="L136" s="2546"/>
      <c r="M136" s="2547"/>
      <c r="N136" s="422"/>
      <c r="O136" s="2545">
        <f>IF(((O133-0.1)*AW118)&gt;0,((O133-0.1)*AW118),0)</f>
        <v>0.10188933202463336</v>
      </c>
      <c r="P136" s="2546"/>
      <c r="Q136" s="2546"/>
      <c r="R136" s="2547"/>
      <c r="S136" s="422"/>
      <c r="T136" s="2545">
        <f>IF(((T133-0.1)*AW119)&gt;0,((T133-0.1)*AW119),0)</f>
        <v>0.18023311023954938</v>
      </c>
      <c r="U136" s="2546"/>
      <c r="V136" s="2546"/>
      <c r="W136" s="2547"/>
      <c r="X136" s="422"/>
      <c r="Y136" s="2545" t="e">
        <f>IF(((Y133-0.1)*AW120)&gt;0,((Y133-0.1)*AW120),0)</f>
        <v>#DIV/0!</v>
      </c>
      <c r="Z136" s="2546"/>
      <c r="AA136" s="2546"/>
      <c r="AB136" s="2547"/>
      <c r="AC136" s="422"/>
      <c r="AD136" s="2545" t="e">
        <f>IF(((AD133-0.1)*AW121)&gt;0,((AD133-0.1)*AW121),0)</f>
        <v>#DIV/0!</v>
      </c>
      <c r="AE136" s="2546"/>
      <c r="AF136" s="2546"/>
      <c r="AG136" s="2547"/>
      <c r="AH136" s="422"/>
      <c r="AI136" s="422"/>
      <c r="AJ136" s="424"/>
      <c r="AK136" s="389"/>
      <c r="AL136" s="389"/>
      <c r="AM136" s="389"/>
      <c r="AN136" s="384"/>
      <c r="AO136" s="385">
        <f>Application!B752</f>
        <v>0</v>
      </c>
      <c r="AQ136" s="385">
        <f>Application!O752</f>
        <v>0</v>
      </c>
      <c r="AU136" s="800"/>
      <c r="AV136" s="800"/>
      <c r="AW136" s="800"/>
      <c r="AX136" s="801"/>
      <c r="AY136" s="800"/>
      <c r="AZ136" s="800"/>
    </row>
    <row r="137" spans="1:52" s="385" customFormat="1" ht="12.75" customHeight="1">
      <c r="A137" s="389"/>
      <c r="B137" s="388"/>
      <c r="C137" s="389"/>
      <c r="D137" s="389"/>
      <c r="E137" s="689"/>
      <c r="F137" s="685"/>
      <c r="G137" s="685"/>
      <c r="H137" s="685"/>
      <c r="I137" s="422"/>
      <c r="J137" s="425"/>
      <c r="K137" s="422"/>
      <c r="L137" s="422"/>
      <c r="M137" s="422"/>
      <c r="N137" s="422"/>
      <c r="O137" s="422"/>
      <c r="P137" s="422"/>
      <c r="Q137" s="422"/>
      <c r="R137" s="422"/>
      <c r="S137" s="422"/>
      <c r="T137" s="422"/>
      <c r="U137" s="422"/>
      <c r="V137" s="422"/>
      <c r="W137" s="422"/>
      <c r="X137" s="422"/>
      <c r="Y137" s="422"/>
      <c r="Z137" s="422"/>
      <c r="AA137" s="422"/>
      <c r="AB137" s="422"/>
      <c r="AC137" s="422"/>
      <c r="AD137" s="422"/>
      <c r="AE137" s="422"/>
      <c r="AF137" s="422"/>
      <c r="AG137" s="422"/>
      <c r="AH137" s="422"/>
      <c r="AI137" s="422"/>
      <c r="AJ137" s="424"/>
      <c r="AK137" s="389"/>
      <c r="AL137" s="389"/>
      <c r="AM137" s="389"/>
      <c r="AN137" s="384"/>
      <c r="AU137" s="800"/>
      <c r="AV137" s="800"/>
      <c r="AW137" s="800"/>
      <c r="AX137" s="800"/>
      <c r="AY137" s="800"/>
      <c r="AZ137" s="800"/>
    </row>
    <row r="138" spans="1:52" s="385" customFormat="1" ht="12.75" customHeight="1">
      <c r="A138" s="389"/>
      <c r="B138" s="388"/>
      <c r="C138" s="389"/>
      <c r="D138" s="389"/>
      <c r="E138" s="2337">
        <f>ROUNDDOWN(SUMIF(E136:AG136,"&gt;0"),2)</f>
        <v>0.37</v>
      </c>
      <c r="F138" s="2338"/>
      <c r="G138" s="2338"/>
      <c r="H138" s="2339"/>
      <c r="I138" s="422"/>
      <c r="J138" s="425" t="s">
        <v>2187</v>
      </c>
      <c r="K138" s="422"/>
      <c r="L138" s="422"/>
      <c r="M138" s="422"/>
      <c r="N138" s="422"/>
      <c r="O138" s="422"/>
      <c r="P138" s="422"/>
      <c r="Q138" s="422"/>
      <c r="R138" s="422"/>
      <c r="S138" s="422"/>
      <c r="T138" s="422"/>
      <c r="U138" s="422"/>
      <c r="V138" s="422"/>
      <c r="W138" s="422"/>
      <c r="X138" s="422"/>
      <c r="Y138" s="422"/>
      <c r="Z138" s="422"/>
      <c r="AA138" s="422"/>
      <c r="AB138" s="422"/>
      <c r="AC138" s="422"/>
      <c r="AD138" s="691"/>
      <c r="AE138" s="691"/>
      <c r="AF138" s="691"/>
      <c r="AG138" s="691"/>
      <c r="AH138" s="422"/>
      <c r="AI138" s="422"/>
      <c r="AJ138" s="424"/>
      <c r="AK138" s="389"/>
      <c r="AL138" s="389"/>
      <c r="AM138" s="389"/>
      <c r="AN138" s="384"/>
      <c r="AU138" s="800"/>
      <c r="AV138" s="800"/>
      <c r="AW138" s="800"/>
      <c r="AX138" s="801"/>
      <c r="AY138" s="800"/>
      <c r="AZ138" s="800"/>
    </row>
    <row r="139" spans="1:52" s="385" customFormat="1" ht="12.75" customHeight="1">
      <c r="A139" s="389"/>
      <c r="B139" s="388"/>
      <c r="C139" s="389"/>
      <c r="D139" s="389"/>
      <c r="E139" s="2517">
        <f>IF((E138*100)&gt;10,10,E138*100)</f>
        <v>10</v>
      </c>
      <c r="F139" s="2518"/>
      <c r="G139" s="2518"/>
      <c r="H139" s="2519"/>
      <c r="I139" s="422"/>
      <c r="J139" s="425" t="s">
        <v>2167</v>
      </c>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c r="AG139" s="422"/>
      <c r="AH139" s="422"/>
      <c r="AI139" s="422"/>
      <c r="AJ139" s="424"/>
      <c r="AK139" s="389"/>
      <c r="AL139" s="389"/>
      <c r="AM139" s="389"/>
      <c r="AN139" s="384"/>
      <c r="AU139" s="800"/>
      <c r="AV139" s="800"/>
      <c r="AW139" s="800"/>
      <c r="AX139" s="800"/>
      <c r="AY139" s="800"/>
      <c r="AZ139" s="800"/>
    </row>
    <row r="140" spans="1:52" s="385" customFormat="1" ht="12.75" customHeight="1">
      <c r="A140" s="389"/>
      <c r="B140" s="389"/>
      <c r="C140" s="389"/>
      <c r="D140" s="389"/>
      <c r="E140" s="432"/>
      <c r="F140" s="433"/>
      <c r="G140" s="433"/>
      <c r="H140" s="433"/>
      <c r="I140" s="433"/>
      <c r="J140" s="433"/>
      <c r="K140" s="433"/>
      <c r="L140" s="433"/>
      <c r="M140" s="433"/>
      <c r="N140" s="433"/>
      <c r="O140" s="43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4"/>
      <c r="AK140" s="389"/>
      <c r="AL140" s="389"/>
      <c r="AM140" s="389"/>
      <c r="AN140" s="384"/>
      <c r="AT140" s="796"/>
      <c r="AU140" s="800"/>
      <c r="AV140" s="800"/>
      <c r="AW140" s="801"/>
      <c r="AX140" s="800"/>
      <c r="AY140" s="800"/>
      <c r="AZ140" s="800"/>
    </row>
    <row r="141" spans="1:52" s="385" customFormat="1" ht="12.75" customHeight="1">
      <c r="A141" s="389"/>
      <c r="B141" s="389"/>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4"/>
      <c r="AU141" s="800"/>
      <c r="AV141" s="800"/>
      <c r="AW141" s="800"/>
      <c r="AX141" s="800"/>
      <c r="AY141" s="800"/>
      <c r="AZ141" s="800"/>
    </row>
    <row r="142" spans="1:52" s="385" customFormat="1" ht="12.75" customHeight="1">
      <c r="A142" s="389"/>
      <c r="B142" s="389"/>
      <c r="C142" s="389"/>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9"/>
      <c r="AI142" s="389"/>
      <c r="AJ142" s="389"/>
      <c r="AK142" s="389"/>
      <c r="AL142" s="389"/>
      <c r="AM142" s="389"/>
      <c r="AN142" s="384"/>
    </row>
    <row r="143" spans="1:52" s="385" customFormat="1" ht="12.75" customHeight="1">
      <c r="A143" s="407"/>
      <c r="B143" s="408"/>
      <c r="C143" s="408"/>
      <c r="D143" s="408"/>
      <c r="E143" s="408"/>
      <c r="F143" s="408"/>
      <c r="G143" s="409"/>
      <c r="H143" s="410"/>
      <c r="I143" s="410"/>
      <c r="J143" s="410"/>
      <c r="K143" s="410"/>
      <c r="L143" s="410"/>
      <c r="M143" s="410"/>
      <c r="N143" s="410"/>
      <c r="O143" s="410"/>
      <c r="P143" s="410"/>
      <c r="Q143" s="410"/>
      <c r="R143" s="410"/>
      <c r="S143" s="410"/>
      <c r="T143" s="410"/>
      <c r="U143" s="410"/>
      <c r="V143" s="410"/>
      <c r="W143" s="410"/>
      <c r="X143" s="410"/>
      <c r="Y143" s="410"/>
      <c r="Z143" s="410"/>
      <c r="AA143" s="410"/>
      <c r="AB143" s="410"/>
      <c r="AC143" s="410"/>
      <c r="AD143" s="410"/>
      <c r="AE143" s="410"/>
      <c r="AF143" s="410"/>
      <c r="AG143" s="410"/>
      <c r="AH143" s="410"/>
      <c r="AI143" s="411"/>
      <c r="AJ143" s="411" t="s">
        <v>2188</v>
      </c>
      <c r="AK143" s="2517">
        <f>E139</f>
        <v>10</v>
      </c>
      <c r="AL143" s="2518"/>
      <c r="AM143" s="2519"/>
      <c r="AN143" s="384"/>
    </row>
    <row r="144" spans="1:52" s="385" customFormat="1" ht="12.75" customHeight="1" thickBot="1">
      <c r="A144" s="412"/>
      <c r="B144" s="413"/>
      <c r="C144" s="414"/>
      <c r="D144" s="414"/>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c r="AE144" s="414"/>
      <c r="AF144" s="414"/>
      <c r="AG144" s="414"/>
      <c r="AH144" s="414"/>
      <c r="AI144" s="414"/>
      <c r="AJ144" s="414"/>
      <c r="AK144" s="414"/>
      <c r="AL144" s="414"/>
      <c r="AM144" s="415"/>
      <c r="AN144" s="384"/>
    </row>
    <row r="145" spans="1:42" s="385" customFormat="1" ht="12.75" customHeight="1" thickTop="1">
      <c r="A145" s="416"/>
      <c r="B145" s="417"/>
      <c r="C145" s="418"/>
      <c r="D145" s="418"/>
      <c r="E145" s="418"/>
      <c r="F145" s="418"/>
      <c r="G145" s="418"/>
      <c r="H145" s="418"/>
      <c r="I145" s="1194"/>
      <c r="J145" s="1194"/>
      <c r="K145" s="1194"/>
      <c r="L145" s="1194"/>
      <c r="M145" s="1194"/>
      <c r="N145" s="1194"/>
      <c r="O145" s="1194"/>
      <c r="P145" s="1194"/>
      <c r="Q145" s="1194"/>
      <c r="R145" s="416"/>
      <c r="S145" s="388"/>
      <c r="T145" s="388"/>
      <c r="U145" s="388"/>
      <c r="V145" s="388"/>
      <c r="W145" s="388"/>
      <c r="X145" s="388"/>
      <c r="Y145" s="388"/>
      <c r="Z145" s="388"/>
      <c r="AA145" s="388"/>
      <c r="AB145" s="388"/>
      <c r="AC145" s="388"/>
      <c r="AD145" s="388"/>
      <c r="AE145" s="388"/>
      <c r="AF145" s="416"/>
      <c r="AG145" s="388"/>
      <c r="AH145" s="388"/>
      <c r="AI145" s="388"/>
      <c r="AJ145" s="388"/>
      <c r="AK145" s="398"/>
      <c r="AL145" s="398"/>
      <c r="AM145" s="398"/>
      <c r="AN145" s="384"/>
    </row>
    <row r="146" spans="1:42" s="388" customFormat="1" ht="12.75" customHeight="1">
      <c r="A146" s="387" t="s">
        <v>2189</v>
      </c>
      <c r="AE146" s="2391" t="s">
        <v>2147</v>
      </c>
      <c r="AF146" s="2391"/>
      <c r="AG146" s="2391"/>
      <c r="AH146" s="2391"/>
      <c r="AI146" s="2391"/>
      <c r="AJ146" s="2391"/>
      <c r="AK146" s="2391"/>
      <c r="AL146" s="1197"/>
      <c r="AN146" s="435"/>
      <c r="AO146" s="385"/>
    </row>
    <row r="147" spans="1:42" s="388" customFormat="1" ht="13.2" customHeight="1">
      <c r="A147" s="387"/>
      <c r="AE147" s="1197"/>
      <c r="AF147" s="1197"/>
      <c r="AG147" s="1197"/>
      <c r="AH147" s="1197"/>
      <c r="AI147" s="1197"/>
      <c r="AJ147" s="1197"/>
      <c r="AK147" s="1197"/>
      <c r="AL147" s="1197"/>
      <c r="AN147" s="435"/>
    </row>
    <row r="148" spans="1:42" s="385" customFormat="1" ht="12.75" customHeight="1">
      <c r="A148" s="387"/>
      <c r="B148" s="387" t="s">
        <v>2190</v>
      </c>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c r="Z148" s="388"/>
      <c r="AA148" s="388"/>
      <c r="AB148" s="388"/>
      <c r="AC148" s="388"/>
      <c r="AD148" s="388"/>
      <c r="AF148" s="2451" t="s">
        <v>2191</v>
      </c>
      <c r="AG148" s="2451"/>
      <c r="AH148" s="2451"/>
      <c r="AI148" s="2451"/>
      <c r="AJ148" s="2451"/>
      <c r="AK148" s="2451"/>
      <c r="AL148" s="2451"/>
      <c r="AM148" s="388"/>
      <c r="AN148" s="384"/>
    </row>
    <row r="149" spans="1:42" s="385" customFormat="1" ht="12.75" customHeight="1">
      <c r="A149" s="387"/>
      <c r="B149" s="387" t="s">
        <v>1081</v>
      </c>
      <c r="C149" s="1190"/>
      <c r="D149" s="1190"/>
      <c r="E149" s="1190"/>
      <c r="F149" s="1190"/>
      <c r="G149" s="1190"/>
      <c r="H149" s="1190"/>
      <c r="I149" s="1190"/>
      <c r="J149" s="1190"/>
      <c r="K149" s="1190"/>
      <c r="L149" s="1190"/>
      <c r="M149" s="1190"/>
      <c r="N149" s="1190"/>
      <c r="O149" s="1190"/>
      <c r="P149" s="1190"/>
      <c r="Q149" s="1190"/>
      <c r="R149" s="1190"/>
      <c r="S149" s="1190"/>
      <c r="T149" s="1190"/>
      <c r="U149" s="1190"/>
      <c r="V149" s="1190"/>
      <c r="W149" s="1190"/>
      <c r="X149" s="1190"/>
      <c r="Y149" s="1190"/>
      <c r="Z149" s="1190"/>
      <c r="AA149" s="1190"/>
      <c r="AB149" s="1190"/>
      <c r="AC149" s="1190"/>
      <c r="AD149" s="388"/>
      <c r="AL149" s="1205"/>
      <c r="AM149" s="388"/>
      <c r="AN149" s="384"/>
    </row>
    <row r="150" spans="1:42" s="385" customFormat="1" ht="15" customHeight="1">
      <c r="A150" s="387"/>
      <c r="B150" s="2521" t="s">
        <v>1082</v>
      </c>
      <c r="C150" s="2521"/>
      <c r="D150" s="2521"/>
      <c r="E150" s="2521"/>
      <c r="F150" s="2521"/>
      <c r="G150" s="2521"/>
      <c r="H150" s="2521"/>
      <c r="I150" s="2521"/>
      <c r="J150" s="2521"/>
      <c r="K150" s="2521"/>
      <c r="L150" s="2521"/>
      <c r="M150" s="2521"/>
      <c r="N150" s="2521"/>
      <c r="O150" s="2521"/>
      <c r="P150" s="2521"/>
      <c r="Q150" s="2521"/>
      <c r="R150" s="2521"/>
      <c r="S150" s="2521"/>
      <c r="T150" s="2521"/>
      <c r="U150" s="2521"/>
      <c r="V150" s="2521"/>
      <c r="W150" s="2521"/>
      <c r="X150" s="2521"/>
      <c r="Y150" s="2521"/>
      <c r="Z150" s="2521"/>
      <c r="AA150" s="2521"/>
      <c r="AB150" s="2521"/>
      <c r="AC150" s="2521"/>
      <c r="AD150" s="388"/>
      <c r="AE150" s="1205"/>
      <c r="AF150" s="1205"/>
      <c r="AG150" s="1205"/>
      <c r="AH150" s="1205"/>
      <c r="AI150" s="1205"/>
      <c r="AJ150" s="1205"/>
      <c r="AK150" s="1205"/>
      <c r="AL150" s="1205"/>
      <c r="AM150" s="388"/>
      <c r="AN150" s="384"/>
      <c r="AP150" s="437"/>
    </row>
    <row r="151" spans="1:42" s="385" customFormat="1" ht="12.75" customHeight="1">
      <c r="A151" s="387"/>
      <c r="B151" s="387"/>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1205"/>
      <c r="AF151" s="1205"/>
      <c r="AG151" s="1205"/>
      <c r="AH151" s="1205"/>
      <c r="AI151" s="1205"/>
      <c r="AJ151" s="1205"/>
      <c r="AK151" s="1205"/>
      <c r="AL151" s="1205"/>
      <c r="AM151" s="388"/>
      <c r="AN151" s="384"/>
      <c r="AO151" s="1130" t="s">
        <v>547</v>
      </c>
      <c r="AP151" s="393"/>
    </row>
    <row r="152" spans="1:42" s="385" customFormat="1" ht="12.75" customHeight="1">
      <c r="A152" s="387"/>
      <c r="B152" s="388" t="s">
        <v>2192</v>
      </c>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388"/>
      <c r="AH152" s="388"/>
      <c r="AI152" s="388"/>
      <c r="AJ152" s="388"/>
      <c r="AK152" s="388"/>
      <c r="AL152" s="388"/>
      <c r="AM152" s="388"/>
      <c r="AN152" s="384"/>
      <c r="AO152" s="332" t="s">
        <v>2193</v>
      </c>
      <c r="AP152" s="342">
        <v>5</v>
      </c>
    </row>
    <row r="153" spans="1:42" s="385" customFormat="1" ht="12.75" customHeight="1">
      <c r="A153" s="387"/>
      <c r="B153" s="2522" t="s">
        <v>2194</v>
      </c>
      <c r="C153" s="2522"/>
      <c r="D153" s="2522"/>
      <c r="E153" s="2522"/>
      <c r="F153" s="2522"/>
      <c r="G153" s="2522"/>
      <c r="H153" s="2522"/>
      <c r="I153" s="2522"/>
      <c r="J153" s="2522"/>
      <c r="K153" s="2522"/>
      <c r="L153" s="2522"/>
      <c r="M153" s="2522"/>
      <c r="N153" s="2522"/>
      <c r="O153" s="2522"/>
      <c r="P153" s="2522"/>
      <c r="Q153" s="2522"/>
      <c r="R153" s="2522"/>
      <c r="S153" s="2522"/>
      <c r="T153" s="2522"/>
      <c r="U153" s="2522"/>
      <c r="V153" s="2522"/>
      <c r="W153" s="2522"/>
      <c r="X153" s="2522"/>
      <c r="Y153" s="2522"/>
      <c r="Z153" s="2522"/>
      <c r="AA153" s="2522"/>
      <c r="AB153" s="2522"/>
      <c r="AC153" s="2522"/>
      <c r="AD153" s="2522"/>
      <c r="AE153" s="2522"/>
      <c r="AF153" s="2522"/>
      <c r="AG153" s="2522"/>
      <c r="AH153" s="2522"/>
      <c r="AI153" s="2522"/>
      <c r="AM153" s="388"/>
      <c r="AN153" s="384"/>
      <c r="AO153" s="332" t="s">
        <v>2195</v>
      </c>
      <c r="AP153" s="342">
        <v>7</v>
      </c>
    </row>
    <row r="154" spans="1:42" s="385" customFormat="1" ht="13.2" customHeight="1">
      <c r="A154" s="387"/>
      <c r="B154" s="1190"/>
      <c r="C154" s="1190"/>
      <c r="D154" s="1190"/>
      <c r="E154" s="1190"/>
      <c r="F154" s="1190"/>
      <c r="G154" s="1190"/>
      <c r="H154" s="1190"/>
      <c r="I154" s="1190"/>
      <c r="J154" s="1190"/>
      <c r="K154" s="1190"/>
      <c r="L154" s="1190"/>
      <c r="M154" s="1190"/>
      <c r="N154" s="1190"/>
      <c r="O154" s="1190"/>
      <c r="P154" s="1190"/>
      <c r="Q154" s="1190"/>
      <c r="R154" s="1190"/>
      <c r="S154" s="1190"/>
      <c r="T154" s="1190"/>
      <c r="U154" s="1190"/>
      <c r="V154" s="1190"/>
      <c r="W154" s="1190"/>
      <c r="X154" s="1190"/>
      <c r="Y154" s="1190"/>
      <c r="Z154" s="1190"/>
      <c r="AA154" s="1190"/>
      <c r="AB154" s="1190"/>
      <c r="AC154" s="1190"/>
      <c r="AD154" s="1197"/>
      <c r="AM154" s="388"/>
      <c r="AN154" s="384"/>
      <c r="AO154" s="332" t="s">
        <v>2194</v>
      </c>
      <c r="AP154" s="342">
        <v>7</v>
      </c>
    </row>
    <row r="155" spans="1:42" s="385" customFormat="1" ht="12.75" customHeight="1">
      <c r="A155" s="387"/>
      <c r="B155" s="388" t="s">
        <v>2196</v>
      </c>
      <c r="AB155" s="2323" t="s">
        <v>810</v>
      </c>
      <c r="AC155" s="2323"/>
      <c r="AD155" s="1197"/>
      <c r="AM155" s="388"/>
      <c r="AN155" s="384"/>
      <c r="AO155" s="332"/>
      <c r="AP155" s="332"/>
    </row>
    <row r="156" spans="1:42" s="385" customFormat="1" ht="9" customHeight="1">
      <c r="A156" s="387"/>
      <c r="B156" s="1190"/>
      <c r="C156" s="1190"/>
      <c r="D156" s="1190"/>
      <c r="E156" s="1190"/>
      <c r="F156" s="1190"/>
      <c r="G156" s="1190"/>
      <c r="H156" s="1190"/>
      <c r="I156" s="1190"/>
      <c r="J156" s="1190"/>
      <c r="K156" s="1190"/>
      <c r="L156" s="1190"/>
      <c r="M156" s="1190"/>
      <c r="N156" s="1190"/>
      <c r="O156" s="1190"/>
      <c r="P156" s="1190"/>
      <c r="Q156" s="1190"/>
      <c r="R156" s="1190"/>
      <c r="S156" s="1190"/>
      <c r="T156" s="1190"/>
      <c r="U156" s="1190"/>
      <c r="V156" s="1190"/>
      <c r="W156" s="1190"/>
      <c r="X156" s="1190"/>
      <c r="Y156" s="1190"/>
      <c r="Z156" s="1190"/>
      <c r="AA156" s="1190"/>
      <c r="AB156" s="1190"/>
      <c r="AC156" s="1190"/>
      <c r="AD156" s="1197"/>
      <c r="AM156" s="388"/>
      <c r="AN156" s="384"/>
      <c r="AO156" s="1130" t="s">
        <v>2197</v>
      </c>
      <c r="AP156" s="342"/>
    </row>
    <row r="157" spans="1:42" s="385" customFormat="1" ht="12.75" customHeight="1">
      <c r="A157" s="387"/>
      <c r="B157" s="387" t="s">
        <v>2198</v>
      </c>
      <c r="C157" s="1190"/>
      <c r="D157" s="1190"/>
      <c r="E157" s="1190"/>
      <c r="F157" s="1190"/>
      <c r="G157" s="1190"/>
      <c r="H157" s="1190"/>
      <c r="I157" s="1190"/>
      <c r="J157" s="1190"/>
      <c r="K157" s="1190"/>
      <c r="L157" s="1190"/>
      <c r="M157" s="1190"/>
      <c r="N157" s="1190"/>
      <c r="O157" s="1190"/>
      <c r="P157" s="1190"/>
      <c r="Q157" s="1190"/>
      <c r="R157" s="1190"/>
      <c r="S157" s="1190"/>
      <c r="T157" s="1190"/>
      <c r="U157" s="1190"/>
      <c r="V157" s="1190"/>
      <c r="W157" s="1190"/>
      <c r="X157" s="1190"/>
      <c r="Y157" s="1190"/>
      <c r="Z157" s="1190"/>
      <c r="AA157" s="1190"/>
      <c r="AB157" s="1190"/>
      <c r="AC157" s="1190"/>
      <c r="AD157" s="1197"/>
      <c r="AM157" s="388"/>
      <c r="AN157" s="384"/>
      <c r="AO157" s="332" t="s">
        <v>2199</v>
      </c>
      <c r="AP157" s="342">
        <v>5</v>
      </c>
    </row>
    <row r="158" spans="1:42" s="385" customFormat="1" ht="12.75" customHeight="1">
      <c r="A158" s="387"/>
      <c r="B158" s="2522" t="s">
        <v>2197</v>
      </c>
      <c r="C158" s="2522"/>
      <c r="D158" s="2522"/>
      <c r="E158" s="2522"/>
      <c r="F158" s="2522"/>
      <c r="G158" s="2522"/>
      <c r="H158" s="2522"/>
      <c r="I158" s="2522"/>
      <c r="J158" s="2522"/>
      <c r="K158" s="2522"/>
      <c r="L158" s="2522"/>
      <c r="M158" s="2522"/>
      <c r="N158" s="2522"/>
      <c r="O158" s="2522"/>
      <c r="P158" s="2522"/>
      <c r="Q158" s="2522"/>
      <c r="R158" s="2522"/>
      <c r="S158" s="2522"/>
      <c r="T158" s="2522"/>
      <c r="U158" s="2522"/>
      <c r="V158" s="2522"/>
      <c r="W158" s="2522"/>
      <c r="X158" s="2522"/>
      <c r="Y158" s="2522"/>
      <c r="Z158" s="2522"/>
      <c r="AA158" s="2522"/>
      <c r="AB158" s="2522"/>
      <c r="AC158" s="2522"/>
      <c r="AD158" s="2522"/>
      <c r="AE158" s="2522"/>
      <c r="AF158" s="2522"/>
      <c r="AG158" s="2522"/>
      <c r="AH158" s="2522"/>
      <c r="AI158" s="2522"/>
      <c r="AJ158" s="2522"/>
      <c r="AN158" s="384"/>
      <c r="AO158" s="332" t="s">
        <v>2200</v>
      </c>
      <c r="AP158" s="342">
        <v>7</v>
      </c>
    </row>
    <row r="159" spans="1:42" s="385" customFormat="1" ht="12.75" customHeight="1">
      <c r="B159" s="388" t="s">
        <v>2201</v>
      </c>
      <c r="C159" s="1190"/>
      <c r="D159" s="1190"/>
      <c r="E159" s="1190"/>
      <c r="F159" s="1190"/>
      <c r="G159" s="1190"/>
      <c r="H159" s="1190"/>
      <c r="I159" s="1190"/>
      <c r="J159" s="1190"/>
      <c r="K159" s="1190"/>
      <c r="L159" s="1190"/>
      <c r="M159" s="1190"/>
      <c r="N159" s="1190"/>
      <c r="O159" s="1190"/>
      <c r="P159" s="1190"/>
      <c r="Q159" s="1190"/>
      <c r="R159" s="1190"/>
      <c r="S159" s="1190"/>
      <c r="T159" s="1190"/>
      <c r="U159" s="1190"/>
      <c r="AM159" s="388"/>
      <c r="AN159" s="384"/>
      <c r="AO159" s="332"/>
      <c r="AP159" s="342"/>
    </row>
    <row r="160" spans="1:42" s="385" customFormat="1" ht="12.75" customHeight="1">
      <c r="B160" s="388"/>
      <c r="C160" s="1190"/>
      <c r="D160" s="1190"/>
      <c r="E160" s="1190"/>
      <c r="F160" s="1190"/>
      <c r="G160" s="1190"/>
      <c r="H160" s="1190"/>
      <c r="I160" s="1190"/>
      <c r="J160" s="1190"/>
      <c r="K160" s="1190"/>
      <c r="L160" s="1190"/>
      <c r="M160" s="1190"/>
      <c r="N160" s="1190"/>
      <c r="O160" s="1190"/>
      <c r="P160" s="1190"/>
      <c r="Q160" s="1190"/>
      <c r="R160" s="1190"/>
      <c r="S160" s="1190"/>
      <c r="T160" s="1190"/>
      <c r="U160" s="1190"/>
      <c r="AM160" s="388"/>
      <c r="AN160" s="384"/>
      <c r="AO160" s="332"/>
      <c r="AP160" s="342"/>
    </row>
    <row r="161" spans="1:42" s="385" customFormat="1" ht="12.75" customHeight="1">
      <c r="B161" s="2320" t="s">
        <v>2202</v>
      </c>
      <c r="C161" s="2320"/>
      <c r="D161" s="2320"/>
      <c r="E161" s="2320"/>
      <c r="F161" s="2320"/>
      <c r="G161" s="2320"/>
      <c r="H161" s="2320"/>
      <c r="I161" s="2320"/>
      <c r="J161" s="2320"/>
      <c r="K161" s="2320"/>
      <c r="L161" s="2320"/>
      <c r="M161" s="2320"/>
      <c r="N161" s="2320"/>
      <c r="O161" s="2320"/>
      <c r="P161" s="2320"/>
      <c r="Q161" s="2320"/>
      <c r="R161" s="2320"/>
      <c r="S161" s="2320"/>
      <c r="T161" s="2320"/>
      <c r="U161" s="2320"/>
      <c r="V161" s="2320"/>
      <c r="W161" s="2320"/>
      <c r="X161" s="2320"/>
      <c r="Y161" s="2320"/>
      <c r="Z161" s="2320"/>
      <c r="AA161" s="2320"/>
      <c r="AB161" s="2320"/>
      <c r="AC161" s="2320"/>
      <c r="AD161" s="2320"/>
      <c r="AE161" s="2320"/>
      <c r="AF161" s="2320"/>
      <c r="AG161" s="2320"/>
      <c r="AH161" s="2320"/>
      <c r="AI161" s="2320"/>
      <c r="AJ161" s="2320"/>
      <c r="AK161" s="960"/>
      <c r="AM161" s="388"/>
      <c r="AN161" s="384"/>
      <c r="AO161" s="332"/>
      <c r="AP161" s="342"/>
    </row>
    <row r="162" spans="1:42" s="385" customFormat="1" ht="12.75" customHeight="1">
      <c r="B162" s="2320"/>
      <c r="C162" s="2320"/>
      <c r="D162" s="2320"/>
      <c r="E162" s="2320"/>
      <c r="F162" s="2320"/>
      <c r="G162" s="2320"/>
      <c r="H162" s="2320"/>
      <c r="I162" s="2320"/>
      <c r="J162" s="2320"/>
      <c r="K162" s="2320"/>
      <c r="L162" s="2320"/>
      <c r="M162" s="2320"/>
      <c r="N162" s="2320"/>
      <c r="O162" s="2320"/>
      <c r="P162" s="2320"/>
      <c r="Q162" s="2320"/>
      <c r="R162" s="2320"/>
      <c r="S162" s="2320"/>
      <c r="T162" s="2320"/>
      <c r="U162" s="2320"/>
      <c r="V162" s="2320"/>
      <c r="W162" s="2320"/>
      <c r="X162" s="2320"/>
      <c r="Y162" s="2320"/>
      <c r="Z162" s="2320"/>
      <c r="AA162" s="2320"/>
      <c r="AB162" s="2320"/>
      <c r="AC162" s="2320"/>
      <c r="AD162" s="2320"/>
      <c r="AE162" s="2320"/>
      <c r="AF162" s="2320"/>
      <c r="AG162" s="2320"/>
      <c r="AH162" s="2320"/>
      <c r="AI162" s="2320"/>
      <c r="AJ162" s="2320"/>
      <c r="AK162" s="960"/>
      <c r="AM162" s="388"/>
      <c r="AN162" s="384"/>
      <c r="AO162" s="332"/>
      <c r="AP162" s="342"/>
    </row>
    <row r="163" spans="1:42" s="385" customFormat="1" ht="12.75" customHeight="1">
      <c r="C163" s="2321" t="s">
        <v>2203</v>
      </c>
      <c r="D163" s="2321"/>
      <c r="E163" s="2321"/>
      <c r="F163" s="2321"/>
      <c r="G163" s="2321"/>
      <c r="H163" s="2321"/>
      <c r="I163" s="2321"/>
      <c r="J163" s="2321"/>
      <c r="K163" s="2321"/>
      <c r="L163" s="2321"/>
      <c r="M163" s="2321"/>
      <c r="N163" s="2321"/>
      <c r="O163" s="2321"/>
      <c r="P163" s="2321"/>
      <c r="Q163" s="2321"/>
      <c r="R163" s="2321"/>
      <c r="S163" s="2321"/>
      <c r="T163" s="2321"/>
      <c r="U163" s="2321"/>
      <c r="V163" s="2321"/>
      <c r="W163" s="2321"/>
      <c r="X163" s="2321"/>
      <c r="Y163" s="2321"/>
      <c r="Z163" s="2321"/>
      <c r="AA163" s="2321"/>
      <c r="AB163" s="2321"/>
      <c r="AC163" s="2321"/>
      <c r="AD163" s="2321"/>
      <c r="AE163" s="2321"/>
      <c r="AF163" s="2321"/>
      <c r="AG163" s="2321"/>
      <c r="AH163" s="2321"/>
      <c r="AI163" s="2321"/>
      <c r="AJ163" s="2321"/>
      <c r="AK163" s="960"/>
      <c r="AM163" s="388"/>
      <c r="AN163" s="384"/>
      <c r="AO163" s="332"/>
      <c r="AP163" s="342"/>
    </row>
    <row r="164" spans="1:42" s="385" customFormat="1" ht="12.75" customHeight="1">
      <c r="B164" s="960"/>
      <c r="C164" s="2322" t="s">
        <v>2204</v>
      </c>
      <c r="D164" s="2322"/>
      <c r="E164" s="2322"/>
      <c r="F164" s="2322"/>
      <c r="G164" s="2322"/>
      <c r="H164" s="2322"/>
      <c r="I164" s="2322"/>
      <c r="J164" s="2322"/>
      <c r="K164" s="2322"/>
      <c r="L164" s="2322"/>
      <c r="M164" s="2322"/>
      <c r="N164" s="2322"/>
      <c r="O164" s="2322"/>
      <c r="P164" s="2322"/>
      <c r="Q164" s="2322"/>
      <c r="R164" s="2322"/>
      <c r="S164" s="2322"/>
      <c r="T164" s="2322"/>
      <c r="U164" s="2322"/>
      <c r="V164" s="2322"/>
      <c r="W164" s="2322"/>
      <c r="X164" s="2322"/>
      <c r="Y164" s="2322"/>
      <c r="Z164" s="2322"/>
      <c r="AA164" s="1189"/>
      <c r="AB164" s="1189"/>
      <c r="AC164" s="1189"/>
      <c r="AD164" s="1189"/>
      <c r="AE164" s="1189"/>
      <c r="AF164" s="1189"/>
      <c r="AG164" s="1189"/>
      <c r="AH164" s="1189"/>
      <c r="AJ164" s="2323" t="s">
        <v>810</v>
      </c>
      <c r="AK164" s="2323"/>
      <c r="AM164" s="388"/>
      <c r="AN164" s="384"/>
      <c r="AO164" s="332"/>
      <c r="AP164" s="342"/>
    </row>
    <row r="165" spans="1:42" s="385" customFormat="1" ht="12.75" customHeight="1">
      <c r="AM165" s="388"/>
      <c r="AN165" s="384"/>
    </row>
    <row r="166" spans="1:42" s="398" customFormat="1" ht="12.75" customHeight="1">
      <c r="A166" s="442"/>
      <c r="B166" s="443"/>
      <c r="C166" s="443"/>
      <c r="D166" s="443"/>
      <c r="E166" s="443"/>
      <c r="F166" s="443"/>
      <c r="G166" s="443"/>
      <c r="H166" s="443"/>
      <c r="I166" s="443"/>
      <c r="J166" s="443"/>
      <c r="K166" s="443"/>
      <c r="L166" s="443"/>
      <c r="M166" s="443"/>
      <c r="N166" s="443"/>
      <c r="O166" s="443"/>
      <c r="P166" s="443"/>
      <c r="Q166" s="443"/>
      <c r="R166" s="443"/>
      <c r="S166" s="443"/>
      <c r="T166" s="443"/>
      <c r="U166" s="443"/>
      <c r="V166" s="443"/>
      <c r="W166" s="443"/>
      <c r="X166" s="443"/>
      <c r="Y166" s="443"/>
      <c r="Z166" s="443"/>
      <c r="AA166" s="443"/>
      <c r="AB166" s="443"/>
      <c r="AC166" s="443"/>
      <c r="AD166" s="443"/>
      <c r="AE166" s="443"/>
      <c r="AF166" s="443"/>
      <c r="AG166" s="443"/>
      <c r="AH166" s="443"/>
      <c r="AI166" s="411" t="s">
        <v>2205</v>
      </c>
      <c r="AJ166" s="2411">
        <f>IF($AB$155="N/A",VLOOKUP($B$153,$AO$151:$AP$154,2,FALSE),VLOOKUP($B$158,$AO$156:$AP$158,2,FALSE))</f>
        <v>7</v>
      </c>
      <c r="AK166" s="2411"/>
      <c r="AL166" s="437"/>
      <c r="AM166" s="385"/>
      <c r="AN166" s="440"/>
    </row>
    <row r="167" spans="1:42" s="398" customFormat="1" ht="12.75" customHeight="1">
      <c r="A167" s="437"/>
      <c r="B167" s="437"/>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385"/>
      <c r="AF167" s="385"/>
      <c r="AG167" s="385"/>
      <c r="AH167" s="385"/>
      <c r="AI167" s="385"/>
      <c r="AJ167" s="385"/>
      <c r="AK167" s="385"/>
      <c r="AL167" s="385"/>
      <c r="AM167" s="385"/>
      <c r="AN167" s="440"/>
    </row>
    <row r="168" spans="1:42" s="398" customFormat="1" ht="12.75" customHeight="1">
      <c r="A168" s="385"/>
      <c r="B168" s="387" t="s">
        <v>2206</v>
      </c>
      <c r="C168" s="388"/>
      <c r="D168" s="385"/>
      <c r="E168" s="481"/>
      <c r="F168" s="481"/>
      <c r="G168" s="481"/>
      <c r="H168" s="481"/>
      <c r="I168" s="481"/>
      <c r="J168" s="481"/>
      <c r="K168" s="481"/>
      <c r="L168" s="481"/>
      <c r="M168" s="481"/>
      <c r="N168" s="481"/>
      <c r="O168" s="481"/>
      <c r="P168" s="481"/>
      <c r="Q168" s="481"/>
      <c r="R168" s="481"/>
      <c r="S168" s="481"/>
      <c r="T168" s="481"/>
      <c r="U168" s="481"/>
      <c r="V168" s="481"/>
      <c r="W168" s="481"/>
      <c r="X168" s="481"/>
      <c r="Y168" s="481"/>
      <c r="Z168" s="481"/>
      <c r="AA168" s="481"/>
      <c r="AB168" s="481"/>
      <c r="AC168" s="481"/>
      <c r="AD168" s="481"/>
      <c r="AE168" s="385"/>
      <c r="AF168" s="2451" t="s">
        <v>2207</v>
      </c>
      <c r="AG168" s="2451"/>
      <c r="AH168" s="2451"/>
      <c r="AI168" s="2451"/>
      <c r="AJ168" s="2451"/>
      <c r="AK168" s="2451"/>
      <c r="AL168" s="2451"/>
      <c r="AM168" s="445"/>
      <c r="AN168" s="440"/>
    </row>
    <row r="169" spans="1:42" s="398" customFormat="1" ht="12.75" customHeight="1">
      <c r="A169" s="385"/>
      <c r="B169" s="388" t="s">
        <v>2208</v>
      </c>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8"/>
      <c r="AB169" s="388"/>
      <c r="AC169" s="388"/>
      <c r="AD169" s="388"/>
      <c r="AE169" s="385"/>
      <c r="AF169" s="385"/>
      <c r="AG169" s="385"/>
      <c r="AH169" s="385"/>
      <c r="AI169" s="385"/>
      <c r="AJ169" s="385"/>
      <c r="AK169" s="385"/>
      <c r="AL169" s="385"/>
      <c r="AM169" s="445"/>
      <c r="AN169" s="440"/>
    </row>
    <row r="170" spans="1:42" s="398" customFormat="1" ht="12.75" customHeight="1">
      <c r="A170" s="385"/>
      <c r="B170" s="385"/>
      <c r="C170" s="2522" t="s">
        <v>2209</v>
      </c>
      <c r="D170" s="2522"/>
      <c r="E170" s="2522"/>
      <c r="F170" s="2522"/>
      <c r="G170" s="2522"/>
      <c r="H170" s="2522"/>
      <c r="I170" s="2522"/>
      <c r="J170" s="2522"/>
      <c r="K170" s="2522"/>
      <c r="L170" s="2522"/>
      <c r="M170" s="2522"/>
      <c r="N170" s="2522"/>
      <c r="O170" s="2522"/>
      <c r="P170" s="2522"/>
      <c r="Q170" s="2522"/>
      <c r="R170" s="2522"/>
      <c r="S170" s="2522"/>
      <c r="T170" s="2522"/>
      <c r="U170" s="2522"/>
      <c r="V170" s="2522"/>
      <c r="W170" s="2522"/>
      <c r="X170" s="2522"/>
      <c r="Y170" s="2522"/>
      <c r="Z170" s="2522"/>
      <c r="AA170" s="2522"/>
      <c r="AB170" s="2522"/>
      <c r="AC170" s="2522"/>
      <c r="AD170" s="2522"/>
      <c r="AE170" s="2522"/>
      <c r="AF170" s="2522"/>
      <c r="AG170" s="2522"/>
      <c r="AH170" s="2522"/>
      <c r="AI170" s="2522"/>
      <c r="AJ170" s="385"/>
      <c r="AK170" s="385"/>
      <c r="AL170" s="385"/>
      <c r="AM170" s="445"/>
      <c r="AN170" s="439"/>
      <c r="AO170" s="332" t="s">
        <v>547</v>
      </c>
      <c r="AP170" s="332"/>
    </row>
    <row r="171" spans="1:42" s="398" customFormat="1" ht="13.2" customHeight="1">
      <c r="A171" s="385"/>
      <c r="B171" s="385"/>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385"/>
      <c r="AF171" s="385"/>
      <c r="AG171" s="385"/>
      <c r="AH171" s="385"/>
      <c r="AI171" s="385"/>
      <c r="AJ171" s="385"/>
      <c r="AK171" s="385"/>
      <c r="AL171" s="385"/>
      <c r="AM171" s="445"/>
      <c r="AN171" s="439"/>
      <c r="AO171" s="332" t="s">
        <v>2210</v>
      </c>
      <c r="AP171" s="441">
        <v>2</v>
      </c>
    </row>
    <row r="172" spans="1:42" s="398" customFormat="1" ht="12.75" customHeight="1">
      <c r="A172" s="385"/>
      <c r="B172" s="385"/>
      <c r="C172" s="388" t="s">
        <v>2211</v>
      </c>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E172" s="385"/>
      <c r="AF172" s="2323" t="s">
        <v>810</v>
      </c>
      <c r="AG172" s="2323"/>
      <c r="AH172" s="385"/>
      <c r="AI172" s="385"/>
      <c r="AJ172" s="385"/>
      <c r="AK172" s="385"/>
      <c r="AL172" s="385"/>
      <c r="AM172" s="445"/>
      <c r="AN172" s="439"/>
      <c r="AO172" s="332" t="s">
        <v>2209</v>
      </c>
      <c r="AP172" s="441">
        <v>3</v>
      </c>
    </row>
    <row r="173" spans="1:42" s="398" customFormat="1" ht="9" customHeight="1">
      <c r="A173" s="385"/>
      <c r="B173" s="385"/>
      <c r="C173" s="1190"/>
      <c r="D173" s="1190"/>
      <c r="E173" s="1190"/>
      <c r="F173" s="1190"/>
      <c r="G173" s="1190"/>
      <c r="H173" s="1190"/>
      <c r="I173" s="1190"/>
      <c r="J173" s="1190"/>
      <c r="K173" s="1190"/>
      <c r="L173" s="1190"/>
      <c r="M173" s="1190"/>
      <c r="N173" s="1190"/>
      <c r="O173" s="1190"/>
      <c r="P173" s="1190"/>
      <c r="Q173" s="1190"/>
      <c r="R173" s="1190"/>
      <c r="S173" s="1190"/>
      <c r="T173" s="1190"/>
      <c r="U173" s="1190"/>
      <c r="V173" s="1190"/>
      <c r="W173" s="1190"/>
      <c r="X173" s="1190"/>
      <c r="Y173" s="1190"/>
      <c r="Z173" s="1190"/>
      <c r="AA173" s="1190"/>
      <c r="AB173" s="1190"/>
      <c r="AC173" s="1190"/>
      <c r="AD173" s="1190"/>
      <c r="AE173" s="385"/>
      <c r="AF173" s="385"/>
      <c r="AG173" s="385"/>
      <c r="AJ173" s="385"/>
      <c r="AK173" s="385"/>
      <c r="AL173" s="385"/>
      <c r="AM173" s="445"/>
      <c r="AN173" s="439"/>
      <c r="AO173" s="444" t="s">
        <v>2212</v>
      </c>
      <c r="AP173" s="441">
        <v>3</v>
      </c>
    </row>
    <row r="174" spans="1:42" s="398" customFormat="1" ht="12.75" customHeight="1">
      <c r="A174" s="385"/>
      <c r="B174" s="385"/>
      <c r="C174" s="2522" t="s">
        <v>2197</v>
      </c>
      <c r="D174" s="2522"/>
      <c r="E174" s="2522"/>
      <c r="F174" s="2522"/>
      <c r="G174" s="2522"/>
      <c r="H174" s="2522"/>
      <c r="I174" s="2522"/>
      <c r="J174" s="2522"/>
      <c r="K174" s="2522"/>
      <c r="L174" s="2522"/>
      <c r="M174" s="2522"/>
      <c r="N174" s="2522"/>
      <c r="O174" s="2522"/>
      <c r="P174" s="2522"/>
      <c r="Q174" s="2522"/>
      <c r="R174" s="2522"/>
      <c r="S174" s="2522"/>
      <c r="T174" s="2522"/>
      <c r="U174" s="2522"/>
      <c r="V174" s="2522"/>
      <c r="W174" s="2522"/>
      <c r="X174" s="2522"/>
      <c r="Y174" s="2522"/>
      <c r="Z174" s="2522"/>
      <c r="AA174" s="2522"/>
      <c r="AB174" s="2522"/>
      <c r="AC174" s="2522"/>
      <c r="AD174" s="2522"/>
      <c r="AE174" s="385"/>
      <c r="AF174" s="385"/>
      <c r="AG174" s="385"/>
      <c r="AH174" s="385"/>
      <c r="AI174" s="385"/>
      <c r="AJ174" s="385"/>
      <c r="AK174" s="385"/>
      <c r="AL174" s="385"/>
      <c r="AM174" s="445"/>
      <c r="AN174" s="439"/>
      <c r="AO174" s="444"/>
      <c r="AP174" s="441"/>
    </row>
    <row r="175" spans="1:42" s="398" customFormat="1" ht="12.75" customHeight="1">
      <c r="A175" s="385"/>
      <c r="B175" s="385"/>
      <c r="C175" s="388" t="s">
        <v>2201</v>
      </c>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c r="AL175" s="385"/>
      <c r="AM175" s="445"/>
      <c r="AN175" s="439"/>
      <c r="AO175" s="446"/>
      <c r="AP175" s="446"/>
    </row>
    <row r="176" spans="1:42" s="398" customFormat="1" ht="12.75" customHeight="1">
      <c r="A176" s="385"/>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c r="AL176" s="385"/>
      <c r="AM176" s="445"/>
      <c r="AN176" s="439"/>
    </row>
    <row r="177" spans="1:73" s="398" customFormat="1" ht="12.75" customHeight="1">
      <c r="A177" s="385"/>
      <c r="B177" s="385"/>
      <c r="C177" s="387" t="s">
        <v>2213</v>
      </c>
      <c r="D177" s="1190"/>
      <c r="E177" s="1190"/>
      <c r="F177" s="1190"/>
      <c r="G177" s="1190"/>
      <c r="H177" s="1190"/>
      <c r="I177" s="1190"/>
      <c r="J177" s="1190"/>
      <c r="K177" s="1190"/>
      <c r="L177" s="1190"/>
      <c r="M177" s="1190"/>
      <c r="N177" s="1190"/>
      <c r="O177" s="1190"/>
      <c r="P177" s="1190"/>
      <c r="Q177" s="1190"/>
      <c r="R177" s="1190"/>
      <c r="S177" s="1190"/>
      <c r="T177" s="1190"/>
      <c r="U177" s="1190"/>
      <c r="V177" s="1190"/>
      <c r="W177" s="1190"/>
      <c r="X177" s="1190"/>
      <c r="Y177" s="1190"/>
      <c r="Z177" s="1190"/>
      <c r="AA177" s="1190"/>
      <c r="AB177" s="1190"/>
      <c r="AC177" s="1190"/>
      <c r="AD177" s="1190"/>
      <c r="AE177" s="385"/>
      <c r="AF177" s="385"/>
      <c r="AG177" s="385"/>
      <c r="AH177" s="385"/>
      <c r="AI177" s="385"/>
      <c r="AJ177" s="385"/>
      <c r="AK177" s="385"/>
      <c r="AL177" s="385"/>
      <c r="AM177" s="445"/>
      <c r="AN177" s="439"/>
      <c r="AO177" s="332" t="s">
        <v>2197</v>
      </c>
      <c r="AP177" s="332"/>
    </row>
    <row r="178" spans="1:73" s="398" customFormat="1" ht="12.75" customHeight="1">
      <c r="A178" s="385"/>
      <c r="B178" s="385"/>
      <c r="C178" s="2523" t="str">
        <f>Application!AA335</f>
        <v>Cambridge Real Estate Services, Inc.</v>
      </c>
      <c r="D178" s="2523"/>
      <c r="E178" s="2523"/>
      <c r="F178" s="2523"/>
      <c r="G178" s="2523"/>
      <c r="H178" s="2523"/>
      <c r="I178" s="2523"/>
      <c r="J178" s="2523"/>
      <c r="K178" s="2523"/>
      <c r="L178" s="2523"/>
      <c r="M178" s="2523"/>
      <c r="N178" s="2523"/>
      <c r="O178" s="2523"/>
      <c r="P178" s="2523"/>
      <c r="Q178" s="2523"/>
      <c r="R178" s="2523"/>
      <c r="S178" s="2523"/>
      <c r="T178" s="2523"/>
      <c r="U178" s="2523"/>
      <c r="V178" s="2523"/>
      <c r="W178" s="2523"/>
      <c r="X178" s="2523"/>
      <c r="Y178" s="2523"/>
      <c r="Z178" s="2523"/>
      <c r="AA178" s="2523"/>
      <c r="AB178" s="2523"/>
      <c r="AC178" s="2523"/>
      <c r="AD178" s="2523"/>
      <c r="AE178" s="385"/>
      <c r="AF178" s="385"/>
      <c r="AG178" s="385"/>
      <c r="AH178" s="385"/>
      <c r="AI178" s="385"/>
      <c r="AJ178" s="385"/>
      <c r="AK178" s="385"/>
      <c r="AL178" s="385"/>
      <c r="AM178" s="445"/>
      <c r="AN178" s="439"/>
      <c r="AO178" s="332" t="s">
        <v>2214</v>
      </c>
      <c r="AP178" s="441">
        <v>2</v>
      </c>
    </row>
    <row r="179" spans="1:73" s="398" customFormat="1" ht="12.75" customHeight="1">
      <c r="A179" s="385"/>
      <c r="B179" s="385"/>
      <c r="C179" s="1190"/>
      <c r="D179" s="1190"/>
      <c r="E179" s="1190"/>
      <c r="F179" s="1190"/>
      <c r="G179" s="1190"/>
      <c r="H179" s="1190"/>
      <c r="I179" s="1190"/>
      <c r="J179" s="1190"/>
      <c r="K179" s="1190"/>
      <c r="L179" s="1190"/>
      <c r="M179" s="1190"/>
      <c r="N179" s="1190"/>
      <c r="O179" s="1190"/>
      <c r="P179" s="1190"/>
      <c r="Q179" s="1190"/>
      <c r="R179" s="1190"/>
      <c r="S179" s="1190"/>
      <c r="T179" s="1190"/>
      <c r="U179" s="1190"/>
      <c r="V179" s="1190"/>
      <c r="W179" s="1190"/>
      <c r="X179" s="1190"/>
      <c r="Y179" s="1190"/>
      <c r="Z179" s="1190"/>
      <c r="AA179" s="1190"/>
      <c r="AB179" s="1190"/>
      <c r="AC179" s="1190"/>
      <c r="AD179" s="1190"/>
      <c r="AE179" s="385"/>
      <c r="AF179" s="385"/>
      <c r="AG179" s="385"/>
      <c r="AH179" s="385"/>
      <c r="AI179" s="385"/>
      <c r="AJ179" s="385"/>
      <c r="AK179" s="385"/>
      <c r="AL179" s="385"/>
      <c r="AM179" s="445"/>
      <c r="AN179" s="439"/>
      <c r="AO179" s="332" t="s">
        <v>2215</v>
      </c>
      <c r="AP179" s="441">
        <v>3</v>
      </c>
    </row>
    <row r="180" spans="1:73" s="398" customFormat="1" ht="12.75" customHeight="1">
      <c r="A180" s="447"/>
      <c r="B180" s="410"/>
      <c r="C180" s="410"/>
      <c r="D180" s="409"/>
      <c r="E180" s="410"/>
      <c r="F180" s="410"/>
      <c r="G180" s="410"/>
      <c r="H180" s="410"/>
      <c r="I180" s="410"/>
      <c r="J180" s="410"/>
      <c r="K180" s="410"/>
      <c r="L180" s="410"/>
      <c r="M180" s="410"/>
      <c r="N180" s="410"/>
      <c r="O180" s="410"/>
      <c r="P180" s="410"/>
      <c r="Q180" s="443"/>
      <c r="R180" s="448"/>
      <c r="S180" s="410"/>
      <c r="T180" s="410"/>
      <c r="U180" s="410"/>
      <c r="V180" s="410"/>
      <c r="W180" s="410"/>
      <c r="X180" s="410"/>
      <c r="Y180" s="410"/>
      <c r="Z180" s="410"/>
      <c r="AA180" s="410"/>
      <c r="AB180" s="410"/>
      <c r="AC180" s="410"/>
      <c r="AD180" s="410"/>
      <c r="AE180" s="410"/>
      <c r="AF180" s="410"/>
      <c r="AG180" s="410"/>
      <c r="AH180" s="410"/>
      <c r="AI180" s="411" t="s">
        <v>2216</v>
      </c>
      <c r="AJ180" s="2410">
        <f>IF($AF$172="N/A",VLOOKUP($C$170,$AO$170:$AP$173,2,FALSE),VLOOKUP($C$174,$AO$177:$AP$179,2,FALSE))</f>
        <v>3</v>
      </c>
      <c r="AK180" s="2410"/>
      <c r="AL180" s="449"/>
      <c r="AM180" s="450"/>
      <c r="AN180" s="439"/>
      <c r="AO180" s="444"/>
      <c r="AP180" s="441"/>
    </row>
    <row r="181" spans="1:73" s="398" customFormat="1" ht="12.75" customHeight="1">
      <c r="A181" s="385"/>
      <c r="B181" s="451"/>
      <c r="R181" s="385"/>
      <c r="S181" s="451"/>
      <c r="AN181" s="439"/>
    </row>
    <row r="182" spans="1:73" s="398" customFormat="1" ht="12.75" customHeight="1">
      <c r="A182" s="452"/>
      <c r="B182" s="445"/>
      <c r="C182" s="445"/>
      <c r="D182" s="445"/>
      <c r="E182" s="445"/>
      <c r="F182" s="445"/>
      <c r="G182" s="445"/>
      <c r="H182" s="445"/>
      <c r="I182" s="445"/>
      <c r="J182" s="445"/>
      <c r="K182" s="445"/>
      <c r="L182" s="445"/>
      <c r="M182" s="445"/>
      <c r="N182" s="445"/>
      <c r="O182" s="445"/>
      <c r="P182" s="445"/>
      <c r="Q182" s="445"/>
      <c r="R182" s="445"/>
      <c r="S182" s="445"/>
      <c r="T182" s="445"/>
      <c r="U182" s="445"/>
      <c r="V182" s="445"/>
      <c r="W182" s="445"/>
      <c r="X182" s="445"/>
      <c r="Y182" s="445"/>
      <c r="Z182" s="445"/>
      <c r="AA182" s="445"/>
      <c r="AB182" s="445"/>
      <c r="AC182" s="445"/>
      <c r="AD182" s="445"/>
      <c r="AE182" s="445"/>
      <c r="AF182" s="445"/>
      <c r="AG182" s="445"/>
      <c r="AH182" s="445"/>
      <c r="AI182" s="445"/>
      <c r="AJ182" s="445"/>
      <c r="AK182" s="445"/>
      <c r="AL182" s="445"/>
      <c r="AM182" s="445"/>
      <c r="AN182" s="439"/>
    </row>
    <row r="183" spans="1:73" s="398" customFormat="1" ht="12.75" customHeight="1">
      <c r="A183" s="407"/>
      <c r="B183" s="408"/>
      <c r="C183" s="408"/>
      <c r="D183" s="408"/>
      <c r="E183" s="408"/>
      <c r="F183" s="408"/>
      <c r="G183" s="409"/>
      <c r="H183" s="410"/>
      <c r="I183" s="410"/>
      <c r="J183" s="410"/>
      <c r="K183" s="410"/>
      <c r="L183" s="410"/>
      <c r="M183" s="410"/>
      <c r="N183" s="410"/>
      <c r="O183" s="410"/>
      <c r="P183" s="410"/>
      <c r="Q183" s="410"/>
      <c r="R183" s="410"/>
      <c r="S183" s="410"/>
      <c r="T183" s="410"/>
      <c r="U183" s="410"/>
      <c r="V183" s="410"/>
      <c r="W183" s="410"/>
      <c r="X183" s="410"/>
      <c r="Y183" s="410"/>
      <c r="Z183" s="410"/>
      <c r="AA183" s="410"/>
      <c r="AB183" s="410"/>
      <c r="AC183" s="410"/>
      <c r="AD183" s="410"/>
      <c r="AE183" s="410"/>
      <c r="AF183" s="410"/>
      <c r="AG183" s="410"/>
      <c r="AH183" s="410"/>
      <c r="AI183" s="411"/>
      <c r="AJ183" s="411" t="s">
        <v>2217</v>
      </c>
      <c r="AK183" s="2517">
        <f>$AJ$166+$AJ$180</f>
        <v>10</v>
      </c>
      <c r="AL183" s="2518"/>
      <c r="AM183" s="2519"/>
      <c r="AN183" s="439"/>
    </row>
    <row r="184" spans="1:73" s="398" customFormat="1" ht="12.75" customHeight="1" thickBot="1">
      <c r="A184" s="412"/>
      <c r="B184" s="413"/>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5"/>
      <c r="AN184" s="439"/>
      <c r="AO184" s="414"/>
      <c r="AR184" s="414"/>
      <c r="AS184" s="414"/>
      <c r="AT184" s="414"/>
      <c r="AU184" s="414"/>
      <c r="AV184" s="414"/>
      <c r="AW184" s="414"/>
      <c r="AX184" s="414"/>
      <c r="AY184" s="414"/>
      <c r="AZ184" s="414"/>
      <c r="BA184" s="414"/>
      <c r="BB184" s="414"/>
      <c r="BC184" s="414"/>
      <c r="BD184" s="414"/>
      <c r="BE184" s="414"/>
      <c r="BF184" s="414"/>
      <c r="BG184" s="414"/>
      <c r="BH184" s="414"/>
      <c r="BI184" s="414"/>
      <c r="BJ184" s="414"/>
      <c r="BK184" s="414"/>
      <c r="BL184" s="414"/>
      <c r="BM184" s="414"/>
      <c r="BN184" s="414"/>
      <c r="BO184" s="414"/>
      <c r="BP184" s="414"/>
      <c r="BQ184" s="414"/>
      <c r="BR184" s="414"/>
      <c r="BS184" s="414"/>
      <c r="BT184" s="414"/>
      <c r="BU184" s="414"/>
    </row>
    <row r="185" spans="1:73" s="398" customFormat="1" ht="12.75" customHeight="1" thickTop="1">
      <c r="A185" s="416"/>
      <c r="B185" s="417"/>
      <c r="C185" s="418"/>
      <c r="D185" s="418"/>
      <c r="E185" s="418"/>
      <c r="F185" s="418"/>
      <c r="G185" s="418"/>
      <c r="H185" s="418"/>
      <c r="I185" s="1194"/>
      <c r="J185" s="1194"/>
      <c r="K185" s="1194"/>
      <c r="L185" s="1194"/>
      <c r="M185" s="1194"/>
      <c r="N185" s="1194"/>
      <c r="O185" s="1194"/>
      <c r="P185" s="1194"/>
      <c r="Q185" s="1194"/>
      <c r="R185" s="416"/>
      <c r="S185" s="388"/>
      <c r="T185" s="388"/>
      <c r="U185" s="388"/>
      <c r="V185" s="388"/>
      <c r="W185" s="388"/>
      <c r="X185" s="388"/>
      <c r="Y185" s="388"/>
      <c r="Z185" s="388"/>
      <c r="AA185" s="388"/>
      <c r="AB185" s="388"/>
      <c r="AC185" s="388"/>
      <c r="AD185" s="388"/>
      <c r="AE185" s="388"/>
      <c r="AF185" s="416"/>
      <c r="AG185" s="388"/>
      <c r="AH185" s="388"/>
      <c r="AI185" s="388"/>
      <c r="AJ185" s="388"/>
      <c r="AN185" s="439"/>
      <c r="AP185" s="453" t="s">
        <v>2218</v>
      </c>
      <c r="AQ185" s="453">
        <v>0</v>
      </c>
    </row>
    <row r="186" spans="1:73" s="398" customFormat="1" ht="12.75" customHeight="1">
      <c r="A186" s="387" t="s">
        <v>2219</v>
      </c>
      <c r="B186" s="387" t="s">
        <v>2220</v>
      </c>
      <c r="C186" s="454"/>
      <c r="D186" s="455"/>
      <c r="E186" s="455"/>
      <c r="F186" s="455"/>
      <c r="G186" s="455"/>
      <c r="H186" s="455"/>
      <c r="I186" s="455"/>
      <c r="J186" s="455"/>
      <c r="K186" s="385"/>
      <c r="L186" s="385"/>
      <c r="M186" s="385"/>
      <c r="N186" s="385"/>
      <c r="O186" s="385"/>
      <c r="P186" s="385"/>
      <c r="Q186" s="385"/>
      <c r="R186" s="385"/>
      <c r="S186" s="385"/>
      <c r="T186" s="385"/>
      <c r="U186" s="385"/>
      <c r="V186" s="385"/>
      <c r="W186" s="385"/>
      <c r="X186" s="385"/>
      <c r="Y186" s="1207"/>
      <c r="Z186" s="1207"/>
      <c r="AA186" s="1207"/>
      <c r="AB186" s="1207"/>
      <c r="AC186" s="385"/>
      <c r="AD186" s="385"/>
      <c r="AE186" s="2391" t="s">
        <v>2147</v>
      </c>
      <c r="AF186" s="2391"/>
      <c r="AG186" s="2391"/>
      <c r="AH186" s="2391"/>
      <c r="AI186" s="2391"/>
      <c r="AJ186" s="2391"/>
      <c r="AK186" s="2391"/>
      <c r="AL186" s="1197"/>
      <c r="AN186" s="439"/>
      <c r="AP186" s="398" t="s">
        <v>938</v>
      </c>
      <c r="AQ186" s="398">
        <v>10</v>
      </c>
    </row>
    <row r="187" spans="1:73" s="398" customFormat="1" ht="12.75" customHeight="1">
      <c r="A187" s="387"/>
      <c r="B187" s="456"/>
      <c r="C187" s="457"/>
      <c r="D187" s="455"/>
      <c r="E187" s="455"/>
      <c r="F187" s="455"/>
      <c r="G187" s="455"/>
      <c r="H187" s="385"/>
      <c r="I187" s="385"/>
      <c r="J187" s="385"/>
      <c r="K187" s="385"/>
      <c r="L187" s="385"/>
      <c r="M187" s="385"/>
      <c r="N187" s="385"/>
      <c r="O187" s="385"/>
      <c r="P187" s="385"/>
      <c r="Q187" s="385"/>
      <c r="R187" s="1207"/>
      <c r="S187" s="1207"/>
      <c r="T187" s="1207"/>
      <c r="U187" s="1207"/>
      <c r="V187" s="1207"/>
      <c r="W187" s="1207"/>
      <c r="X187" s="1207"/>
      <c r="Y187" s="1207"/>
      <c r="Z187" s="1207"/>
      <c r="AA187" s="1207"/>
      <c r="AB187" s="1207"/>
      <c r="AC187" s="1197"/>
      <c r="AD187" s="1197"/>
      <c r="AE187" s="385"/>
      <c r="AF187" s="385"/>
      <c r="AG187" s="385"/>
      <c r="AH187" s="385"/>
      <c r="AI187" s="385"/>
      <c r="AJ187" s="385"/>
      <c r="AK187" s="385"/>
      <c r="AL187" s="385"/>
      <c r="AN187" s="439"/>
      <c r="AP187" s="398" t="s">
        <v>2221</v>
      </c>
      <c r="AQ187" s="398">
        <v>10</v>
      </c>
    </row>
    <row r="188" spans="1:73" s="398" customFormat="1" ht="12.75" customHeight="1">
      <c r="A188" s="385"/>
      <c r="B188" s="2520" t="s">
        <v>938</v>
      </c>
      <c r="C188" s="2520"/>
      <c r="D188" s="2520"/>
      <c r="E188" s="2520"/>
      <c r="F188" s="2520"/>
      <c r="G188" s="2520"/>
      <c r="H188" s="2520"/>
      <c r="I188" s="2520"/>
      <c r="J188" s="2520"/>
      <c r="K188" s="2520"/>
      <c r="L188" s="2520"/>
      <c r="M188" s="2520"/>
      <c r="N188" s="2520"/>
      <c r="O188" s="2520"/>
      <c r="P188" s="2520"/>
      <c r="Q188" s="2520"/>
      <c r="R188" s="2520"/>
      <c r="S188" s="2520"/>
      <c r="T188" s="2520"/>
      <c r="U188" s="2520"/>
      <c r="V188" s="2520"/>
      <c r="W188" s="2520"/>
      <c r="X188" s="2520"/>
      <c r="Y188" s="2520"/>
      <c r="Z188" s="2520"/>
      <c r="AA188" s="2520"/>
      <c r="AB188" s="2520"/>
      <c r="AC188" s="2520"/>
      <c r="AD188" s="385"/>
      <c r="AE188" s="385"/>
      <c r="AF188" s="2451" t="s">
        <v>2222</v>
      </c>
      <c r="AG188" s="2451"/>
      <c r="AH188" s="2451"/>
      <c r="AI188" s="2451"/>
      <c r="AJ188" s="2451"/>
      <c r="AK188" s="2451"/>
      <c r="AL188" s="2451"/>
      <c r="AN188" s="439"/>
      <c r="AP188" s="398" t="s">
        <v>946</v>
      </c>
      <c r="AQ188" s="398">
        <v>10</v>
      </c>
    </row>
    <row r="189" spans="1:73" s="398" customFormat="1" ht="12.75" customHeight="1">
      <c r="A189" s="385"/>
      <c r="B189" s="2322" t="s">
        <v>2223</v>
      </c>
      <c r="C189" s="2322"/>
      <c r="D189" s="2322"/>
      <c r="E189" s="2322"/>
      <c r="F189" s="2322"/>
      <c r="G189" s="2322"/>
      <c r="H189" s="2322"/>
      <c r="I189" s="2322"/>
      <c r="J189" s="2322"/>
      <c r="K189" s="2322"/>
      <c r="L189" s="2322"/>
      <c r="M189" s="2322"/>
      <c r="N189" s="2322"/>
      <c r="O189" s="2322"/>
      <c r="P189" s="2322"/>
      <c r="Q189" s="2322"/>
      <c r="R189" s="2322"/>
      <c r="S189" s="2322"/>
      <c r="T189" s="2521" t="s">
        <v>810</v>
      </c>
      <c r="U189" s="2521"/>
      <c r="V189" s="2521"/>
      <c r="W189" s="2521"/>
      <c r="X189" s="2521"/>
      <c r="Y189" s="2521"/>
      <c r="Z189" s="2521"/>
      <c r="AA189" s="2521"/>
      <c r="AB189" s="2521"/>
      <c r="AC189" s="2521"/>
      <c r="AD189" s="385"/>
      <c r="AE189" s="385"/>
      <c r="AF189" s="385"/>
      <c r="AG189" s="385"/>
      <c r="AH189" s="385"/>
      <c r="AI189" s="385"/>
      <c r="AJ189" s="1200"/>
      <c r="AK189" s="437"/>
      <c r="AL189" s="437"/>
      <c r="AM189" s="437"/>
      <c r="AN189" s="439"/>
      <c r="AP189" s="398" t="s">
        <v>947</v>
      </c>
      <c r="AQ189" s="398">
        <v>10</v>
      </c>
      <c r="AS189" s="398" t="s">
        <v>810</v>
      </c>
    </row>
    <row r="190" spans="1:73" s="398" customFormat="1" ht="12.75" customHeight="1">
      <c r="A190" s="385"/>
      <c r="B190" s="1190"/>
      <c r="C190" s="1190"/>
      <c r="D190" s="1190"/>
      <c r="E190" s="1190"/>
      <c r="F190" s="1190"/>
      <c r="G190" s="1190"/>
      <c r="H190" s="1190"/>
      <c r="I190" s="1190"/>
      <c r="J190" s="1190"/>
      <c r="K190" s="1190"/>
      <c r="L190" s="1190"/>
      <c r="M190" s="1190"/>
      <c r="N190" s="1190"/>
      <c r="O190" s="1190"/>
      <c r="P190" s="1190"/>
      <c r="Q190" s="1190"/>
      <c r="R190" s="1190"/>
      <c r="S190" s="1190"/>
      <c r="T190" s="1190"/>
      <c r="U190" s="1190"/>
      <c r="V190" s="1190"/>
      <c r="W190" s="1190"/>
      <c r="X190" s="1190"/>
      <c r="Y190" s="1190"/>
      <c r="Z190" s="1190"/>
      <c r="AA190" s="1190"/>
      <c r="AB190" s="1190"/>
      <c r="AC190" s="1190"/>
      <c r="AD190" s="1190"/>
      <c r="AE190" s="385"/>
      <c r="AF190" s="385"/>
      <c r="AG190" s="385"/>
      <c r="AH190" s="385"/>
      <c r="AI190" s="385"/>
      <c r="AJ190" s="1200"/>
      <c r="AK190" s="437"/>
      <c r="AL190" s="437"/>
      <c r="AM190" s="458"/>
      <c r="AP190" s="398" t="s">
        <v>2224</v>
      </c>
      <c r="AQ190" s="398">
        <v>10</v>
      </c>
      <c r="AS190" s="398" t="s">
        <v>2225</v>
      </c>
    </row>
    <row r="191" spans="1:73" s="398" customFormat="1" ht="12.75" customHeight="1">
      <c r="A191" s="447"/>
      <c r="B191" s="410"/>
      <c r="C191" s="410"/>
      <c r="D191" s="410"/>
      <c r="E191" s="410"/>
      <c r="F191" s="410"/>
      <c r="G191" s="410"/>
      <c r="H191" s="410"/>
      <c r="I191" s="410"/>
      <c r="J191" s="410"/>
      <c r="K191" s="410"/>
      <c r="L191" s="410"/>
      <c r="M191" s="410"/>
      <c r="N191" s="410"/>
      <c r="O191" s="410"/>
      <c r="P191" s="410"/>
      <c r="Q191" s="410"/>
      <c r="R191" s="410"/>
      <c r="S191" s="410"/>
      <c r="T191" s="410"/>
      <c r="U191" s="410"/>
      <c r="V191" s="410"/>
      <c r="W191" s="410"/>
      <c r="X191" s="410"/>
      <c r="Y191" s="410"/>
      <c r="Z191" s="410"/>
      <c r="AA191" s="410"/>
      <c r="AB191" s="410"/>
      <c r="AC191" s="410"/>
      <c r="AD191" s="410"/>
      <c r="AE191" s="410"/>
      <c r="AF191" s="410"/>
      <c r="AG191" s="410"/>
      <c r="AH191" s="410"/>
      <c r="AI191" s="411"/>
      <c r="AJ191" s="411" t="s">
        <v>2226</v>
      </c>
      <c r="AK191" s="2358">
        <f>IF(AK84&gt;0,VLOOKUP($B$188,AP185:AQ191,2,FALSE),0)</f>
        <v>10</v>
      </c>
      <c r="AL191" s="2359"/>
      <c r="AM191" s="2360"/>
      <c r="AN191" s="384"/>
      <c r="AP191" s="398" t="s">
        <v>2227</v>
      </c>
      <c r="AQ191" s="398">
        <v>10</v>
      </c>
      <c r="AS191" s="398" t="s">
        <v>2228</v>
      </c>
    </row>
    <row r="192" spans="1:73" s="398" customFormat="1" ht="12.75" customHeight="1" thickBot="1">
      <c r="A192" s="459"/>
      <c r="B192" s="459"/>
      <c r="C192" s="460"/>
      <c r="D192" s="461"/>
      <c r="E192" s="461"/>
      <c r="F192" s="461"/>
      <c r="G192" s="461"/>
      <c r="H192" s="461"/>
      <c r="I192" s="461"/>
      <c r="J192" s="461"/>
      <c r="K192" s="461"/>
      <c r="L192" s="461"/>
      <c r="M192" s="461"/>
      <c r="N192" s="461"/>
      <c r="O192" s="461"/>
      <c r="P192" s="461"/>
      <c r="Q192" s="461"/>
      <c r="R192" s="461"/>
      <c r="S192" s="461"/>
      <c r="T192" s="461"/>
      <c r="U192" s="461"/>
      <c r="V192" s="461"/>
      <c r="W192" s="461"/>
      <c r="X192" s="461"/>
      <c r="Y192" s="461"/>
      <c r="Z192" s="461"/>
      <c r="AA192" s="461"/>
      <c r="AB192" s="461"/>
      <c r="AC192" s="461"/>
      <c r="AD192" s="461"/>
      <c r="AE192" s="461"/>
      <c r="AF192" s="461"/>
      <c r="AG192" s="461"/>
      <c r="AH192" s="461"/>
      <c r="AI192" s="461"/>
      <c r="AJ192" s="461"/>
      <c r="AK192" s="461"/>
      <c r="AL192" s="461"/>
      <c r="AM192" s="461"/>
      <c r="AN192" s="439"/>
    </row>
    <row r="193" spans="1:40" s="398" customFormat="1" ht="12.75" customHeight="1" thickTop="1">
      <c r="A193" s="416"/>
      <c r="B193" s="417"/>
      <c r="C193" s="418"/>
      <c r="D193" s="418"/>
      <c r="E193" s="418"/>
      <c r="F193" s="418"/>
      <c r="G193" s="418"/>
      <c r="H193" s="418"/>
      <c r="I193" s="1194"/>
      <c r="J193" s="1194"/>
      <c r="K193" s="1194"/>
      <c r="L193" s="1194"/>
      <c r="M193" s="1194"/>
      <c r="N193" s="1194"/>
      <c r="O193" s="1194"/>
      <c r="P193" s="1194"/>
      <c r="Q193" s="1194"/>
      <c r="R193" s="416"/>
      <c r="S193" s="388"/>
      <c r="T193" s="388"/>
      <c r="U193" s="388"/>
      <c r="V193" s="388"/>
      <c r="W193" s="388"/>
      <c r="X193" s="388"/>
      <c r="Y193" s="388"/>
      <c r="Z193" s="388"/>
      <c r="AA193" s="388"/>
      <c r="AB193" s="388"/>
      <c r="AC193" s="388"/>
      <c r="AD193" s="388"/>
      <c r="AE193" s="388"/>
      <c r="AF193" s="416"/>
      <c r="AG193" s="388"/>
      <c r="AH193" s="388"/>
      <c r="AI193" s="388"/>
      <c r="AJ193" s="388"/>
      <c r="AN193" s="439"/>
    </row>
    <row r="194" spans="1:40">
      <c r="A194" s="387" t="s">
        <v>2229</v>
      </c>
      <c r="B194" s="387" t="s">
        <v>2230</v>
      </c>
      <c r="C194" s="454"/>
      <c r="D194" s="455"/>
      <c r="E194" s="455"/>
      <c r="F194" s="455"/>
      <c r="G194" s="455"/>
      <c r="H194" s="455"/>
      <c r="I194" s="455"/>
      <c r="J194" s="455"/>
      <c r="K194" s="398"/>
      <c r="L194" s="398"/>
      <c r="M194" s="398"/>
      <c r="N194" s="398"/>
      <c r="O194" s="398"/>
      <c r="P194" s="398"/>
      <c r="Q194" s="398"/>
      <c r="R194" s="398"/>
      <c r="S194" s="398"/>
      <c r="T194" s="398"/>
      <c r="U194" s="398"/>
      <c r="V194" s="398"/>
      <c r="W194" s="398"/>
      <c r="X194" s="398"/>
      <c r="Y194" s="1207"/>
      <c r="Z194" s="1207"/>
      <c r="AA194" s="1207"/>
      <c r="AB194" s="1207"/>
      <c r="AC194" s="398"/>
      <c r="AD194" s="398"/>
      <c r="AE194" s="2391" t="s">
        <v>2231</v>
      </c>
      <c r="AF194" s="2391"/>
      <c r="AG194" s="2391"/>
      <c r="AH194" s="2391"/>
      <c r="AI194" s="2391"/>
      <c r="AJ194" s="2391"/>
      <c r="AK194" s="2391"/>
    </row>
    <row r="195" spans="1:40">
      <c r="A195" s="387"/>
      <c r="B195" s="387"/>
      <c r="C195" s="454"/>
      <c r="D195" s="455"/>
      <c r="E195" s="455"/>
      <c r="F195" s="455"/>
      <c r="G195" s="455"/>
      <c r="H195" s="455"/>
      <c r="I195" s="455"/>
      <c r="J195" s="455"/>
      <c r="K195" s="385"/>
      <c r="L195" s="385"/>
      <c r="M195" s="385"/>
      <c r="N195" s="385"/>
      <c r="O195" s="385"/>
      <c r="P195" s="385"/>
      <c r="Q195" s="385"/>
      <c r="R195" s="385"/>
      <c r="S195" s="385"/>
      <c r="T195" s="385"/>
      <c r="U195" s="385"/>
      <c r="V195" s="385"/>
      <c r="W195" s="385"/>
      <c r="X195" s="385"/>
      <c r="Y195" s="1207"/>
      <c r="Z195" s="1207"/>
      <c r="AA195" s="1207"/>
      <c r="AB195" s="1207"/>
      <c r="AC195" s="385"/>
      <c r="AD195" s="385"/>
      <c r="AE195" s="1200"/>
      <c r="AF195" s="1200"/>
      <c r="AG195" s="1200"/>
      <c r="AH195" s="1200"/>
      <c r="AI195" s="1200"/>
      <c r="AJ195" s="1200"/>
      <c r="AK195" s="1200"/>
    </row>
    <row r="196" spans="1:40">
      <c r="A196" s="387"/>
      <c r="B196" s="668" t="s">
        <v>2232</v>
      </c>
      <c r="C196" s="454"/>
      <c r="D196" s="455"/>
      <c r="E196" s="455"/>
      <c r="F196" s="455"/>
      <c r="G196" s="455"/>
      <c r="H196" s="455"/>
      <c r="I196" s="455"/>
      <c r="J196" s="455"/>
      <c r="K196" s="385"/>
      <c r="L196" s="385"/>
      <c r="M196" s="385"/>
      <c r="N196" s="385"/>
      <c r="O196" s="385"/>
      <c r="P196" s="385"/>
      <c r="Q196" s="385"/>
      <c r="R196" s="385"/>
      <c r="S196" s="385"/>
      <c r="T196" s="385"/>
      <c r="U196" s="385"/>
      <c r="V196" s="385"/>
      <c r="W196" s="385"/>
      <c r="X196" s="385"/>
      <c r="Y196" s="1207"/>
      <c r="Z196" s="1207"/>
      <c r="AA196" s="1207"/>
      <c r="AB196" s="1207"/>
      <c r="AC196" s="385"/>
      <c r="AD196" s="385"/>
      <c r="AE196" s="1200"/>
      <c r="AF196" s="1200"/>
      <c r="AG196" s="1200"/>
      <c r="AH196" s="1200"/>
      <c r="AI196" s="1200"/>
      <c r="AJ196" s="1200"/>
      <c r="AK196" s="1200"/>
    </row>
    <row r="197" spans="1:40">
      <c r="A197" s="1190"/>
      <c r="C197" s="500"/>
      <c r="D197" s="654"/>
      <c r="E197" s="654"/>
      <c r="F197" s="654"/>
      <c r="G197" s="654"/>
      <c r="H197" s="654"/>
      <c r="I197" s="654"/>
      <c r="J197" s="654"/>
      <c r="K197" s="385"/>
      <c r="L197" s="385"/>
      <c r="M197" s="385"/>
      <c r="N197" s="385"/>
      <c r="O197" s="385"/>
      <c r="P197" s="385"/>
      <c r="Q197" s="385"/>
      <c r="R197" s="385"/>
      <c r="S197" s="385"/>
      <c r="T197" s="385"/>
      <c r="U197" s="385"/>
      <c r="V197" s="385"/>
      <c r="W197" s="385"/>
      <c r="X197" s="385"/>
      <c r="Y197" s="1191"/>
      <c r="Z197" s="1191"/>
      <c r="AA197" s="1191"/>
      <c r="AB197" s="1191"/>
      <c r="AC197" s="385"/>
      <c r="AD197" s="385"/>
      <c r="AE197" s="451"/>
      <c r="AF197" s="451"/>
      <c r="AG197" s="451"/>
      <c r="AH197" s="451"/>
      <c r="AI197" s="451"/>
      <c r="AJ197" s="451"/>
      <c r="AK197" s="451"/>
    </row>
    <row r="198" spans="1:40">
      <c r="A198" s="1190"/>
      <c r="B198" s="669" t="s">
        <v>2233</v>
      </c>
      <c r="C198" s="500"/>
      <c r="D198" s="654"/>
      <c r="E198" s="654"/>
      <c r="F198" s="654"/>
      <c r="G198" s="654"/>
      <c r="H198" s="654"/>
      <c r="I198" s="654"/>
      <c r="J198" s="654"/>
      <c r="K198" s="385"/>
      <c r="L198" s="385"/>
      <c r="M198" s="385"/>
      <c r="N198" s="385"/>
      <c r="O198" s="385"/>
      <c r="P198" s="385"/>
      <c r="Q198" s="385"/>
      <c r="R198" s="385"/>
      <c r="S198" s="385"/>
      <c r="T198" s="385"/>
      <c r="U198" s="385"/>
      <c r="V198" s="385"/>
      <c r="W198" s="385"/>
      <c r="X198" s="385"/>
      <c r="Y198" s="1191"/>
      <c r="Z198" s="1191"/>
      <c r="AA198" s="1191"/>
      <c r="AB198" s="1191"/>
      <c r="AC198" s="385"/>
      <c r="AD198" s="385"/>
      <c r="AE198" s="451"/>
      <c r="AF198" s="451"/>
      <c r="AG198" s="451"/>
      <c r="AH198" s="451"/>
      <c r="AI198" s="451"/>
      <c r="AJ198" s="451"/>
      <c r="AK198" s="451"/>
    </row>
    <row r="199" spans="1:40">
      <c r="A199" s="1190"/>
      <c r="B199" s="2514" t="s">
        <v>2234</v>
      </c>
      <c r="C199" s="2514"/>
      <c r="D199" s="2514"/>
      <c r="E199" s="2514"/>
      <c r="F199" s="2514"/>
      <c r="G199" s="2514"/>
      <c r="H199" s="2514"/>
      <c r="I199" s="2514"/>
      <c r="J199" s="2514"/>
      <c r="K199" s="2514"/>
      <c r="L199" s="2514"/>
      <c r="M199" s="2514"/>
      <c r="N199" s="2514"/>
      <c r="O199" s="2514"/>
      <c r="P199" s="2514"/>
      <c r="Q199" s="2514"/>
      <c r="R199" s="2514"/>
      <c r="S199" s="2514"/>
      <c r="T199" s="2514"/>
      <c r="U199" s="2514"/>
      <c r="V199" s="2514"/>
      <c r="W199" s="2514"/>
      <c r="X199" s="2514"/>
      <c r="Y199" s="2514"/>
      <c r="Z199" s="2514"/>
      <c r="AA199" s="2514"/>
      <c r="AB199" s="2514"/>
      <c r="AC199" s="670"/>
      <c r="AD199" s="2504">
        <v>4000000</v>
      </c>
      <c r="AE199" s="2504"/>
      <c r="AF199" s="2504"/>
      <c r="AG199" s="2504"/>
      <c r="AH199" s="2504"/>
      <c r="AI199" s="2504"/>
      <c r="AJ199" s="2504"/>
      <c r="AK199" s="451"/>
    </row>
    <row r="200" spans="1:40">
      <c r="A200" s="1190"/>
      <c r="B200" s="2514"/>
      <c r="C200" s="2514"/>
      <c r="D200" s="2514"/>
      <c r="E200" s="2514"/>
      <c r="F200" s="2514"/>
      <c r="G200" s="2514"/>
      <c r="H200" s="2514"/>
      <c r="I200" s="2514"/>
      <c r="J200" s="2514"/>
      <c r="K200" s="2514"/>
      <c r="L200" s="2514"/>
      <c r="M200" s="2514"/>
      <c r="N200" s="2514"/>
      <c r="O200" s="2514"/>
      <c r="P200" s="2514"/>
      <c r="Q200" s="2514"/>
      <c r="R200" s="2514"/>
      <c r="S200" s="2514"/>
      <c r="T200" s="2514"/>
      <c r="U200" s="2514"/>
      <c r="V200" s="2514"/>
      <c r="W200" s="2514"/>
      <c r="X200" s="2514"/>
      <c r="Y200" s="2514"/>
      <c r="Z200" s="2514"/>
      <c r="AA200" s="2514"/>
      <c r="AB200" s="2514"/>
      <c r="AC200" s="670"/>
      <c r="AD200" s="2504"/>
      <c r="AE200" s="2504"/>
      <c r="AF200" s="2504"/>
      <c r="AG200" s="2504"/>
      <c r="AH200" s="2504"/>
      <c r="AI200" s="2504"/>
      <c r="AJ200" s="2504"/>
      <c r="AK200" s="451"/>
    </row>
    <row r="201" spans="1:40">
      <c r="A201" s="1190"/>
      <c r="B201" s="2514"/>
      <c r="C201" s="2514"/>
      <c r="D201" s="2514"/>
      <c r="E201" s="2514"/>
      <c r="F201" s="2514"/>
      <c r="G201" s="2514"/>
      <c r="H201" s="2514"/>
      <c r="I201" s="2514"/>
      <c r="J201" s="2514"/>
      <c r="K201" s="2514"/>
      <c r="L201" s="2514"/>
      <c r="M201" s="2514"/>
      <c r="N201" s="2514"/>
      <c r="O201" s="2514"/>
      <c r="P201" s="2514"/>
      <c r="Q201" s="2514"/>
      <c r="R201" s="2514"/>
      <c r="S201" s="2514"/>
      <c r="T201" s="2514"/>
      <c r="U201" s="2514"/>
      <c r="V201" s="2514"/>
      <c r="W201" s="2514"/>
      <c r="X201" s="2514"/>
      <c r="Y201" s="2514"/>
      <c r="Z201" s="2514"/>
      <c r="AA201" s="2514"/>
      <c r="AB201" s="2514"/>
      <c r="AC201" s="670"/>
      <c r="AD201" s="2504"/>
      <c r="AE201" s="2504"/>
      <c r="AF201" s="2504"/>
      <c r="AG201" s="2504"/>
      <c r="AH201" s="2504"/>
      <c r="AI201" s="2504"/>
      <c r="AJ201" s="2504"/>
      <c r="AK201" s="451"/>
    </row>
    <row r="202" spans="1:40">
      <c r="A202" s="1190"/>
      <c r="B202" s="2514"/>
      <c r="C202" s="2514"/>
      <c r="D202" s="2514"/>
      <c r="E202" s="2514"/>
      <c r="F202" s="2514"/>
      <c r="G202" s="2514"/>
      <c r="H202" s="2514"/>
      <c r="I202" s="2514"/>
      <c r="J202" s="2514"/>
      <c r="K202" s="2514"/>
      <c r="L202" s="2514"/>
      <c r="M202" s="2514"/>
      <c r="N202" s="2514"/>
      <c r="O202" s="2514"/>
      <c r="P202" s="2514"/>
      <c r="Q202" s="2514"/>
      <c r="R202" s="2514"/>
      <c r="S202" s="2514"/>
      <c r="T202" s="2514"/>
      <c r="U202" s="2514"/>
      <c r="V202" s="2514"/>
      <c r="W202" s="2514"/>
      <c r="X202" s="2514"/>
      <c r="Y202" s="2514"/>
      <c r="Z202" s="2514"/>
      <c r="AA202" s="2514"/>
      <c r="AB202" s="2514"/>
      <c r="AC202" s="670"/>
      <c r="AD202" s="2504"/>
      <c r="AE202" s="2504"/>
      <c r="AF202" s="2504"/>
      <c r="AG202" s="2504"/>
      <c r="AH202" s="2504"/>
      <c r="AI202" s="2504"/>
      <c r="AJ202" s="2504"/>
      <c r="AK202" s="451"/>
    </row>
    <row r="203" spans="1:40">
      <c r="A203" s="1190"/>
      <c r="B203" s="2514"/>
      <c r="C203" s="2514"/>
      <c r="D203" s="2514"/>
      <c r="E203" s="2514"/>
      <c r="F203" s="2514"/>
      <c r="G203" s="2514"/>
      <c r="H203" s="2514"/>
      <c r="I203" s="2514"/>
      <c r="J203" s="2514"/>
      <c r="K203" s="2514"/>
      <c r="L203" s="2514"/>
      <c r="M203" s="2514"/>
      <c r="N203" s="2514"/>
      <c r="O203" s="2514"/>
      <c r="P203" s="2514"/>
      <c r="Q203" s="2514"/>
      <c r="R203" s="2514"/>
      <c r="S203" s="2514"/>
      <c r="T203" s="2514"/>
      <c r="U203" s="2514"/>
      <c r="V203" s="2514"/>
      <c r="W203" s="2514"/>
      <c r="X203" s="2514"/>
      <c r="Y203" s="2514"/>
      <c r="Z203" s="2514"/>
      <c r="AA203" s="2514"/>
      <c r="AB203" s="2514"/>
      <c r="AC203" s="670"/>
      <c r="AD203" s="2504"/>
      <c r="AE203" s="2504"/>
      <c r="AF203" s="2504"/>
      <c r="AG203" s="2504"/>
      <c r="AH203" s="2504"/>
      <c r="AI203" s="2504"/>
      <c r="AJ203" s="2504"/>
      <c r="AK203" s="451"/>
    </row>
    <row r="204" spans="1:40">
      <c r="A204" s="1190"/>
      <c r="B204" s="2514"/>
      <c r="C204" s="2514"/>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670"/>
      <c r="AD204" s="2504"/>
      <c r="AE204" s="2504"/>
      <c r="AF204" s="2504"/>
      <c r="AG204" s="2504"/>
      <c r="AH204" s="2504"/>
      <c r="AI204" s="2504"/>
      <c r="AJ204" s="2504"/>
      <c r="AK204" s="451"/>
    </row>
    <row r="205" spans="1:40">
      <c r="A205" s="1190"/>
      <c r="B205" s="2514"/>
      <c r="C205" s="2514"/>
      <c r="D205" s="2514"/>
      <c r="E205" s="2514"/>
      <c r="F205" s="2514"/>
      <c r="G205" s="2514"/>
      <c r="H205" s="2514"/>
      <c r="I205" s="2514"/>
      <c r="J205" s="2514"/>
      <c r="K205" s="2514"/>
      <c r="L205" s="2514"/>
      <c r="M205" s="2514"/>
      <c r="N205" s="2514"/>
      <c r="O205" s="2514"/>
      <c r="P205" s="2514"/>
      <c r="Q205" s="2514"/>
      <c r="R205" s="2514"/>
      <c r="S205" s="2514"/>
      <c r="T205" s="2514"/>
      <c r="U205" s="2514"/>
      <c r="V205" s="2514"/>
      <c r="W205" s="2514"/>
      <c r="X205" s="2514"/>
      <c r="Y205" s="2514"/>
      <c r="Z205" s="2514"/>
      <c r="AA205" s="2514"/>
      <c r="AB205" s="2514"/>
      <c r="AC205" s="670"/>
      <c r="AD205" s="2504"/>
      <c r="AE205" s="2504"/>
      <c r="AF205" s="2504"/>
      <c r="AG205" s="2504"/>
      <c r="AH205" s="2504"/>
      <c r="AI205" s="2504"/>
      <c r="AJ205" s="2504"/>
      <c r="AK205" s="451"/>
    </row>
    <row r="206" spans="1:40">
      <c r="A206" s="1190"/>
      <c r="B206" s="2514"/>
      <c r="C206" s="2514"/>
      <c r="D206" s="2514"/>
      <c r="E206" s="2514"/>
      <c r="F206" s="2514"/>
      <c r="G206" s="2514"/>
      <c r="H206" s="2514"/>
      <c r="I206" s="2514"/>
      <c r="J206" s="2514"/>
      <c r="K206" s="2514"/>
      <c r="L206" s="2514"/>
      <c r="M206" s="2514"/>
      <c r="N206" s="2514"/>
      <c r="O206" s="2514"/>
      <c r="P206" s="2514"/>
      <c r="Q206" s="2514"/>
      <c r="R206" s="2514"/>
      <c r="S206" s="2514"/>
      <c r="T206" s="2514"/>
      <c r="U206" s="2514"/>
      <c r="V206" s="2514"/>
      <c r="W206" s="2514"/>
      <c r="X206" s="2514"/>
      <c r="Y206" s="2514"/>
      <c r="Z206" s="2514"/>
      <c r="AA206" s="2514"/>
      <c r="AB206" s="2514"/>
      <c r="AC206" s="670"/>
      <c r="AD206" s="2504"/>
      <c r="AE206" s="2504"/>
      <c r="AF206" s="2504"/>
      <c r="AG206" s="2504"/>
      <c r="AH206" s="2504"/>
      <c r="AI206" s="2504"/>
      <c r="AJ206" s="2504"/>
      <c r="AK206" s="451"/>
    </row>
    <row r="207" spans="1:40">
      <c r="A207" s="1190"/>
      <c r="B207" s="2514"/>
      <c r="C207" s="2514"/>
      <c r="D207" s="2514"/>
      <c r="E207" s="2514"/>
      <c r="F207" s="2514"/>
      <c r="G207" s="2514"/>
      <c r="H207" s="2514"/>
      <c r="I207" s="2514"/>
      <c r="J207" s="2514"/>
      <c r="K207" s="2514"/>
      <c r="L207" s="2514"/>
      <c r="M207" s="2514"/>
      <c r="N207" s="2514"/>
      <c r="O207" s="2514"/>
      <c r="P207" s="2514"/>
      <c r="Q207" s="2514"/>
      <c r="R207" s="2514"/>
      <c r="S207" s="2514"/>
      <c r="T207" s="2514"/>
      <c r="U207" s="2514"/>
      <c r="V207" s="2514"/>
      <c r="W207" s="2514"/>
      <c r="X207" s="2514"/>
      <c r="Y207" s="2514"/>
      <c r="Z207" s="2514"/>
      <c r="AA207" s="2514"/>
      <c r="AB207" s="2514"/>
      <c r="AC207" s="670"/>
      <c r="AD207" s="2504"/>
      <c r="AE207" s="2504"/>
      <c r="AF207" s="2504"/>
      <c r="AG207" s="2504"/>
      <c r="AH207" s="2504"/>
      <c r="AI207" s="2504"/>
      <c r="AJ207" s="2504"/>
      <c r="AK207" s="451"/>
    </row>
    <row r="208" spans="1:40">
      <c r="A208" s="1190"/>
      <c r="B208" s="2514"/>
      <c r="C208" s="2514"/>
      <c r="D208" s="2514"/>
      <c r="E208" s="2514"/>
      <c r="F208" s="2514"/>
      <c r="G208" s="2514"/>
      <c r="H208" s="2514"/>
      <c r="I208" s="2514"/>
      <c r="J208" s="2514"/>
      <c r="K208" s="2514"/>
      <c r="L208" s="2514"/>
      <c r="M208" s="2514"/>
      <c r="N208" s="2514"/>
      <c r="O208" s="2514"/>
      <c r="P208" s="2514"/>
      <c r="Q208" s="2514"/>
      <c r="R208" s="2514"/>
      <c r="S208" s="2514"/>
      <c r="T208" s="2514"/>
      <c r="U208" s="2514"/>
      <c r="V208" s="2514"/>
      <c r="W208" s="2514"/>
      <c r="X208" s="2514"/>
      <c r="Y208" s="2514"/>
      <c r="Z208" s="2514"/>
      <c r="AA208" s="2514"/>
      <c r="AB208" s="2514"/>
      <c r="AC208" s="670"/>
      <c r="AD208" s="2504"/>
      <c r="AE208" s="2504"/>
      <c r="AF208" s="2504"/>
      <c r="AG208" s="2504"/>
      <c r="AH208" s="2504"/>
      <c r="AI208" s="2504"/>
      <c r="AJ208" s="2504"/>
      <c r="AK208" s="451"/>
    </row>
    <row r="209" spans="1:37">
      <c r="A209" s="1190"/>
      <c r="B209" s="2529" t="s">
        <v>2235</v>
      </c>
      <c r="C209" s="2529"/>
      <c r="D209" s="2529"/>
      <c r="E209" s="2529"/>
      <c r="F209" s="2529"/>
      <c r="G209" s="2529"/>
      <c r="H209" s="2529"/>
      <c r="I209" s="2529"/>
      <c r="J209" s="2529"/>
      <c r="K209" s="2529"/>
      <c r="L209" s="2529"/>
      <c r="M209" s="2529"/>
      <c r="N209" s="2529"/>
      <c r="O209" s="2529"/>
      <c r="P209" s="2529"/>
      <c r="Q209" s="2529"/>
      <c r="R209" s="2529"/>
      <c r="S209" s="2529"/>
      <c r="T209" s="2529"/>
      <c r="U209" s="2529"/>
      <c r="V209" s="2529"/>
      <c r="W209" s="2529"/>
      <c r="X209" s="2529"/>
      <c r="Y209" s="2529"/>
      <c r="Z209" s="2529"/>
      <c r="AA209" s="2529"/>
      <c r="AB209" s="2529"/>
      <c r="AC209" s="385"/>
      <c r="AD209" s="2502">
        <f>AB260</f>
        <v>0</v>
      </c>
      <c r="AE209" s="2502"/>
      <c r="AF209" s="2502"/>
      <c r="AG209" s="2502"/>
      <c r="AH209" s="2502"/>
      <c r="AI209" s="2502"/>
      <c r="AJ209" s="2502"/>
      <c r="AK209" s="451"/>
    </row>
    <row r="210" spans="1:37">
      <c r="A210" s="1190"/>
      <c r="B210" s="2376" t="s">
        <v>2236</v>
      </c>
      <c r="C210" s="2376"/>
      <c r="D210" s="2376"/>
      <c r="E210" s="2376"/>
      <c r="F210" s="2376"/>
      <c r="G210" s="2376"/>
      <c r="H210" s="2376"/>
      <c r="I210" s="2376"/>
      <c r="J210" s="2376"/>
      <c r="K210" s="2376"/>
      <c r="L210" s="2376"/>
      <c r="M210" s="2376"/>
      <c r="N210" s="2376"/>
      <c r="O210" s="2376"/>
      <c r="P210" s="2376"/>
      <c r="Q210" s="2376"/>
      <c r="R210" s="2376"/>
      <c r="S210" s="2376"/>
      <c r="T210" s="2376"/>
      <c r="U210" s="2376"/>
      <c r="V210" s="2376"/>
      <c r="W210" s="2376"/>
      <c r="X210" s="2376"/>
      <c r="Y210" s="2376"/>
      <c r="Z210" s="2376"/>
      <c r="AA210" s="2376"/>
      <c r="AB210" s="2376"/>
      <c r="AC210" s="670"/>
      <c r="AD210" s="2503">
        <f>'Sources and Uses Budget'!B15</f>
        <v>0</v>
      </c>
      <c r="AE210" s="2503"/>
      <c r="AF210" s="2503"/>
      <c r="AG210" s="2503"/>
      <c r="AH210" s="2503"/>
      <c r="AI210" s="2503"/>
      <c r="AJ210" s="2503"/>
      <c r="AK210" s="451"/>
    </row>
    <row r="211" spans="1:37">
      <c r="A211" s="1190"/>
      <c r="B211" s="1130"/>
      <c r="C211" s="1130"/>
      <c r="D211" s="1130"/>
      <c r="E211" s="1130"/>
      <c r="F211" s="1130"/>
      <c r="G211" s="1130"/>
      <c r="H211" s="1130"/>
      <c r="I211" s="1130"/>
      <c r="J211" s="1130"/>
      <c r="K211" s="1130"/>
      <c r="L211" s="1130"/>
      <c r="M211" s="1130"/>
      <c r="N211" s="1130"/>
      <c r="O211" s="1130"/>
      <c r="P211" s="1130"/>
      <c r="Q211" s="1130"/>
      <c r="R211" s="1130"/>
      <c r="S211" s="1130"/>
      <c r="T211" s="1130"/>
      <c r="U211" s="1130"/>
      <c r="V211" s="1130"/>
      <c r="W211" s="1130"/>
      <c r="X211" s="1130"/>
      <c r="Y211" s="1130"/>
      <c r="Z211" s="1130"/>
      <c r="AA211" s="1130"/>
      <c r="AB211" s="463" t="s">
        <v>1477</v>
      </c>
      <c r="AC211" s="385"/>
      <c r="AD211" s="2508">
        <f>SUM(AD199:AJ209)-AD210</f>
        <v>4000000</v>
      </c>
      <c r="AE211" s="2508"/>
      <c r="AF211" s="2508"/>
      <c r="AG211" s="2508"/>
      <c r="AH211" s="2508"/>
      <c r="AI211" s="2508"/>
      <c r="AJ211" s="2508"/>
      <c r="AK211" s="451"/>
    </row>
    <row r="212" spans="1:37">
      <c r="A212" s="1190"/>
      <c r="B212" s="1190"/>
      <c r="C212" s="500"/>
      <c r="D212" s="654"/>
      <c r="E212" s="654"/>
      <c r="F212" s="654"/>
      <c r="G212" s="654"/>
      <c r="H212" s="654"/>
      <c r="I212" s="654"/>
      <c r="J212" s="654"/>
      <c r="K212" s="385"/>
      <c r="L212" s="385"/>
      <c r="M212" s="385"/>
      <c r="N212" s="385"/>
      <c r="O212" s="385"/>
      <c r="P212" s="385"/>
      <c r="Q212" s="385"/>
      <c r="R212" s="385"/>
      <c r="S212" s="385"/>
      <c r="T212" s="385"/>
      <c r="U212" s="385"/>
      <c r="V212" s="385"/>
      <c r="W212" s="385"/>
      <c r="X212" s="385"/>
      <c r="Y212" s="1191"/>
      <c r="Z212" s="1191"/>
      <c r="AA212" s="1191"/>
      <c r="AB212" s="1191"/>
      <c r="AC212" s="385"/>
      <c r="AD212" s="385"/>
      <c r="AE212" s="451"/>
      <c r="AF212" s="451"/>
      <c r="AG212" s="451"/>
      <c r="AH212" s="451"/>
      <c r="AI212" s="451"/>
      <c r="AJ212" s="451"/>
      <c r="AK212" s="451"/>
    </row>
    <row r="213" spans="1:37">
      <c r="A213" s="1190"/>
      <c r="B213" s="350" t="s">
        <v>2237</v>
      </c>
      <c r="C213" s="500"/>
      <c r="D213" s="654"/>
      <c r="E213" s="654"/>
      <c r="F213" s="654"/>
      <c r="G213" s="654"/>
      <c r="H213" s="654"/>
      <c r="I213" s="654"/>
      <c r="J213" s="654"/>
      <c r="K213" s="385"/>
      <c r="L213" s="385"/>
      <c r="M213" s="385"/>
      <c r="N213" s="385"/>
      <c r="O213" s="385"/>
      <c r="P213" s="385"/>
      <c r="Q213" s="385"/>
      <c r="R213" s="385"/>
      <c r="S213" s="385"/>
      <c r="T213" s="385"/>
      <c r="U213" s="385"/>
      <c r="V213" s="385"/>
      <c r="W213" s="385"/>
      <c r="X213" s="385"/>
      <c r="Y213" s="1191"/>
      <c r="Z213" s="1191"/>
      <c r="AA213" s="1191"/>
      <c r="AB213" s="1191"/>
      <c r="AC213" s="385"/>
      <c r="AD213" s="385"/>
      <c r="AE213" s="451"/>
      <c r="AF213" s="451"/>
      <c r="AG213" s="451"/>
      <c r="AH213" s="451"/>
      <c r="AI213" s="451"/>
      <c r="AJ213" s="451"/>
      <c r="AK213" s="451"/>
    </row>
    <row r="214" spans="1:37">
      <c r="A214" s="1190"/>
      <c r="B214" s="332" t="s">
        <v>2238</v>
      </c>
      <c r="C214" s="500"/>
      <c r="D214" s="654"/>
      <c r="E214" s="654"/>
      <c r="F214" s="654"/>
      <c r="G214" s="654"/>
      <c r="H214" s="654"/>
      <c r="I214" s="654"/>
      <c r="J214" s="654"/>
      <c r="K214" s="385"/>
      <c r="L214" s="385"/>
      <c r="M214" s="385"/>
      <c r="N214" s="385"/>
      <c r="O214" s="385"/>
      <c r="P214" s="385"/>
      <c r="Q214" s="385"/>
      <c r="R214" s="385"/>
      <c r="S214" s="385"/>
      <c r="T214" s="385"/>
      <c r="U214" s="385"/>
      <c r="V214" s="385"/>
      <c r="W214" s="385"/>
      <c r="X214" s="385"/>
      <c r="Y214" s="1191"/>
      <c r="Z214" s="1191"/>
      <c r="AA214" s="1191"/>
      <c r="AB214" s="1191"/>
      <c r="AC214" s="385"/>
      <c r="AD214" s="385"/>
      <c r="AE214" s="451"/>
      <c r="AF214" s="451"/>
      <c r="AG214" s="451"/>
      <c r="AH214" s="451"/>
      <c r="AI214" s="451"/>
      <c r="AJ214" s="451"/>
      <c r="AK214" s="451"/>
    </row>
    <row r="215" spans="1:37">
      <c r="A215" s="677"/>
      <c r="B215" s="693" t="s">
        <v>2239</v>
      </c>
      <c r="C215" s="694"/>
      <c r="D215" s="695"/>
      <c r="E215" s="695"/>
      <c r="F215" s="695"/>
      <c r="G215" s="695"/>
      <c r="H215" s="695"/>
      <c r="I215" s="695"/>
      <c r="J215" s="695"/>
      <c r="K215" s="696"/>
      <c r="L215" s="696"/>
      <c r="M215" s="696"/>
      <c r="N215" s="696"/>
      <c r="O215" s="696"/>
      <c r="P215" s="696"/>
      <c r="Q215" s="696"/>
      <c r="R215" s="696"/>
      <c r="S215" s="577"/>
      <c r="T215" s="577"/>
      <c r="U215" s="577"/>
      <c r="V215" s="577"/>
      <c r="W215" s="577"/>
      <c r="X215" s="577"/>
      <c r="Y215" s="1212"/>
      <c r="Z215" s="1212"/>
      <c r="AA215" s="1212"/>
      <c r="AB215" s="1212"/>
      <c r="AC215" s="577"/>
      <c r="AD215" s="577"/>
      <c r="AE215" s="655"/>
      <c r="AF215" s="655"/>
      <c r="AG215" s="655"/>
      <c r="AH215" s="655"/>
      <c r="AI215" s="655"/>
      <c r="AJ215" s="656"/>
      <c r="AK215" s="451"/>
    </row>
    <row r="216" spans="1:37">
      <c r="A216" s="677"/>
      <c r="B216" s="697" t="s">
        <v>2240</v>
      </c>
      <c r="C216" s="698"/>
      <c r="D216" s="699"/>
      <c r="E216" s="699"/>
      <c r="F216" s="699"/>
      <c r="G216" s="699"/>
      <c r="H216" s="699"/>
      <c r="I216" s="699"/>
      <c r="J216" s="699"/>
      <c r="K216" s="700"/>
      <c r="L216" s="700"/>
      <c r="M216" s="700"/>
      <c r="N216" s="700"/>
      <c r="O216" s="700"/>
      <c r="P216" s="700"/>
      <c r="Q216" s="700"/>
      <c r="R216" s="700"/>
      <c r="S216" s="385"/>
      <c r="T216" s="385"/>
      <c r="U216" s="385"/>
      <c r="V216" s="385"/>
      <c r="W216" s="385"/>
      <c r="X216" s="385"/>
      <c r="Y216" s="1191"/>
      <c r="Z216" s="1191"/>
      <c r="AA216" s="1191"/>
      <c r="AB216" s="1191"/>
      <c r="AC216" s="385"/>
      <c r="AD216" s="385"/>
      <c r="AE216" s="451"/>
      <c r="AF216" s="451"/>
      <c r="AG216" s="451"/>
      <c r="AH216" s="451"/>
      <c r="AI216" s="451"/>
      <c r="AJ216" s="657"/>
      <c r="AK216" s="451"/>
    </row>
    <row r="217" spans="1:37">
      <c r="A217" s="677"/>
      <c r="B217" s="697" t="s">
        <v>2241</v>
      </c>
      <c r="C217" s="698"/>
      <c r="D217" s="699"/>
      <c r="E217" s="699"/>
      <c r="F217" s="699"/>
      <c r="G217" s="699"/>
      <c r="H217" s="699"/>
      <c r="I217" s="699"/>
      <c r="J217" s="699"/>
      <c r="K217" s="700"/>
      <c r="L217" s="700"/>
      <c r="M217" s="700"/>
      <c r="N217" s="700"/>
      <c r="O217" s="700"/>
      <c r="P217" s="700"/>
      <c r="Q217" s="700"/>
      <c r="R217" s="700"/>
      <c r="S217" s="385"/>
      <c r="T217" s="385"/>
      <c r="U217" s="385"/>
      <c r="V217" s="385"/>
      <c r="W217" s="385"/>
      <c r="X217" s="385"/>
      <c r="Y217" s="1191"/>
      <c r="Z217" s="1191"/>
      <c r="AA217" s="1191"/>
      <c r="AB217" s="1191"/>
      <c r="AC217" s="385"/>
      <c r="AD217" s="385"/>
      <c r="AE217" s="451"/>
      <c r="AF217" s="451"/>
      <c r="AG217" s="451"/>
      <c r="AH217" s="451"/>
      <c r="AI217" s="451"/>
      <c r="AJ217" s="657"/>
      <c r="AK217" s="451"/>
    </row>
    <row r="218" spans="1:37">
      <c r="A218" s="677"/>
      <c r="B218" s="697" t="s">
        <v>2242</v>
      </c>
      <c r="C218" s="698"/>
      <c r="D218" s="699"/>
      <c r="E218" s="699"/>
      <c r="F218" s="699"/>
      <c r="G218" s="699"/>
      <c r="H218" s="699"/>
      <c r="I218" s="699"/>
      <c r="J218" s="699"/>
      <c r="K218" s="700"/>
      <c r="L218" s="700"/>
      <c r="M218" s="700"/>
      <c r="N218" s="700"/>
      <c r="O218" s="700"/>
      <c r="P218" s="700"/>
      <c r="Q218" s="700"/>
      <c r="R218" s="700"/>
      <c r="S218" s="385"/>
      <c r="T218" s="385"/>
      <c r="U218" s="385"/>
      <c r="V218" s="385"/>
      <c r="W218" s="385"/>
      <c r="X218" s="385"/>
      <c r="Y218" s="1191"/>
      <c r="Z218" s="1191"/>
      <c r="AA218" s="1191"/>
      <c r="AB218" s="1191"/>
      <c r="AC218" s="385"/>
      <c r="AD218" s="385"/>
      <c r="AE218" s="451"/>
      <c r="AF218" s="451"/>
      <c r="AG218" s="451"/>
      <c r="AH218" s="451"/>
      <c r="AI218" s="451"/>
      <c r="AJ218" s="657"/>
      <c r="AK218" s="451"/>
    </row>
    <row r="219" spans="1:37">
      <c r="A219" s="677"/>
      <c r="B219" s="701" t="s">
        <v>2243</v>
      </c>
      <c r="C219" s="698"/>
      <c r="D219" s="699"/>
      <c r="E219" s="699"/>
      <c r="F219" s="699"/>
      <c r="G219" s="699"/>
      <c r="H219" s="699"/>
      <c r="I219" s="699"/>
      <c r="J219" s="699"/>
      <c r="K219" s="700"/>
      <c r="L219" s="700"/>
      <c r="M219" s="700"/>
      <c r="N219" s="700"/>
      <c r="O219" s="700"/>
      <c r="P219" s="700"/>
      <c r="Q219" s="700"/>
      <c r="R219" s="700"/>
      <c r="S219" s="385"/>
      <c r="T219" s="385"/>
      <c r="U219" s="385"/>
      <c r="V219" s="385"/>
      <c r="W219" s="385"/>
      <c r="X219" s="385"/>
      <c r="Y219" s="1191"/>
      <c r="Z219" s="1191"/>
      <c r="AA219" s="1191"/>
      <c r="AB219" s="1191"/>
      <c r="AC219" s="385"/>
      <c r="AD219" s="385"/>
      <c r="AE219" s="451"/>
      <c r="AF219" s="451"/>
      <c r="AG219" s="451"/>
      <c r="AH219" s="451"/>
      <c r="AI219" s="451"/>
      <c r="AJ219" s="657"/>
      <c r="AK219" s="451"/>
    </row>
    <row r="220" spans="1:37">
      <c r="A220" s="677"/>
      <c r="B220" s="702" t="s">
        <v>2244</v>
      </c>
      <c r="C220" s="703"/>
      <c r="D220" s="704"/>
      <c r="E220" s="704"/>
      <c r="F220" s="704"/>
      <c r="G220" s="704"/>
      <c r="H220" s="704"/>
      <c r="I220" s="704"/>
      <c r="J220" s="704"/>
      <c r="K220" s="705"/>
      <c r="L220" s="705"/>
      <c r="M220" s="705"/>
      <c r="N220" s="705"/>
      <c r="O220" s="705"/>
      <c r="P220" s="705"/>
      <c r="Q220" s="705"/>
      <c r="R220" s="705"/>
      <c r="S220" s="570"/>
      <c r="T220" s="570"/>
      <c r="U220" s="570"/>
      <c r="V220" s="570"/>
      <c r="W220" s="570"/>
      <c r="X220" s="570"/>
      <c r="Y220" s="1192"/>
      <c r="Z220" s="1192"/>
      <c r="AA220" s="1192"/>
      <c r="AB220" s="1192"/>
      <c r="AC220" s="570"/>
      <c r="AD220" s="570"/>
      <c r="AE220" s="658"/>
      <c r="AF220" s="658"/>
      <c r="AG220" s="658"/>
      <c r="AH220" s="658"/>
      <c r="AI220" s="658"/>
      <c r="AJ220" s="659"/>
      <c r="AK220" s="451"/>
    </row>
    <row r="221" spans="1:37">
      <c r="A221" s="1190"/>
      <c r="B221" s="1190"/>
      <c r="C221" s="500"/>
      <c r="D221" s="654"/>
      <c r="E221" s="654"/>
      <c r="F221" s="654"/>
      <c r="G221" s="654"/>
      <c r="H221" s="654"/>
      <c r="I221" s="654"/>
      <c r="J221" s="654"/>
      <c r="K221" s="385"/>
      <c r="L221" s="385"/>
      <c r="M221" s="385"/>
      <c r="N221" s="385"/>
      <c r="O221" s="385"/>
      <c r="P221" s="385"/>
      <c r="Q221" s="385"/>
      <c r="R221" s="385"/>
      <c r="S221" s="385"/>
      <c r="T221" s="385"/>
      <c r="U221" s="385"/>
      <c r="V221" s="385"/>
      <c r="W221" s="385"/>
      <c r="X221" s="385"/>
      <c r="Y221" s="1191"/>
      <c r="Z221" s="1191"/>
      <c r="AA221" s="1191"/>
      <c r="AB221" s="1191"/>
      <c r="AC221" s="385"/>
      <c r="AD221" s="385"/>
      <c r="AE221" s="451"/>
      <c r="AF221" s="451"/>
      <c r="AG221" s="451"/>
      <c r="AH221" s="451"/>
      <c r="AI221" s="451"/>
      <c r="AJ221" s="451"/>
      <c r="AK221" s="451"/>
    </row>
    <row r="222" spans="1:37">
      <c r="A222" s="1190"/>
      <c r="B222" s="672"/>
      <c r="C222" s="332"/>
      <c r="D222" s="332"/>
      <c r="I222" s="2527" t="s">
        <v>2245</v>
      </c>
      <c r="J222" s="2527"/>
      <c r="K222" s="2527"/>
      <c r="L222" s="385"/>
      <c r="M222" s="385"/>
      <c r="N222" s="385"/>
      <c r="O222" s="385"/>
      <c r="P222" s="385"/>
      <c r="Q222" s="385"/>
      <c r="R222" s="385"/>
      <c r="S222" s="385"/>
      <c r="T222" s="2342" t="s">
        <v>2246</v>
      </c>
      <c r="U222" s="2342"/>
      <c r="V222" s="2342"/>
      <c r="W222" s="2342"/>
      <c r="X222" s="2342"/>
      <c r="Y222" s="2342"/>
      <c r="Z222" s="673"/>
      <c r="AA222" s="342"/>
      <c r="AB222" s="2524" t="s">
        <v>2247</v>
      </c>
      <c r="AC222" s="2524"/>
      <c r="AD222" s="2524"/>
      <c r="AE222" s="2524"/>
      <c r="AF222" s="2524"/>
      <c r="AG222" s="2524"/>
      <c r="AH222" s="654"/>
      <c r="AI222" s="654"/>
      <c r="AJ222" s="654"/>
      <c r="AK222" s="451"/>
    </row>
    <row r="223" spans="1:37">
      <c r="A223" s="1190"/>
      <c r="B223" s="2525" t="s">
        <v>2248</v>
      </c>
      <c r="C223" s="2525"/>
      <c r="D223" s="2525"/>
      <c r="E223" s="2525"/>
      <c r="F223" s="2525"/>
      <c r="G223" s="2525"/>
      <c r="I223" s="2526" t="s">
        <v>2249</v>
      </c>
      <c r="J223" s="2526"/>
      <c r="K223" s="2526"/>
      <c r="L223" s="1217"/>
      <c r="N223" s="2377" t="s">
        <v>2250</v>
      </c>
      <c r="O223" s="2377"/>
      <c r="P223" s="2377"/>
      <c r="Q223" s="2377"/>
      <c r="R223" s="2377"/>
      <c r="T223" s="2377" t="s">
        <v>2251</v>
      </c>
      <c r="U223" s="2377"/>
      <c r="V223" s="2377"/>
      <c r="W223" s="2377"/>
      <c r="X223" s="2377"/>
      <c r="Y223" s="2377"/>
      <c r="Z223" s="674"/>
      <c r="AA223" s="342"/>
      <c r="AB223" s="2392" t="s">
        <v>2252</v>
      </c>
      <c r="AC223" s="2392"/>
      <c r="AD223" s="2392"/>
      <c r="AE223" s="2392"/>
      <c r="AF223" s="2392"/>
      <c r="AG223" s="2392"/>
      <c r="AH223" s="654"/>
      <c r="AI223" s="654"/>
      <c r="AJ223" s="654"/>
      <c r="AK223" s="451"/>
    </row>
    <row r="224" spans="1:37">
      <c r="A224" s="1190"/>
      <c r="B224" s="2393" t="s">
        <v>1028</v>
      </c>
      <c r="C224" s="2393"/>
      <c r="D224" s="2393"/>
      <c r="E224" s="2393"/>
      <c r="F224" s="2393"/>
      <c r="G224" s="2393"/>
      <c r="H224" s="676"/>
      <c r="I224" s="2346"/>
      <c r="J224" s="2346"/>
      <c r="K224" s="2346"/>
      <c r="L224" s="1217"/>
      <c r="N224" s="2344"/>
      <c r="O224" s="2344"/>
      <c r="P224" s="2344"/>
      <c r="Q224" s="2344"/>
      <c r="R224" s="2344"/>
      <c r="T224" s="2343"/>
      <c r="U224" s="2343"/>
      <c r="V224" s="2343"/>
      <c r="W224" s="2343"/>
      <c r="X224" s="2343"/>
      <c r="Y224" s="2343"/>
      <c r="Z224" s="675"/>
      <c r="AA224" s="675"/>
      <c r="AB224" s="2341">
        <f t="shared" ref="AB224:AB233" si="0">MAX(($T224-$N224)*$I224*12,0)</f>
        <v>0</v>
      </c>
      <c r="AC224" s="2341"/>
      <c r="AD224" s="2341"/>
      <c r="AE224" s="2341"/>
      <c r="AF224" s="2341"/>
      <c r="AG224" s="2341"/>
      <c r="AH224" s="654"/>
      <c r="AI224" s="654"/>
      <c r="AJ224" s="654"/>
      <c r="AK224" s="451"/>
    </row>
    <row r="225" spans="1:37">
      <c r="A225" s="1190"/>
      <c r="B225" s="2393" t="s">
        <v>1028</v>
      </c>
      <c r="C225" s="2393"/>
      <c r="D225" s="2393"/>
      <c r="E225" s="2393"/>
      <c r="F225" s="2393"/>
      <c r="G225" s="2393"/>
      <c r="I225" s="2346"/>
      <c r="J225" s="2346"/>
      <c r="K225" s="2346"/>
      <c r="L225" s="1217"/>
      <c r="N225" s="2344"/>
      <c r="O225" s="2344"/>
      <c r="P225" s="2344"/>
      <c r="Q225" s="2344"/>
      <c r="R225" s="2344"/>
      <c r="T225" s="2343"/>
      <c r="U225" s="2343"/>
      <c r="V225" s="2343"/>
      <c r="W225" s="2343"/>
      <c r="X225" s="2343"/>
      <c r="Y225" s="2343"/>
      <c r="Z225" s="675"/>
      <c r="AA225" s="675"/>
      <c r="AB225" s="2341">
        <f t="shared" si="0"/>
        <v>0</v>
      </c>
      <c r="AC225" s="2341"/>
      <c r="AD225" s="2341"/>
      <c r="AE225" s="2341"/>
      <c r="AF225" s="2341"/>
      <c r="AG225" s="2341"/>
      <c r="AH225" s="654"/>
      <c r="AI225" s="654"/>
      <c r="AJ225" s="654"/>
      <c r="AK225" s="451"/>
    </row>
    <row r="226" spans="1:37">
      <c r="A226" s="1190"/>
      <c r="B226" s="2393" t="s">
        <v>1028</v>
      </c>
      <c r="C226" s="2393"/>
      <c r="D226" s="2393"/>
      <c r="E226" s="2393"/>
      <c r="F226" s="2393"/>
      <c r="G226" s="2393"/>
      <c r="I226" s="2346"/>
      <c r="J226" s="2346"/>
      <c r="K226" s="2346"/>
      <c r="L226" s="1217"/>
      <c r="N226" s="2344"/>
      <c r="O226" s="2344"/>
      <c r="P226" s="2344"/>
      <c r="Q226" s="2344"/>
      <c r="R226" s="2344"/>
      <c r="T226" s="2343"/>
      <c r="U226" s="2343"/>
      <c r="V226" s="2343"/>
      <c r="W226" s="2343"/>
      <c r="X226" s="2343"/>
      <c r="Y226" s="2343"/>
      <c r="Z226" s="675"/>
      <c r="AA226" s="675"/>
      <c r="AB226" s="2341">
        <f t="shared" si="0"/>
        <v>0</v>
      </c>
      <c r="AC226" s="2341"/>
      <c r="AD226" s="2341"/>
      <c r="AE226" s="2341"/>
      <c r="AF226" s="2341"/>
      <c r="AG226" s="2341"/>
      <c r="AH226" s="654"/>
      <c r="AI226" s="654"/>
      <c r="AJ226" s="654"/>
      <c r="AK226" s="451"/>
    </row>
    <row r="227" spans="1:37">
      <c r="A227" s="1190"/>
      <c r="B227" s="2393" t="s">
        <v>1028</v>
      </c>
      <c r="C227" s="2393"/>
      <c r="D227" s="2393"/>
      <c r="E227" s="2393"/>
      <c r="F227" s="2393"/>
      <c r="G227" s="2393"/>
      <c r="I227" s="2346"/>
      <c r="J227" s="2346"/>
      <c r="K227" s="2346"/>
      <c r="L227" s="1217"/>
      <c r="N227" s="2344"/>
      <c r="O227" s="2344"/>
      <c r="P227" s="2344"/>
      <c r="Q227" s="2344"/>
      <c r="R227" s="2344"/>
      <c r="T227" s="2343"/>
      <c r="U227" s="2343"/>
      <c r="V227" s="2343"/>
      <c r="W227" s="2343"/>
      <c r="X227" s="2343"/>
      <c r="Y227" s="2343"/>
      <c r="Z227" s="675"/>
      <c r="AA227" s="675"/>
      <c r="AB227" s="2341">
        <f t="shared" si="0"/>
        <v>0</v>
      </c>
      <c r="AC227" s="2341"/>
      <c r="AD227" s="2341"/>
      <c r="AE227" s="2341"/>
      <c r="AF227" s="2341"/>
      <c r="AG227" s="2341"/>
      <c r="AH227" s="654"/>
      <c r="AI227" s="654"/>
      <c r="AJ227" s="654"/>
      <c r="AK227" s="451"/>
    </row>
    <row r="228" spans="1:37">
      <c r="A228" s="1190"/>
      <c r="B228" s="2393" t="s">
        <v>1028</v>
      </c>
      <c r="C228" s="2393"/>
      <c r="D228" s="2393"/>
      <c r="E228" s="2393"/>
      <c r="F228" s="2393"/>
      <c r="G228" s="2393"/>
      <c r="I228" s="2346"/>
      <c r="J228" s="2346"/>
      <c r="K228" s="2346"/>
      <c r="L228" s="804"/>
      <c r="N228" s="2344"/>
      <c r="O228" s="2344"/>
      <c r="P228" s="2344"/>
      <c r="Q228" s="2344"/>
      <c r="R228" s="2344"/>
      <c r="T228" s="2343"/>
      <c r="U228" s="2343"/>
      <c r="V228" s="2343"/>
      <c r="W228" s="2343"/>
      <c r="X228" s="2343"/>
      <c r="Y228" s="2343"/>
      <c r="Z228" s="675"/>
      <c r="AA228" s="675"/>
      <c r="AB228" s="2341">
        <f t="shared" si="0"/>
        <v>0</v>
      </c>
      <c r="AC228" s="2341"/>
      <c r="AD228" s="2341"/>
      <c r="AE228" s="2341"/>
      <c r="AF228" s="2341"/>
      <c r="AG228" s="2341"/>
      <c r="AH228" s="654"/>
      <c r="AI228" s="654"/>
      <c r="AJ228" s="654"/>
      <c r="AK228" s="451"/>
    </row>
    <row r="229" spans="1:37">
      <c r="A229" s="1190"/>
      <c r="B229" s="2393" t="s">
        <v>1028</v>
      </c>
      <c r="C229" s="2393"/>
      <c r="D229" s="2393"/>
      <c r="E229" s="2393"/>
      <c r="F229" s="2393"/>
      <c r="G229" s="2393"/>
      <c r="I229" s="2346"/>
      <c r="J229" s="2346"/>
      <c r="K229" s="2346"/>
      <c r="L229" s="804"/>
      <c r="N229" s="2344"/>
      <c r="O229" s="2344"/>
      <c r="P229" s="2344"/>
      <c r="Q229" s="2344"/>
      <c r="R229" s="2344"/>
      <c r="T229" s="2343"/>
      <c r="U229" s="2343"/>
      <c r="V229" s="2343"/>
      <c r="W229" s="2343"/>
      <c r="X229" s="2343"/>
      <c r="Y229" s="2343"/>
      <c r="Z229" s="675"/>
      <c r="AA229" s="675"/>
      <c r="AB229" s="2341">
        <f t="shared" si="0"/>
        <v>0</v>
      </c>
      <c r="AC229" s="2341"/>
      <c r="AD229" s="2341"/>
      <c r="AE229" s="2341"/>
      <c r="AF229" s="2341"/>
      <c r="AG229" s="2341"/>
      <c r="AH229" s="654"/>
      <c r="AI229" s="654"/>
      <c r="AJ229" s="654"/>
      <c r="AK229" s="451"/>
    </row>
    <row r="230" spans="1:37">
      <c r="A230" s="1190"/>
      <c r="B230" s="2393" t="s">
        <v>1028</v>
      </c>
      <c r="C230" s="2393"/>
      <c r="D230" s="2393"/>
      <c r="E230" s="2393"/>
      <c r="F230" s="2393"/>
      <c r="G230" s="2393"/>
      <c r="I230" s="2346"/>
      <c r="J230" s="2346"/>
      <c r="K230" s="2346"/>
      <c r="L230" s="804"/>
      <c r="N230" s="2344"/>
      <c r="O230" s="2344"/>
      <c r="P230" s="2344"/>
      <c r="Q230" s="2344"/>
      <c r="R230" s="2344"/>
      <c r="T230" s="2343"/>
      <c r="U230" s="2343"/>
      <c r="V230" s="2343"/>
      <c r="W230" s="2343"/>
      <c r="X230" s="2343"/>
      <c r="Y230" s="2343"/>
      <c r="Z230" s="675"/>
      <c r="AA230" s="675"/>
      <c r="AB230" s="2341">
        <f t="shared" si="0"/>
        <v>0</v>
      </c>
      <c r="AC230" s="2341"/>
      <c r="AD230" s="2341"/>
      <c r="AE230" s="2341"/>
      <c r="AF230" s="2341"/>
      <c r="AG230" s="2341"/>
      <c r="AH230" s="654"/>
      <c r="AI230" s="654"/>
      <c r="AJ230" s="654"/>
      <c r="AK230" s="451"/>
    </row>
    <row r="231" spans="1:37">
      <c r="A231" s="1190"/>
      <c r="B231" s="2393" t="s">
        <v>1028</v>
      </c>
      <c r="C231" s="2393"/>
      <c r="D231" s="2393"/>
      <c r="E231" s="2393"/>
      <c r="F231" s="2393"/>
      <c r="G231" s="2393"/>
      <c r="I231" s="2346"/>
      <c r="J231" s="2346"/>
      <c r="K231" s="2346"/>
      <c r="L231" s="804"/>
      <c r="N231" s="2344"/>
      <c r="O231" s="2344"/>
      <c r="P231" s="2344"/>
      <c r="Q231" s="2344"/>
      <c r="R231" s="2344"/>
      <c r="T231" s="2343"/>
      <c r="U231" s="2343"/>
      <c r="V231" s="2343"/>
      <c r="W231" s="2343"/>
      <c r="X231" s="2343"/>
      <c r="Y231" s="2343"/>
      <c r="Z231" s="675"/>
      <c r="AA231" s="675"/>
      <c r="AB231" s="2341">
        <f t="shared" si="0"/>
        <v>0</v>
      </c>
      <c r="AC231" s="2341"/>
      <c r="AD231" s="2341"/>
      <c r="AE231" s="2341"/>
      <c r="AF231" s="2341"/>
      <c r="AG231" s="2341"/>
      <c r="AH231" s="654"/>
      <c r="AI231" s="654"/>
      <c r="AJ231" s="654"/>
      <c r="AK231" s="451"/>
    </row>
    <row r="232" spans="1:37">
      <c r="A232" s="1190"/>
      <c r="B232" s="2393" t="s">
        <v>1028</v>
      </c>
      <c r="C232" s="2393"/>
      <c r="D232" s="2393"/>
      <c r="E232" s="2393"/>
      <c r="F232" s="2393"/>
      <c r="G232" s="2393"/>
      <c r="I232" s="2346"/>
      <c r="J232" s="2346"/>
      <c r="K232" s="2346"/>
      <c r="L232" s="804"/>
      <c r="N232" s="2344"/>
      <c r="O232" s="2344"/>
      <c r="P232" s="2344"/>
      <c r="Q232" s="2344"/>
      <c r="R232" s="2344"/>
      <c r="T232" s="2343"/>
      <c r="U232" s="2343"/>
      <c r="V232" s="2343"/>
      <c r="W232" s="2343"/>
      <c r="X232" s="2343"/>
      <c r="Y232" s="2343"/>
      <c r="Z232" s="675"/>
      <c r="AA232" s="675"/>
      <c r="AB232" s="2341">
        <f t="shared" si="0"/>
        <v>0</v>
      </c>
      <c r="AC232" s="2341"/>
      <c r="AD232" s="2341"/>
      <c r="AE232" s="2341"/>
      <c r="AF232" s="2341"/>
      <c r="AG232" s="2341"/>
      <c r="AH232" s="654"/>
      <c r="AI232" s="654"/>
      <c r="AJ232" s="654"/>
      <c r="AK232" s="451"/>
    </row>
    <row r="233" spans="1:37">
      <c r="A233" s="1190"/>
      <c r="B233" s="2393" t="s">
        <v>1028</v>
      </c>
      <c r="C233" s="2393"/>
      <c r="D233" s="2393"/>
      <c r="E233" s="2393"/>
      <c r="F233" s="2393"/>
      <c r="G233" s="2393"/>
      <c r="I233" s="2528"/>
      <c r="J233" s="2528"/>
      <c r="K233" s="2528"/>
      <c r="L233" s="804"/>
      <c r="N233" s="2344"/>
      <c r="O233" s="2344"/>
      <c r="P233" s="2344"/>
      <c r="Q233" s="2344"/>
      <c r="R233" s="2344"/>
      <c r="T233" s="2343"/>
      <c r="U233" s="2343"/>
      <c r="V233" s="2343"/>
      <c r="W233" s="2343"/>
      <c r="X233" s="2343"/>
      <c r="Y233" s="2343"/>
      <c r="Z233" s="675"/>
      <c r="AA233" s="675"/>
      <c r="AB233" s="2347">
        <f t="shared" si="0"/>
        <v>0</v>
      </c>
      <c r="AC233" s="2347"/>
      <c r="AD233" s="2347"/>
      <c r="AE233" s="2347"/>
      <c r="AF233" s="2347"/>
      <c r="AG233" s="2347"/>
      <c r="AH233" s="654"/>
      <c r="AI233" s="654"/>
      <c r="AJ233" s="654"/>
      <c r="AK233" s="451"/>
    </row>
    <row r="234" spans="1:37">
      <c r="A234" s="1190"/>
      <c r="B234" s="332"/>
      <c r="C234" s="676"/>
      <c r="D234" s="332"/>
      <c r="K234" s="385"/>
      <c r="L234" s="385"/>
      <c r="M234" s="385"/>
      <c r="N234" s="385"/>
      <c r="O234" s="385"/>
      <c r="P234" s="385"/>
      <c r="Q234" s="385"/>
      <c r="R234" s="385"/>
      <c r="S234" s="385"/>
      <c r="T234" s="385"/>
      <c r="U234" s="385"/>
      <c r="V234" s="385"/>
      <c r="W234" s="385"/>
      <c r="X234" s="385"/>
      <c r="Y234" s="1216" t="s">
        <v>2253</v>
      </c>
      <c r="AA234" s="1216"/>
      <c r="AB234" s="2341">
        <f>SUM(AB224:AB233)</f>
        <v>0</v>
      </c>
      <c r="AC234" s="2341"/>
      <c r="AD234" s="2341"/>
      <c r="AE234" s="2341"/>
      <c r="AF234" s="2341"/>
      <c r="AG234" s="2341"/>
      <c r="AH234" s="654"/>
      <c r="AI234" s="654"/>
      <c r="AJ234" s="654"/>
      <c r="AK234" s="451"/>
    </row>
    <row r="235" spans="1:37">
      <c r="A235" s="1190"/>
      <c r="B235" s="1190"/>
      <c r="C235" s="500"/>
      <c r="D235" s="654"/>
      <c r="E235" s="654"/>
      <c r="F235" s="654"/>
      <c r="G235" s="654"/>
      <c r="H235" s="654"/>
      <c r="I235" s="654"/>
      <c r="J235" s="654"/>
      <c r="K235" s="398"/>
      <c r="L235" s="398"/>
      <c r="M235" s="398"/>
      <c r="N235" s="398"/>
      <c r="O235" s="398"/>
      <c r="P235" s="398"/>
      <c r="Q235" s="398"/>
      <c r="R235" s="398"/>
      <c r="S235" s="398"/>
      <c r="T235" s="398"/>
      <c r="U235" s="398"/>
      <c r="V235" s="398"/>
      <c r="W235" s="398"/>
      <c r="X235" s="398"/>
      <c r="Y235" s="1191"/>
      <c r="Z235" s="1191"/>
      <c r="AA235" s="1191"/>
      <c r="AB235" s="1191"/>
      <c r="AC235" s="398"/>
      <c r="AD235" s="398"/>
      <c r="AE235" s="451"/>
      <c r="AF235" s="451"/>
      <c r="AG235" s="451"/>
      <c r="AH235" s="451"/>
      <c r="AI235" s="451"/>
      <c r="AJ235" s="451"/>
      <c r="AK235" s="451"/>
    </row>
    <row r="236" spans="1:37">
      <c r="A236" s="919" t="s">
        <v>2254</v>
      </c>
      <c r="C236" s="500"/>
      <c r="D236" s="654"/>
      <c r="E236" s="654"/>
      <c r="F236" s="654"/>
      <c r="G236" s="654"/>
      <c r="H236" s="654"/>
      <c r="I236" s="654"/>
      <c r="J236" s="654"/>
      <c r="K236" s="385"/>
      <c r="L236" s="385"/>
      <c r="M236" s="385"/>
      <c r="N236" s="385"/>
      <c r="O236" s="385"/>
      <c r="P236" s="385"/>
      <c r="Q236" s="385"/>
      <c r="R236" s="385"/>
      <c r="S236" s="385"/>
      <c r="T236" s="385"/>
      <c r="U236" s="385"/>
      <c r="V236" s="385"/>
      <c r="W236" s="385"/>
      <c r="X236" s="385"/>
      <c r="Y236" s="1191"/>
      <c r="Z236" s="1191"/>
      <c r="AA236" s="1191"/>
      <c r="AB236" s="1191"/>
      <c r="AC236" s="385"/>
      <c r="AD236" s="385"/>
      <c r="AE236" s="451"/>
      <c r="AF236" s="451"/>
      <c r="AG236" s="451"/>
      <c r="AH236" s="451"/>
      <c r="AI236" s="451"/>
      <c r="AJ236" s="451"/>
      <c r="AK236" s="451"/>
    </row>
    <row r="237" spans="1:37">
      <c r="A237" s="1190"/>
      <c r="B237" s="332" t="s">
        <v>2255</v>
      </c>
      <c r="C237" s="500"/>
      <c r="D237" s="654"/>
      <c r="E237" s="654"/>
      <c r="F237" s="654"/>
      <c r="G237" s="654"/>
      <c r="H237" s="654"/>
      <c r="I237" s="654"/>
      <c r="J237" s="654"/>
      <c r="K237" s="385"/>
      <c r="L237" s="385"/>
      <c r="M237" s="385"/>
      <c r="N237" s="385"/>
      <c r="O237" s="385"/>
      <c r="P237" s="385"/>
      <c r="Q237" s="385"/>
      <c r="R237" s="385"/>
      <c r="S237" s="385"/>
      <c r="T237" s="385"/>
      <c r="U237" s="385"/>
      <c r="V237" s="385"/>
      <c r="W237" s="385"/>
      <c r="X237" s="385"/>
      <c r="Y237" s="1191"/>
      <c r="Z237" s="1191"/>
      <c r="AA237" s="1191"/>
      <c r="AB237" s="1191"/>
      <c r="AC237" s="385"/>
      <c r="AD237" s="385"/>
      <c r="AE237" s="451"/>
      <c r="AF237" s="451"/>
      <c r="AG237" s="451"/>
      <c r="AH237" s="451"/>
      <c r="AI237" s="451"/>
      <c r="AJ237" s="451"/>
      <c r="AK237" s="451"/>
    </row>
    <row r="238" spans="1:37">
      <c r="A238" s="1190"/>
      <c r="B238" s="332"/>
      <c r="C238" s="500"/>
      <c r="D238" s="654"/>
      <c r="E238" s="654"/>
      <c r="F238" s="654"/>
      <c r="G238" s="654"/>
      <c r="H238" s="654"/>
      <c r="I238" s="654"/>
      <c r="J238" s="654"/>
      <c r="K238" s="385"/>
      <c r="L238" s="385"/>
      <c r="M238" s="385"/>
      <c r="N238" s="385"/>
      <c r="O238" s="385"/>
      <c r="P238" s="385"/>
      <c r="Q238" s="385"/>
      <c r="R238" s="385"/>
      <c r="S238" s="385"/>
      <c r="T238" s="385"/>
      <c r="U238" s="385"/>
      <c r="V238" s="385"/>
      <c r="W238" s="385"/>
      <c r="X238" s="385"/>
      <c r="Y238" s="1191"/>
      <c r="Z238" s="1191"/>
      <c r="AA238" s="1191"/>
      <c r="AB238" s="1191"/>
      <c r="AC238" s="385"/>
      <c r="AD238" s="385"/>
      <c r="AE238" s="451"/>
      <c r="AF238" s="451"/>
      <c r="AG238" s="451"/>
      <c r="AH238" s="451"/>
      <c r="AI238" s="451"/>
      <c r="AJ238" s="451"/>
      <c r="AK238" s="451"/>
    </row>
    <row r="239" spans="1:37">
      <c r="A239" s="1190"/>
      <c r="B239" s="661" t="s">
        <v>2256</v>
      </c>
      <c r="C239" s="500"/>
      <c r="D239" s="654"/>
      <c r="E239" s="654"/>
      <c r="F239" s="654"/>
      <c r="G239" s="654"/>
      <c r="H239" s="654"/>
      <c r="I239" s="654"/>
      <c r="J239" s="654"/>
      <c r="K239" s="385"/>
      <c r="L239" s="385"/>
      <c r="M239" s="385"/>
      <c r="N239" s="385"/>
      <c r="O239" s="385"/>
      <c r="P239" s="385"/>
      <c r="Q239" s="385"/>
      <c r="R239" s="385"/>
      <c r="S239" s="385"/>
      <c r="T239" s="385"/>
      <c r="U239" s="385"/>
      <c r="V239" s="385"/>
      <c r="W239" s="385"/>
      <c r="X239" s="385"/>
      <c r="Y239" s="1191"/>
      <c r="Z239" s="1191"/>
      <c r="AA239" s="1191"/>
      <c r="AB239" s="1191"/>
      <c r="AC239" s="385"/>
      <c r="AD239" s="385"/>
      <c r="AE239" s="451"/>
      <c r="AF239" s="451"/>
      <c r="AG239" s="451"/>
      <c r="AH239" s="451"/>
      <c r="AI239" s="451"/>
      <c r="AJ239" s="451"/>
      <c r="AK239" s="451"/>
    </row>
    <row r="240" spans="1:37">
      <c r="A240" s="1190"/>
      <c r="B240" s="661" t="s">
        <v>2257</v>
      </c>
      <c r="C240" s="500"/>
      <c r="D240" s="654"/>
      <c r="E240" s="654"/>
      <c r="F240" s="654"/>
      <c r="G240" s="654"/>
      <c r="H240" s="654"/>
      <c r="I240" s="654"/>
      <c r="J240" s="654"/>
      <c r="K240" s="385"/>
      <c r="L240" s="385"/>
      <c r="M240" s="385"/>
      <c r="N240" s="385"/>
      <c r="O240" s="385"/>
      <c r="P240" s="385"/>
      <c r="Q240" s="385"/>
      <c r="R240" s="385"/>
      <c r="S240" s="385"/>
      <c r="T240" s="385"/>
      <c r="U240" s="385"/>
      <c r="V240" s="385"/>
      <c r="W240" s="385"/>
      <c r="X240" s="385"/>
      <c r="Y240" s="1191"/>
      <c r="Z240" s="1191"/>
      <c r="AA240" s="1191"/>
      <c r="AB240" s="2378"/>
      <c r="AC240" s="2378"/>
      <c r="AD240" s="2378"/>
      <c r="AE240" s="2378"/>
      <c r="AF240" s="2378"/>
      <c r="AG240" s="2378"/>
      <c r="AH240" s="451"/>
      <c r="AI240" s="451"/>
      <c r="AJ240" s="451"/>
      <c r="AK240" s="451"/>
    </row>
    <row r="241" spans="1:37">
      <c r="A241" s="1190"/>
      <c r="B241" s="662" t="s">
        <v>2258</v>
      </c>
      <c r="C241" s="456"/>
      <c r="D241" s="660"/>
      <c r="E241" s="654"/>
      <c r="F241" s="654"/>
      <c r="G241" s="654"/>
      <c r="H241" s="654"/>
      <c r="I241" s="654"/>
      <c r="J241" s="654"/>
      <c r="K241" s="385"/>
      <c r="L241" s="385"/>
      <c r="M241" s="385"/>
      <c r="N241" s="385"/>
      <c r="O241" s="385"/>
      <c r="P241" s="385"/>
      <c r="Q241" s="385"/>
      <c r="R241" s="385"/>
      <c r="S241" s="385"/>
      <c r="T241" s="385"/>
      <c r="U241" s="385"/>
      <c r="V241" s="385"/>
      <c r="W241" s="385"/>
      <c r="X241" s="385"/>
      <c r="Y241" s="1191"/>
      <c r="Z241" s="1191"/>
      <c r="AA241" s="1191"/>
      <c r="AB241" s="1191"/>
      <c r="AC241" s="385"/>
      <c r="AD241" s="385"/>
      <c r="AE241" s="451"/>
      <c r="AF241" s="451"/>
      <c r="AG241" s="451"/>
      <c r="AH241" s="451"/>
      <c r="AI241" s="451"/>
      <c r="AJ241" s="451"/>
      <c r="AK241" s="451"/>
    </row>
    <row r="242" spans="1:37">
      <c r="A242" s="1190"/>
      <c r="B242" s="663" t="s">
        <v>2259</v>
      </c>
      <c r="C242" s="500"/>
      <c r="D242" s="654"/>
      <c r="E242" s="654"/>
      <c r="F242" s="654"/>
      <c r="G242" s="654"/>
      <c r="H242" s="654"/>
      <c r="I242" s="654"/>
      <c r="J242" s="654"/>
      <c r="K242" s="385"/>
      <c r="L242" s="385"/>
      <c r="M242" s="385"/>
      <c r="N242" s="385"/>
      <c r="O242" s="385"/>
      <c r="P242" s="385"/>
      <c r="Q242" s="385"/>
      <c r="R242" s="385"/>
      <c r="S242" s="385"/>
      <c r="T242" s="385"/>
      <c r="U242" s="385"/>
      <c r="V242" s="385"/>
      <c r="W242" s="385"/>
      <c r="X242" s="385"/>
      <c r="Y242" s="1191"/>
      <c r="Z242" s="1191"/>
      <c r="AA242" s="1191"/>
      <c r="AB242" s="1191"/>
      <c r="AC242" s="385"/>
      <c r="AD242" s="385"/>
      <c r="AE242" s="451"/>
      <c r="AF242" s="451"/>
      <c r="AG242" s="451"/>
      <c r="AH242" s="451"/>
      <c r="AI242" s="451"/>
      <c r="AJ242" s="451"/>
      <c r="AK242" s="451"/>
    </row>
    <row r="243" spans="1:37">
      <c r="A243" s="1190"/>
      <c r="B243" s="663" t="s">
        <v>2260</v>
      </c>
      <c r="C243" s="500"/>
      <c r="D243" s="654"/>
      <c r="E243" s="654"/>
      <c r="F243" s="654"/>
      <c r="G243" s="654"/>
      <c r="H243" s="654"/>
      <c r="I243" s="654"/>
      <c r="J243" s="654"/>
      <c r="K243" s="385"/>
      <c r="L243" s="385"/>
      <c r="M243" s="385"/>
      <c r="N243" s="385"/>
      <c r="O243" s="385"/>
      <c r="P243" s="385"/>
      <c r="Q243" s="385"/>
      <c r="R243" s="385"/>
      <c r="S243" s="385"/>
      <c r="T243" s="385"/>
      <c r="U243" s="385"/>
      <c r="V243" s="385"/>
      <c r="W243" s="385"/>
      <c r="X243" s="385"/>
      <c r="Y243" s="1191"/>
      <c r="Z243" s="1191"/>
      <c r="AA243" s="1191"/>
      <c r="AB243" s="2378"/>
      <c r="AC243" s="2378"/>
      <c r="AD243" s="2378"/>
      <c r="AE243" s="2378"/>
      <c r="AF243" s="2378"/>
      <c r="AG243" s="2378"/>
      <c r="AH243" s="451"/>
      <c r="AI243" s="451"/>
      <c r="AJ243" s="451"/>
      <c r="AK243" s="451"/>
    </row>
    <row r="244" spans="1:37">
      <c r="A244" s="1190"/>
      <c r="B244" s="663" t="s">
        <v>2261</v>
      </c>
      <c r="C244" s="500"/>
      <c r="D244" s="654"/>
      <c r="E244" s="654"/>
      <c r="F244" s="654"/>
      <c r="G244" s="654"/>
      <c r="H244" s="654"/>
      <c r="I244" s="654"/>
      <c r="J244" s="654"/>
      <c r="K244" s="385"/>
      <c r="L244" s="385"/>
      <c r="M244" s="385"/>
      <c r="N244" s="385"/>
      <c r="O244" s="385"/>
      <c r="P244" s="385"/>
      <c r="Q244" s="385"/>
      <c r="R244" s="385"/>
      <c r="S244" s="385"/>
      <c r="T244" s="385"/>
      <c r="U244" s="385"/>
      <c r="V244" s="385"/>
      <c r="W244" s="385"/>
      <c r="X244" s="385"/>
      <c r="Y244" s="1191"/>
      <c r="Z244" s="1191"/>
      <c r="AA244" s="1191"/>
      <c r="AB244" s="2340"/>
      <c r="AC244" s="2340"/>
      <c r="AD244" s="2340"/>
      <c r="AE244" s="2340"/>
      <c r="AF244" s="2340"/>
      <c r="AG244" s="2340"/>
      <c r="AH244" s="451"/>
      <c r="AI244" s="451"/>
      <c r="AJ244" s="451"/>
      <c r="AK244" s="451"/>
    </row>
    <row r="245" spans="1:37">
      <c r="A245" s="1190"/>
      <c r="B245" s="663" t="s">
        <v>2262</v>
      </c>
      <c r="C245" s="500"/>
      <c r="D245" s="654"/>
      <c r="E245" s="654"/>
      <c r="F245" s="654"/>
      <c r="G245" s="654"/>
      <c r="H245" s="654"/>
      <c r="I245" s="654"/>
      <c r="J245" s="654"/>
      <c r="K245" s="385"/>
      <c r="L245" s="385"/>
      <c r="M245" s="385"/>
      <c r="N245" s="385"/>
      <c r="O245" s="385"/>
      <c r="P245" s="385"/>
      <c r="Q245" s="385"/>
      <c r="R245" s="385"/>
      <c r="S245" s="385"/>
      <c r="T245" s="385"/>
      <c r="U245" s="385"/>
      <c r="V245" s="385"/>
      <c r="W245" s="385"/>
      <c r="X245" s="385"/>
      <c r="Y245" s="1191"/>
      <c r="Z245" s="1191"/>
      <c r="AA245" s="1191"/>
      <c r="AB245" s="2348">
        <f>IFERROR(AB243/AB244,0)</f>
        <v>0</v>
      </c>
      <c r="AC245" s="2348"/>
      <c r="AD245" s="2348"/>
      <c r="AE245" s="2348"/>
      <c r="AF245" s="2348"/>
      <c r="AG245" s="2348"/>
      <c r="AH245" s="451"/>
      <c r="AI245" s="451"/>
      <c r="AJ245" s="451"/>
      <c r="AK245" s="451"/>
    </row>
    <row r="246" spans="1:37">
      <c r="A246" s="1190"/>
      <c r="B246" s="332"/>
      <c r="C246" s="500"/>
      <c r="D246" s="654"/>
      <c r="E246" s="654"/>
      <c r="F246" s="654"/>
      <c r="G246" s="654"/>
      <c r="H246" s="654"/>
      <c r="I246" s="654"/>
      <c r="J246" s="654"/>
      <c r="K246" s="385"/>
      <c r="L246" s="385"/>
      <c r="M246" s="385"/>
      <c r="N246" s="385"/>
      <c r="O246" s="385"/>
      <c r="P246" s="385"/>
      <c r="Q246" s="385"/>
      <c r="R246" s="385"/>
      <c r="S246" s="385"/>
      <c r="T246" s="385"/>
      <c r="U246" s="385"/>
      <c r="V246" s="385"/>
      <c r="W246" s="385"/>
      <c r="X246" s="385"/>
      <c r="Y246" s="1191"/>
      <c r="Z246" s="1191"/>
      <c r="AA246" s="1191"/>
      <c r="AB246" s="1191"/>
      <c r="AC246" s="385"/>
      <c r="AD246" s="385"/>
      <c r="AE246" s="451"/>
      <c r="AF246" s="451"/>
      <c r="AG246" s="451"/>
      <c r="AH246" s="451"/>
      <c r="AI246" s="451"/>
      <c r="AJ246" s="451"/>
      <c r="AK246" s="451"/>
    </row>
    <row r="247" spans="1:37">
      <c r="A247" s="1190"/>
      <c r="B247" s="332" t="s">
        <v>2263</v>
      </c>
      <c r="C247" s="500"/>
      <c r="D247" s="654"/>
      <c r="E247" s="654"/>
      <c r="F247" s="654"/>
      <c r="G247" s="654"/>
      <c r="H247" s="654"/>
      <c r="I247" s="654"/>
      <c r="J247" s="654"/>
      <c r="K247" s="385"/>
      <c r="L247" s="385"/>
      <c r="M247" s="385"/>
      <c r="N247" s="385"/>
      <c r="O247" s="385"/>
      <c r="P247" s="385"/>
      <c r="Q247" s="385"/>
      <c r="R247" s="385"/>
      <c r="S247" s="385"/>
      <c r="T247" s="385"/>
      <c r="U247" s="385"/>
      <c r="V247" s="385"/>
      <c r="W247" s="385"/>
      <c r="X247" s="385"/>
      <c r="Y247" s="1191"/>
      <c r="Z247" s="1191"/>
      <c r="AA247" s="1191"/>
      <c r="AB247" s="2347">
        <f>MAX(AB240,AB245)</f>
        <v>0</v>
      </c>
      <c r="AC247" s="2347"/>
      <c r="AD247" s="2347"/>
      <c r="AE247" s="2347"/>
      <c r="AF247" s="2347"/>
      <c r="AG247" s="2347"/>
      <c r="AH247" s="451"/>
      <c r="AI247" s="451"/>
      <c r="AJ247" s="451"/>
      <c r="AK247" s="451"/>
    </row>
    <row r="248" spans="1:37">
      <c r="A248" s="1190"/>
      <c r="B248" s="332"/>
      <c r="C248" s="500"/>
      <c r="D248" s="654"/>
      <c r="E248" s="654"/>
      <c r="F248" s="654"/>
      <c r="G248" s="654"/>
      <c r="H248" s="654"/>
      <c r="I248" s="654"/>
      <c r="J248" s="654"/>
      <c r="K248" s="385"/>
      <c r="L248" s="385"/>
      <c r="M248" s="385"/>
      <c r="N248" s="385"/>
      <c r="O248" s="385"/>
      <c r="P248" s="385"/>
      <c r="Q248" s="385"/>
      <c r="R248" s="385"/>
      <c r="S248" s="385"/>
      <c r="T248" s="385"/>
      <c r="U248" s="385"/>
      <c r="V248" s="385"/>
      <c r="W248" s="385"/>
      <c r="X248" s="385"/>
      <c r="Y248" s="1191"/>
      <c r="Z248" s="1191"/>
      <c r="AA248" s="1191"/>
      <c r="AB248" s="1191"/>
      <c r="AC248" s="385"/>
      <c r="AD248" s="385"/>
      <c r="AE248" s="451"/>
      <c r="AF248" s="451"/>
      <c r="AG248" s="451"/>
      <c r="AH248" s="451"/>
      <c r="AI248" s="451"/>
      <c r="AJ248" s="451"/>
      <c r="AK248" s="451"/>
    </row>
    <row r="249" spans="1:37">
      <c r="A249" s="1190"/>
      <c r="B249" s="332"/>
      <c r="C249" s="500"/>
      <c r="D249" s="654"/>
      <c r="E249" s="654"/>
      <c r="F249" s="654"/>
      <c r="G249" s="654"/>
      <c r="H249" s="654"/>
      <c r="I249" s="654"/>
      <c r="J249" s="654"/>
      <c r="K249" s="385"/>
      <c r="L249" s="385"/>
      <c r="M249" s="385"/>
      <c r="N249" s="385"/>
      <c r="O249" s="385"/>
      <c r="P249" s="385"/>
      <c r="Q249" s="385"/>
      <c r="R249" s="385"/>
      <c r="S249" s="385"/>
      <c r="T249" s="385"/>
      <c r="U249" s="385"/>
      <c r="V249" s="385"/>
      <c r="W249" s="385"/>
      <c r="X249" s="385"/>
      <c r="Y249" s="1191"/>
      <c r="Z249" s="1191"/>
      <c r="AA249" s="1191"/>
      <c r="AB249" s="1191"/>
      <c r="AC249" s="385"/>
      <c r="AD249" s="385"/>
      <c r="AE249" s="451"/>
      <c r="AF249" s="451"/>
      <c r="AG249" s="451"/>
      <c r="AH249" s="451"/>
      <c r="AI249" s="451"/>
      <c r="AJ249" s="451"/>
      <c r="AK249" s="451"/>
    </row>
    <row r="250" spans="1:37">
      <c r="A250" s="1190"/>
      <c r="B250" s="332" t="s">
        <v>2264</v>
      </c>
      <c r="C250" s="500"/>
      <c r="D250" s="654"/>
      <c r="E250" s="654"/>
      <c r="F250" s="654"/>
      <c r="G250" s="654"/>
      <c r="H250" s="654"/>
      <c r="I250" s="654"/>
      <c r="J250" s="654"/>
      <c r="K250" s="385"/>
      <c r="L250" s="385"/>
      <c r="M250" s="385"/>
      <c r="N250" s="385"/>
      <c r="O250" s="385"/>
      <c r="P250" s="385"/>
      <c r="Q250" s="385"/>
      <c r="R250" s="385"/>
      <c r="S250" s="385"/>
      <c r="U250" s="664"/>
      <c r="V250" s="664"/>
      <c r="W250" s="664"/>
      <c r="X250" s="664"/>
      <c r="Y250" s="664"/>
      <c r="Z250" s="1191"/>
      <c r="AA250" s="1191"/>
      <c r="AB250" s="2341">
        <f>AB234+AB247</f>
        <v>0</v>
      </c>
      <c r="AC250" s="2341"/>
      <c r="AD250" s="2341"/>
      <c r="AE250" s="2341"/>
      <c r="AF250" s="2341"/>
      <c r="AG250" s="2341"/>
      <c r="AH250" s="451"/>
      <c r="AI250" s="451"/>
      <c r="AJ250" s="451"/>
      <c r="AK250" s="451"/>
    </row>
    <row r="251" spans="1:37">
      <c r="A251" s="1190"/>
      <c r="B251" s="332" t="s">
        <v>2265</v>
      </c>
      <c r="C251" s="500"/>
      <c r="D251" s="654"/>
      <c r="E251" s="654"/>
      <c r="F251" s="654"/>
      <c r="G251" s="654"/>
      <c r="H251" s="654"/>
      <c r="I251" s="654"/>
      <c r="J251" s="654"/>
      <c r="K251" s="385"/>
      <c r="L251" s="385"/>
      <c r="M251" s="385"/>
      <c r="N251" s="385"/>
      <c r="O251" s="385"/>
      <c r="P251" s="385"/>
      <c r="Q251" s="385"/>
      <c r="R251" s="385"/>
      <c r="S251" s="385"/>
      <c r="U251" s="665"/>
      <c r="V251" s="665"/>
      <c r="W251" s="665"/>
      <c r="X251" s="665"/>
      <c r="Y251" s="665"/>
      <c r="Z251" s="1191"/>
      <c r="AA251" s="1191"/>
      <c r="AB251" s="2512">
        <v>0.05</v>
      </c>
      <c r="AC251" s="2512"/>
      <c r="AD251" s="2512"/>
      <c r="AE251" s="2512"/>
      <c r="AF251" s="2512"/>
      <c r="AG251" s="2512"/>
      <c r="AH251" s="451"/>
      <c r="AI251" s="451"/>
      <c r="AJ251" s="451"/>
      <c r="AK251" s="451"/>
    </row>
    <row r="252" spans="1:37">
      <c r="A252" s="1190"/>
      <c r="B252" s="332" t="s">
        <v>2266</v>
      </c>
      <c r="C252" s="500"/>
      <c r="D252" s="654"/>
      <c r="E252" s="654"/>
      <c r="F252" s="654"/>
      <c r="G252" s="654"/>
      <c r="H252" s="654"/>
      <c r="I252" s="654"/>
      <c r="J252" s="654"/>
      <c r="K252" s="385"/>
      <c r="L252" s="385"/>
      <c r="M252" s="385"/>
      <c r="N252" s="385"/>
      <c r="O252" s="385"/>
      <c r="P252" s="385"/>
      <c r="Q252" s="385"/>
      <c r="R252" s="385"/>
      <c r="S252" s="385"/>
      <c r="U252" s="664"/>
      <c r="V252" s="664"/>
      <c r="W252" s="664"/>
      <c r="X252" s="664"/>
      <c r="Y252" s="664"/>
      <c r="Z252" s="1191"/>
      <c r="AA252" s="1191"/>
      <c r="AB252" s="2513">
        <f>AB250-(AB250*AB251)</f>
        <v>0</v>
      </c>
      <c r="AC252" s="2513"/>
      <c r="AD252" s="2513"/>
      <c r="AE252" s="2513"/>
      <c r="AF252" s="2513"/>
      <c r="AG252" s="2513"/>
      <c r="AH252" s="451"/>
      <c r="AI252" s="451"/>
      <c r="AJ252" s="451"/>
      <c r="AK252" s="451"/>
    </row>
    <row r="253" spans="1:37">
      <c r="A253" s="1190"/>
      <c r="B253" s="332" t="s">
        <v>2267</v>
      </c>
      <c r="C253" s="500"/>
      <c r="D253" s="654"/>
      <c r="E253" s="654"/>
      <c r="F253" s="654"/>
      <c r="G253" s="654"/>
      <c r="H253" s="654"/>
      <c r="I253" s="654"/>
      <c r="J253" s="654"/>
      <c r="K253" s="385"/>
      <c r="L253" s="385"/>
      <c r="M253" s="385"/>
      <c r="N253" s="385"/>
      <c r="O253" s="385"/>
      <c r="P253" s="385"/>
      <c r="Q253" s="385"/>
      <c r="R253" s="385"/>
      <c r="S253" s="385"/>
      <c r="U253" s="385"/>
      <c r="V253" s="385"/>
      <c r="W253" s="385"/>
      <c r="X253" s="385"/>
      <c r="Y253" s="1215"/>
      <c r="Z253" s="1191"/>
      <c r="AA253" s="1191"/>
      <c r="AB253" s="385"/>
      <c r="AC253" s="385"/>
      <c r="AD253" s="385"/>
      <c r="AE253" s="451"/>
      <c r="AF253" s="451"/>
      <c r="AG253" s="451"/>
      <c r="AH253" s="451"/>
      <c r="AI253" s="451"/>
      <c r="AJ253" s="451"/>
      <c r="AK253" s="451"/>
    </row>
    <row r="254" spans="1:37">
      <c r="A254" s="1190"/>
      <c r="B254" s="332" t="s">
        <v>2268</v>
      </c>
      <c r="C254" s="500"/>
      <c r="D254" s="654"/>
      <c r="E254" s="654"/>
      <c r="F254" s="654"/>
      <c r="G254" s="654"/>
      <c r="H254" s="654"/>
      <c r="I254" s="654"/>
      <c r="J254" s="654"/>
      <c r="K254" s="385"/>
      <c r="L254" s="385"/>
      <c r="M254" s="385"/>
      <c r="N254" s="385"/>
      <c r="O254" s="385"/>
      <c r="P254" s="385"/>
      <c r="Q254" s="385"/>
      <c r="R254" s="385"/>
      <c r="S254" s="385"/>
      <c r="U254" s="664"/>
      <c r="V254" s="664"/>
      <c r="W254" s="664"/>
      <c r="X254" s="664"/>
      <c r="Y254" s="664"/>
      <c r="Z254" s="1191"/>
      <c r="AA254" s="1191"/>
      <c r="AB254" s="2341">
        <f>AB252/AB258</f>
        <v>0</v>
      </c>
      <c r="AC254" s="2341"/>
      <c r="AD254" s="2341"/>
      <c r="AE254" s="2341"/>
      <c r="AF254" s="2341"/>
      <c r="AG254" s="2341"/>
      <c r="AH254" s="451"/>
      <c r="AI254" s="451"/>
      <c r="AJ254" s="451"/>
      <c r="AK254" s="451"/>
    </row>
    <row r="255" spans="1:37">
      <c r="A255" s="1190"/>
      <c r="B255" s="332"/>
      <c r="C255" s="500"/>
      <c r="D255" s="654"/>
      <c r="E255" s="654"/>
      <c r="F255" s="654"/>
      <c r="G255" s="654"/>
      <c r="H255" s="654"/>
      <c r="I255" s="654"/>
      <c r="J255" s="654"/>
      <c r="K255" s="385"/>
      <c r="L255" s="385"/>
      <c r="M255" s="385"/>
      <c r="N255" s="385"/>
      <c r="O255" s="385"/>
      <c r="P255" s="385"/>
      <c r="Q255" s="385"/>
      <c r="R255" s="385"/>
      <c r="S255" s="385"/>
      <c r="U255" s="385"/>
      <c r="V255" s="385"/>
      <c r="W255" s="385"/>
      <c r="X255" s="385"/>
      <c r="Y255" s="332"/>
      <c r="Z255" s="1191"/>
      <c r="AA255" s="1191"/>
      <c r="AB255" s="385"/>
      <c r="AC255" s="385"/>
      <c r="AD255" s="385"/>
      <c r="AE255" s="451"/>
      <c r="AF255" s="451"/>
      <c r="AG255" s="451"/>
      <c r="AH255" s="451"/>
      <c r="AI255" s="451"/>
      <c r="AJ255" s="451"/>
      <c r="AK255" s="451"/>
    </row>
    <row r="256" spans="1:37">
      <c r="A256" s="1190"/>
      <c r="B256" s="332" t="s">
        <v>2269</v>
      </c>
      <c r="C256" s="500"/>
      <c r="D256" s="654"/>
      <c r="E256" s="654"/>
      <c r="F256" s="654"/>
      <c r="G256" s="654"/>
      <c r="H256" s="654"/>
      <c r="I256" s="654"/>
      <c r="J256" s="654"/>
      <c r="K256" s="385"/>
      <c r="L256" s="385"/>
      <c r="M256" s="385"/>
      <c r="N256" s="385"/>
      <c r="O256" s="385"/>
      <c r="P256" s="385"/>
      <c r="Q256" s="385"/>
      <c r="R256" s="385"/>
      <c r="S256" s="385"/>
      <c r="U256" s="332"/>
      <c r="V256" s="332"/>
      <c r="W256" s="332"/>
      <c r="X256" s="332"/>
      <c r="Y256" s="332"/>
      <c r="Z256" s="1191"/>
      <c r="AA256" s="1191"/>
      <c r="AB256" s="2524">
        <v>15</v>
      </c>
      <c r="AC256" s="2524"/>
      <c r="AD256" s="2524"/>
      <c r="AE256" s="2524"/>
      <c r="AF256" s="2524"/>
      <c r="AG256" s="2524"/>
      <c r="AH256" s="451"/>
      <c r="AI256" s="451"/>
      <c r="AJ256" s="451"/>
      <c r="AK256" s="451"/>
    </row>
    <row r="257" spans="1:37">
      <c r="A257" s="1190"/>
      <c r="B257" s="332" t="s">
        <v>2270</v>
      </c>
      <c r="C257" s="500"/>
      <c r="D257" s="654"/>
      <c r="E257" s="654"/>
      <c r="F257" s="654"/>
      <c r="G257" s="654"/>
      <c r="H257" s="654"/>
      <c r="I257" s="654"/>
      <c r="J257" s="654"/>
      <c r="K257" s="385"/>
      <c r="L257" s="385"/>
      <c r="M257" s="385"/>
      <c r="N257" s="385"/>
      <c r="O257" s="385"/>
      <c r="P257" s="385"/>
      <c r="Q257" s="385"/>
      <c r="R257" s="385"/>
      <c r="S257" s="385"/>
      <c r="U257" s="665"/>
      <c r="V257" s="665"/>
      <c r="W257" s="665"/>
      <c r="X257" s="665"/>
      <c r="Y257" s="665"/>
      <c r="Z257" s="1191"/>
      <c r="AA257" s="1191"/>
      <c r="AB257" s="2515">
        <v>0.04</v>
      </c>
      <c r="AC257" s="2515"/>
      <c r="AD257" s="2515"/>
      <c r="AE257" s="2515"/>
      <c r="AF257" s="2515"/>
      <c r="AG257" s="2515"/>
      <c r="AH257" s="451"/>
      <c r="AI257" s="451"/>
      <c r="AJ257" s="451"/>
      <c r="AK257" s="451"/>
    </row>
    <row r="258" spans="1:37">
      <c r="A258" s="1190"/>
      <c r="B258" s="332" t="s">
        <v>2271</v>
      </c>
      <c r="C258" s="500"/>
      <c r="D258" s="654"/>
      <c r="E258" s="654"/>
      <c r="F258" s="654"/>
      <c r="G258" s="654"/>
      <c r="H258" s="654"/>
      <c r="I258" s="654"/>
      <c r="J258" s="654"/>
      <c r="K258" s="385"/>
      <c r="L258" s="385"/>
      <c r="M258" s="385"/>
      <c r="N258" s="385"/>
      <c r="O258" s="385"/>
      <c r="P258" s="385"/>
      <c r="Q258" s="385"/>
      <c r="R258" s="385"/>
      <c r="S258" s="385"/>
      <c r="U258" s="666"/>
      <c r="V258" s="666"/>
      <c r="W258" s="666"/>
      <c r="X258" s="666"/>
      <c r="Y258" s="666"/>
      <c r="Z258" s="1191"/>
      <c r="AA258" s="1191"/>
      <c r="AB258" s="2516">
        <v>1.1499999999999999</v>
      </c>
      <c r="AC258" s="2516"/>
      <c r="AD258" s="2516"/>
      <c r="AE258" s="2516"/>
      <c r="AF258" s="2516"/>
      <c r="AG258" s="2516"/>
      <c r="AH258" s="451"/>
      <c r="AI258" s="451"/>
      <c r="AJ258" s="451"/>
      <c r="AK258" s="451"/>
    </row>
    <row r="259" spans="1:37">
      <c r="A259" s="1190"/>
      <c r="B259" s="332"/>
      <c r="C259" s="500"/>
      <c r="D259" s="654"/>
      <c r="E259" s="654"/>
      <c r="F259" s="654"/>
      <c r="G259" s="654"/>
      <c r="H259" s="654"/>
      <c r="I259" s="654"/>
      <c r="J259" s="654"/>
      <c r="K259" s="385"/>
      <c r="L259" s="385"/>
      <c r="M259" s="385"/>
      <c r="N259" s="385"/>
      <c r="O259" s="385"/>
      <c r="P259" s="385"/>
      <c r="Q259" s="385"/>
      <c r="R259" s="385"/>
      <c r="S259" s="385"/>
      <c r="U259" s="385"/>
      <c r="V259" s="385"/>
      <c r="W259" s="385"/>
      <c r="X259" s="385"/>
      <c r="Y259" s="342"/>
      <c r="Z259" s="1191"/>
      <c r="AA259" s="1191"/>
      <c r="AB259" s="385"/>
      <c r="AC259" s="385"/>
      <c r="AD259" s="385"/>
      <c r="AE259" s="451"/>
      <c r="AF259" s="451"/>
      <c r="AG259" s="451"/>
      <c r="AH259" s="451"/>
      <c r="AI259" s="451"/>
      <c r="AJ259" s="451"/>
      <c r="AK259" s="451"/>
    </row>
    <row r="260" spans="1:37">
      <c r="A260" s="1190"/>
      <c r="B260" s="668" t="s">
        <v>2272</v>
      </c>
      <c r="C260" s="500"/>
      <c r="D260" s="654"/>
      <c r="E260" s="654"/>
      <c r="F260" s="654"/>
      <c r="G260" s="654"/>
      <c r="H260" s="654"/>
      <c r="I260" s="654"/>
      <c r="J260" s="654"/>
      <c r="K260" s="385"/>
      <c r="L260" s="385"/>
      <c r="M260" s="385"/>
      <c r="N260" s="385"/>
      <c r="O260" s="385"/>
      <c r="P260" s="385"/>
      <c r="Q260" s="385"/>
      <c r="R260" s="385"/>
      <c r="S260" s="385"/>
      <c r="U260" s="667"/>
      <c r="V260" s="667"/>
      <c r="W260" s="667"/>
      <c r="X260" s="667"/>
      <c r="Y260" s="667"/>
      <c r="Z260" s="1191"/>
      <c r="AA260" s="1191"/>
      <c r="AB260" s="2505">
        <f>PV(AB257/12,AB256*12,-AB254/12, ,0)</f>
        <v>0</v>
      </c>
      <c r="AC260" s="2506"/>
      <c r="AD260" s="2506"/>
      <c r="AE260" s="2506"/>
      <c r="AF260" s="2506"/>
      <c r="AG260" s="2507"/>
      <c r="AH260" s="451"/>
      <c r="AI260" s="451"/>
      <c r="AJ260" s="451"/>
      <c r="AK260" s="451"/>
    </row>
    <row r="261" spans="1:37">
      <c r="A261" s="1190"/>
      <c r="B261" s="668"/>
      <c r="C261" s="500"/>
      <c r="D261" s="654"/>
      <c r="E261" s="654"/>
      <c r="F261" s="654"/>
      <c r="G261" s="654"/>
      <c r="H261" s="654"/>
      <c r="I261" s="654"/>
      <c r="J261" s="654"/>
      <c r="K261" s="385"/>
      <c r="L261" s="385"/>
      <c r="M261" s="385"/>
      <c r="N261" s="385"/>
      <c r="O261" s="385"/>
      <c r="P261" s="385"/>
      <c r="Q261" s="385"/>
      <c r="R261" s="385"/>
      <c r="S261" s="385"/>
      <c r="U261" s="667"/>
      <c r="V261" s="667"/>
      <c r="W261" s="667"/>
      <c r="X261" s="667"/>
      <c r="Y261" s="667"/>
      <c r="Z261" s="1191"/>
      <c r="AA261" s="1191"/>
      <c r="AB261" s="678"/>
      <c r="AC261" s="678"/>
      <c r="AD261" s="678"/>
      <c r="AE261" s="678"/>
      <c r="AF261" s="678"/>
      <c r="AG261" s="678"/>
      <c r="AH261" s="451"/>
      <c r="AI261" s="451"/>
      <c r="AJ261" s="451"/>
      <c r="AK261" s="451"/>
    </row>
    <row r="262" spans="1:37">
      <c r="A262" s="1190"/>
      <c r="B262" s="668"/>
      <c r="C262" s="500"/>
      <c r="D262" s="654"/>
      <c r="E262" s="654"/>
      <c r="F262" s="654"/>
      <c r="G262" s="654"/>
      <c r="H262" s="654"/>
      <c r="I262" s="654"/>
      <c r="J262" s="654"/>
      <c r="K262" s="385"/>
      <c r="L262" s="385"/>
      <c r="M262" s="385"/>
      <c r="N262" s="385"/>
      <c r="O262" s="385"/>
      <c r="P262" s="385"/>
      <c r="Q262" s="385"/>
      <c r="R262" s="385"/>
      <c r="S262" s="385"/>
      <c r="U262" s="667"/>
      <c r="V262" s="667"/>
      <c r="W262" s="667"/>
      <c r="X262" s="667"/>
      <c r="Y262" s="667"/>
      <c r="Z262" s="1191"/>
      <c r="AA262" s="1191"/>
      <c r="AB262" s="678"/>
      <c r="AC262" s="678"/>
      <c r="AD262" s="678"/>
      <c r="AE262" s="678"/>
      <c r="AF262" s="678"/>
      <c r="AG262" s="678"/>
      <c r="AH262" s="451"/>
      <c r="AI262" s="451"/>
      <c r="AJ262" s="451"/>
      <c r="AK262" s="451"/>
    </row>
    <row r="263" spans="1:37">
      <c r="A263" s="1190"/>
      <c r="B263" s="671" t="s">
        <v>2273</v>
      </c>
      <c r="C263" s="671"/>
      <c r="D263" s="654"/>
      <c r="E263" s="654"/>
      <c r="F263" s="654"/>
      <c r="G263" s="654"/>
      <c r="H263" s="654"/>
      <c r="I263" s="654"/>
      <c r="J263" s="654"/>
      <c r="K263" s="385"/>
      <c r="L263" s="385"/>
      <c r="M263" s="385"/>
      <c r="N263" s="385"/>
      <c r="O263" s="385"/>
      <c r="P263" s="385"/>
      <c r="Q263" s="385"/>
      <c r="R263" s="385"/>
      <c r="S263" s="385"/>
      <c r="T263" s="385"/>
      <c r="U263" s="385"/>
      <c r="V263" s="385"/>
      <c r="W263" s="385"/>
      <c r="X263" s="385"/>
      <c r="Y263" s="1191"/>
      <c r="Z263" s="1191"/>
      <c r="AA263" s="1191"/>
      <c r="AB263" s="1191"/>
      <c r="AC263" s="385"/>
      <c r="AD263" s="385"/>
      <c r="AE263" s="451"/>
      <c r="AF263" s="451"/>
      <c r="AG263" s="451"/>
      <c r="AH263" s="451"/>
      <c r="AI263" s="451"/>
      <c r="AJ263" s="451"/>
      <c r="AK263" s="451"/>
    </row>
    <row r="264" spans="1:37">
      <c r="A264" s="1190"/>
      <c r="B264" s="1190" t="s">
        <v>2274</v>
      </c>
      <c r="C264" s="500"/>
      <c r="D264" s="654"/>
      <c r="E264" s="654"/>
      <c r="F264" s="654"/>
      <c r="G264" s="654"/>
      <c r="H264" s="654"/>
      <c r="I264" s="654"/>
      <c r="J264" s="654"/>
      <c r="K264" s="385"/>
      <c r="L264" s="385"/>
      <c r="M264" s="385"/>
      <c r="N264" s="385"/>
      <c r="O264" s="385"/>
      <c r="P264" s="385"/>
      <c r="Q264" s="385"/>
      <c r="R264" s="385"/>
      <c r="S264" s="385"/>
      <c r="T264" s="385"/>
      <c r="U264" s="385"/>
      <c r="V264" s="385"/>
      <c r="W264" s="385"/>
      <c r="X264" s="385"/>
      <c r="Y264" s="1191"/>
      <c r="Z264" s="1191"/>
      <c r="AA264" s="1191"/>
      <c r="AB264" s="1191"/>
      <c r="AC264" s="385"/>
      <c r="AD264" s="385"/>
      <c r="AE264" s="451"/>
      <c r="AF264" s="451"/>
      <c r="AG264" s="451"/>
      <c r="AH264" s="451"/>
      <c r="AI264" s="451"/>
      <c r="AJ264" s="451"/>
      <c r="AK264" s="451"/>
    </row>
    <row r="265" spans="1:37">
      <c r="A265" s="1190"/>
      <c r="B265" s="1190" t="s">
        <v>2275</v>
      </c>
      <c r="C265" s="500"/>
      <c r="D265" s="654"/>
      <c r="E265" s="654"/>
      <c r="F265" s="654"/>
      <c r="G265" s="654"/>
      <c r="H265" s="654"/>
      <c r="I265" s="654"/>
      <c r="J265" s="654"/>
      <c r="K265" s="385"/>
      <c r="L265" s="385"/>
      <c r="M265" s="385"/>
      <c r="N265" s="385"/>
      <c r="O265" s="385"/>
      <c r="P265" s="385"/>
      <c r="Q265" s="385"/>
      <c r="R265" s="385"/>
      <c r="S265" s="385"/>
      <c r="T265" s="385"/>
      <c r="U265" s="385"/>
      <c r="V265" s="385"/>
      <c r="W265" s="385"/>
      <c r="X265" s="385"/>
      <c r="Y265" s="1191"/>
      <c r="Z265" s="1191"/>
      <c r="AA265" s="1191"/>
      <c r="AB265" s="1191"/>
      <c r="AC265" s="385"/>
      <c r="AD265" s="385"/>
      <c r="AE265" s="451"/>
      <c r="AF265" s="451"/>
      <c r="AG265" s="451"/>
      <c r="AH265" s="451"/>
      <c r="AI265" s="451"/>
      <c r="AJ265" s="451"/>
      <c r="AK265" s="451"/>
    </row>
    <row r="266" spans="1:37">
      <c r="A266" s="1190"/>
      <c r="B266" s="1190" t="s">
        <v>2276</v>
      </c>
      <c r="C266" s="500"/>
      <c r="D266" s="654"/>
      <c r="E266" s="654"/>
      <c r="F266" s="654"/>
      <c r="G266" s="654"/>
      <c r="H266" s="654"/>
      <c r="I266" s="654"/>
      <c r="J266" s="654"/>
      <c r="K266" s="385"/>
      <c r="L266" s="385"/>
      <c r="M266" s="385"/>
      <c r="N266" s="385"/>
      <c r="O266" s="385"/>
      <c r="P266" s="385"/>
      <c r="Q266" s="385"/>
      <c r="R266" s="385"/>
      <c r="S266" s="385"/>
      <c r="T266" s="385"/>
      <c r="U266" s="385"/>
      <c r="V266" s="385"/>
      <c r="W266" s="385"/>
      <c r="X266" s="385"/>
      <c r="Y266" s="1191"/>
      <c r="Z266" s="1191"/>
      <c r="AA266" s="1191"/>
      <c r="AB266" s="2509">
        <f>IFERROR(('Sources and Uses Budget'!D105/'Sources and Uses Budget'!B105),0)</f>
        <v>0</v>
      </c>
      <c r="AC266" s="2510"/>
      <c r="AD266" s="2510"/>
      <c r="AE266" s="2510"/>
      <c r="AF266" s="2510"/>
      <c r="AG266" s="2511"/>
      <c r="AH266" s="679"/>
      <c r="AI266" s="679"/>
      <c r="AJ266" s="679"/>
      <c r="AK266" s="451"/>
    </row>
    <row r="267" spans="1:37">
      <c r="A267" s="1190"/>
      <c r="B267" s="332"/>
      <c r="C267" s="500"/>
      <c r="D267" s="654"/>
      <c r="E267" s="654"/>
      <c r="F267" s="654"/>
      <c r="G267" s="654"/>
      <c r="H267" s="654"/>
      <c r="I267" s="654"/>
      <c r="J267" s="654"/>
      <c r="K267" s="385"/>
      <c r="L267" s="385"/>
      <c r="M267" s="385"/>
      <c r="N267" s="385"/>
      <c r="O267" s="385"/>
      <c r="P267" s="385"/>
      <c r="Q267" s="385"/>
      <c r="R267" s="385"/>
      <c r="S267" s="385"/>
      <c r="T267" s="385"/>
      <c r="U267" s="385"/>
      <c r="V267" s="385"/>
      <c r="W267" s="385"/>
      <c r="X267" s="385"/>
      <c r="Y267" s="1191"/>
      <c r="Z267" s="1191"/>
      <c r="AA267" s="1191"/>
      <c r="AB267" s="1191"/>
      <c r="AC267" s="385"/>
      <c r="AD267" s="385"/>
      <c r="AE267" s="451"/>
      <c r="AF267" s="451"/>
      <c r="AG267" s="451"/>
      <c r="AH267" s="451"/>
      <c r="AI267" s="451"/>
      <c r="AJ267" s="451"/>
      <c r="AK267" s="451"/>
    </row>
    <row r="268" spans="1:37">
      <c r="A268" s="462"/>
      <c r="B268" s="1130" t="s">
        <v>2277</v>
      </c>
      <c r="C268" s="463"/>
      <c r="D268" s="463"/>
      <c r="E268" s="463"/>
      <c r="F268" s="463"/>
      <c r="H268" s="464"/>
      <c r="I268" s="464"/>
      <c r="J268" s="464"/>
      <c r="K268" s="464"/>
      <c r="L268" s="464"/>
      <c r="M268" s="464"/>
      <c r="N268" s="464"/>
      <c r="O268" s="464"/>
      <c r="P268" s="464"/>
      <c r="Q268" s="464"/>
      <c r="R268" s="464"/>
      <c r="Y268" s="464"/>
      <c r="Z268" s="464"/>
      <c r="AA268" s="464"/>
      <c r="AB268" s="462"/>
      <c r="AC268" s="462"/>
      <c r="AD268" s="462"/>
      <c r="AE268" s="462"/>
      <c r="AG268" s="2355">
        <f>AD211*(1-AB266)</f>
        <v>4000000</v>
      </c>
      <c r="AH268" s="2355"/>
      <c r="AI268" s="2355"/>
      <c r="AJ268" s="2355"/>
      <c r="AK268" s="2355"/>
    </row>
    <row r="269" spans="1:37">
      <c r="A269" s="462"/>
      <c r="B269" s="465" t="s">
        <v>2278</v>
      </c>
      <c r="C269" s="466"/>
      <c r="D269" s="464"/>
      <c r="E269" s="464"/>
      <c r="F269" s="466"/>
      <c r="G269" s="466"/>
      <c r="H269" s="466"/>
      <c r="I269" s="466"/>
      <c r="J269" s="466"/>
      <c r="K269" s="466"/>
      <c r="L269" s="466"/>
      <c r="M269" s="464"/>
      <c r="N269" s="466"/>
      <c r="O269" s="466"/>
      <c r="P269" s="466"/>
      <c r="Q269" s="466"/>
      <c r="R269" s="466"/>
      <c r="Y269" s="464"/>
      <c r="Z269" s="464"/>
      <c r="AA269" s="464"/>
      <c r="AB269" s="462"/>
      <c r="AC269" s="462"/>
      <c r="AD269" s="462"/>
      <c r="AE269" s="462"/>
      <c r="AG269" s="2355">
        <f>'Sources and Uses Budget'!C105</f>
        <v>77153162</v>
      </c>
      <c r="AH269" s="2355"/>
      <c r="AI269" s="2355"/>
      <c r="AJ269" s="2355"/>
      <c r="AK269" s="2355"/>
    </row>
    <row r="270" spans="1:37">
      <c r="A270" s="462"/>
      <c r="B270" s="464" t="s">
        <v>1634</v>
      </c>
      <c r="C270" s="464"/>
      <c r="D270" s="464"/>
      <c r="E270" s="464"/>
      <c r="F270" s="464"/>
      <c r="G270" s="464"/>
      <c r="H270" s="464"/>
      <c r="I270" s="464"/>
      <c r="J270" s="464"/>
      <c r="K270" s="464"/>
      <c r="L270" s="464"/>
      <c r="M270" s="464"/>
      <c r="N270" s="464"/>
      <c r="O270" s="464"/>
      <c r="P270" s="464"/>
      <c r="Q270" s="464"/>
      <c r="R270" s="464"/>
      <c r="Y270" s="464"/>
      <c r="Z270" s="464"/>
      <c r="AA270" s="464"/>
      <c r="AB270" s="462"/>
      <c r="AC270" s="462"/>
      <c r="AD270" s="462"/>
      <c r="AE270" s="462"/>
      <c r="AG270" s="2501">
        <f>ROUNDDOWN(IF(AND(C292="Yes",AK84=10),((AG268*2)/AG269),AG268/AG269),2)</f>
        <v>0.1</v>
      </c>
      <c r="AH270" s="2501"/>
      <c r="AI270" s="2501"/>
      <c r="AJ270" s="2501"/>
      <c r="AK270" s="2501"/>
    </row>
    <row r="271" spans="1:37">
      <c r="A271" s="462"/>
      <c r="B271" s="779" t="s">
        <v>2279</v>
      </c>
      <c r="C271" s="464"/>
      <c r="D271" s="464"/>
      <c r="E271" s="464"/>
      <c r="F271" s="464"/>
      <c r="G271" s="464"/>
      <c r="H271" s="464"/>
      <c r="I271" s="464"/>
      <c r="J271" s="464"/>
      <c r="K271" s="464"/>
      <c r="L271" s="464"/>
      <c r="M271" s="464"/>
      <c r="N271" s="464"/>
      <c r="O271" s="464"/>
      <c r="P271" s="464"/>
      <c r="Q271" s="464"/>
      <c r="R271" s="464"/>
      <c r="Y271" s="464"/>
      <c r="Z271" s="464"/>
      <c r="AA271" s="464"/>
      <c r="AB271" s="462"/>
      <c r="AC271" s="462"/>
      <c r="AD271" s="462"/>
      <c r="AE271" s="462"/>
      <c r="AG271" s="778"/>
      <c r="AH271" s="778"/>
      <c r="AI271" s="778"/>
      <c r="AJ271" s="778"/>
      <c r="AK271" s="778"/>
    </row>
    <row r="272" spans="1:37">
      <c r="A272" s="467"/>
      <c r="B272" s="467"/>
      <c r="C272" s="467"/>
      <c r="D272" s="467"/>
      <c r="E272" s="467"/>
      <c r="F272" s="467"/>
      <c r="G272" s="467"/>
      <c r="H272" s="467"/>
      <c r="I272" s="467"/>
      <c r="J272" s="467"/>
      <c r="K272" s="467"/>
      <c r="L272" s="467"/>
      <c r="M272" s="467"/>
      <c r="N272" s="467"/>
      <c r="O272" s="467"/>
      <c r="P272" s="467"/>
      <c r="Q272" s="467"/>
      <c r="R272" s="467"/>
      <c r="S272" s="467"/>
      <c r="T272" s="467"/>
      <c r="U272" s="467"/>
      <c r="V272" s="467"/>
      <c r="W272" s="467"/>
      <c r="X272" s="467"/>
      <c r="Y272" s="467"/>
      <c r="Z272" s="467"/>
      <c r="AA272" s="467"/>
      <c r="AB272" s="467"/>
      <c r="AC272" s="467"/>
      <c r="AD272" s="467"/>
      <c r="AE272" s="467"/>
      <c r="AF272" s="467"/>
      <c r="AG272" s="467"/>
      <c r="AH272" s="467"/>
      <c r="AI272" s="467"/>
      <c r="AJ272" s="467"/>
    </row>
    <row r="273" spans="1:5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c r="AA273" s="468"/>
      <c r="AB273" s="468"/>
      <c r="AC273" s="468"/>
      <c r="AD273" s="468"/>
      <c r="AE273" s="468"/>
      <c r="AF273" s="468"/>
      <c r="AG273" s="468"/>
      <c r="AH273" s="469"/>
      <c r="AI273" s="411"/>
      <c r="AJ273" s="411" t="s">
        <v>2280</v>
      </c>
      <c r="AK273" s="2490">
        <f>IFERROR(IF(AG270=0,0,IF((AG270*100)&gt;8,8,(AG270*100))),0)</f>
        <v>8</v>
      </c>
      <c r="AL273" s="2490"/>
      <c r="AM273" s="2491"/>
    </row>
    <row r="274" spans="1:52" ht="13.8" thickBot="1"/>
    <row r="275" spans="1:52" s="398" customFormat="1" ht="12.75" customHeight="1" thickTop="1">
      <c r="A275" s="453"/>
      <c r="B275" s="470"/>
      <c r="C275" s="470"/>
      <c r="D275" s="470"/>
      <c r="E275" s="470"/>
      <c r="F275" s="470"/>
      <c r="G275" s="470"/>
      <c r="H275" s="470"/>
      <c r="I275" s="470"/>
      <c r="J275" s="470"/>
      <c r="K275" s="470"/>
      <c r="L275" s="470"/>
      <c r="M275" s="470"/>
      <c r="N275" s="470"/>
      <c r="O275" s="470"/>
      <c r="P275" s="470"/>
      <c r="Q275" s="470"/>
      <c r="R275" s="470"/>
      <c r="S275" s="470"/>
      <c r="T275" s="470"/>
      <c r="U275" s="470"/>
      <c r="V275" s="470"/>
      <c r="W275" s="470"/>
      <c r="X275" s="470"/>
      <c r="Y275" s="470"/>
      <c r="Z275" s="470"/>
      <c r="AA275" s="470"/>
      <c r="AB275" s="470"/>
      <c r="AC275" s="471"/>
      <c r="AD275" s="470"/>
      <c r="AE275" s="470"/>
      <c r="AF275" s="470"/>
      <c r="AG275" s="470"/>
      <c r="AH275" s="453"/>
      <c r="AI275" s="472"/>
      <c r="AJ275" s="472"/>
      <c r="AK275" s="473"/>
      <c r="AL275" s="473"/>
      <c r="AM275" s="474"/>
      <c r="AN275" s="439"/>
      <c r="AP275" s="385"/>
      <c r="AQ275" s="385"/>
      <c r="AR275" s="385"/>
      <c r="AS275" s="385"/>
      <c r="AT275" s="385"/>
      <c r="AU275" s="385"/>
      <c r="AV275" s="385"/>
      <c r="AW275" s="385"/>
      <c r="AX275" s="385"/>
      <c r="AY275" s="385"/>
      <c r="AZ275" s="385"/>
    </row>
    <row r="276" spans="1:52">
      <c r="A276" s="387" t="s">
        <v>2281</v>
      </c>
      <c r="B276" s="387" t="s">
        <v>2282</v>
      </c>
      <c r="C276" s="38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c r="AA276" s="398"/>
      <c r="AB276" s="398"/>
      <c r="AC276" s="398"/>
      <c r="AD276" s="398"/>
      <c r="AE276" s="398"/>
      <c r="AF276" s="398"/>
      <c r="AG276" s="398"/>
      <c r="AH276" s="1197" t="s">
        <v>2147</v>
      </c>
      <c r="AI276" s="398"/>
      <c r="AJ276" s="398"/>
      <c r="AK276" s="398"/>
      <c r="AL276" s="398"/>
      <c r="AM276" s="398"/>
      <c r="AO276" s="398"/>
    </row>
    <row r="277" spans="1:52" ht="14.25" customHeight="1">
      <c r="A277" s="1197"/>
      <c r="AI277" s="399"/>
      <c r="AJ277" s="398"/>
      <c r="AK277" s="398"/>
      <c r="AL277" s="398"/>
      <c r="AM277" s="398"/>
      <c r="AO277" s="398"/>
    </row>
    <row r="278" spans="1:52" ht="13.95" customHeight="1">
      <c r="A278" s="398"/>
      <c r="B278" s="438"/>
      <c r="C278" s="2372" t="s">
        <v>694</v>
      </c>
      <c r="D278" s="2372"/>
      <c r="E278" s="395"/>
      <c r="F278" s="2324" t="s">
        <v>2283</v>
      </c>
      <c r="G278" s="2325"/>
      <c r="H278" s="2325"/>
      <c r="I278" s="2325"/>
      <c r="J278" s="2325"/>
      <c r="K278" s="2325"/>
      <c r="L278" s="2325"/>
      <c r="M278" s="2325"/>
      <c r="N278" s="2325"/>
      <c r="O278" s="2325"/>
      <c r="P278" s="2325"/>
      <c r="Q278" s="2325"/>
      <c r="R278" s="2325"/>
      <c r="S278" s="2325"/>
      <c r="T278" s="2325"/>
      <c r="U278" s="2325"/>
      <c r="V278" s="2325"/>
      <c r="W278" s="2325"/>
      <c r="X278" s="2325"/>
      <c r="Y278" s="2325"/>
      <c r="Z278" s="2325"/>
      <c r="AA278" s="2325"/>
      <c r="AB278" s="2325"/>
      <c r="AC278" s="2325"/>
      <c r="AD278" s="2326"/>
      <c r="AE278" s="398"/>
      <c r="AF278" s="475"/>
      <c r="AG278" s="2499" t="s">
        <v>2222</v>
      </c>
      <c r="AH278" s="2499"/>
      <c r="AI278" s="2499"/>
      <c r="AJ278" s="2499"/>
      <c r="AK278" s="398"/>
      <c r="AL278" s="398"/>
      <c r="AM278" s="398"/>
      <c r="AO278" s="398"/>
    </row>
    <row r="279" spans="1:52" ht="13.95" customHeight="1">
      <c r="A279" s="398"/>
      <c r="B279" s="438"/>
      <c r="C279" s="476"/>
      <c r="D279" s="398"/>
      <c r="E279" s="395"/>
      <c r="F279" s="2327"/>
      <c r="G279" s="2328"/>
      <c r="H279" s="2328"/>
      <c r="I279" s="2328"/>
      <c r="J279" s="2328"/>
      <c r="K279" s="2328"/>
      <c r="L279" s="2328"/>
      <c r="M279" s="2328"/>
      <c r="N279" s="2328"/>
      <c r="O279" s="2328"/>
      <c r="P279" s="2328"/>
      <c r="Q279" s="2328"/>
      <c r="R279" s="2328"/>
      <c r="S279" s="2328"/>
      <c r="T279" s="2328"/>
      <c r="U279" s="2328"/>
      <c r="V279" s="2328"/>
      <c r="W279" s="2328"/>
      <c r="X279" s="2328"/>
      <c r="Y279" s="2328"/>
      <c r="Z279" s="2328"/>
      <c r="AA279" s="2328"/>
      <c r="AB279" s="2328"/>
      <c r="AC279" s="2328"/>
      <c r="AD279" s="2329"/>
      <c r="AE279" s="398"/>
      <c r="AF279" s="475"/>
      <c r="AG279" s="475"/>
      <c r="AH279" s="475"/>
      <c r="AI279" s="475"/>
      <c r="AJ279" s="398"/>
      <c r="AK279" s="398"/>
      <c r="AL279" s="398"/>
      <c r="AM279" s="398"/>
      <c r="AO279" s="398"/>
    </row>
    <row r="280" spans="1:52">
      <c r="A280" s="398"/>
      <c r="B280" s="438"/>
      <c r="C280" s="476"/>
      <c r="D280" s="398"/>
      <c r="E280" s="395"/>
      <c r="F280" s="2327"/>
      <c r="G280" s="2328"/>
      <c r="H280" s="2328"/>
      <c r="I280" s="2328"/>
      <c r="J280" s="2328"/>
      <c r="K280" s="2328"/>
      <c r="L280" s="2328"/>
      <c r="M280" s="2328"/>
      <c r="N280" s="2328"/>
      <c r="O280" s="2328"/>
      <c r="P280" s="2328"/>
      <c r="Q280" s="2328"/>
      <c r="R280" s="2328"/>
      <c r="S280" s="2328"/>
      <c r="T280" s="2328"/>
      <c r="U280" s="2328"/>
      <c r="V280" s="2328"/>
      <c r="W280" s="2328"/>
      <c r="X280" s="2328"/>
      <c r="Y280" s="2328"/>
      <c r="Z280" s="2328"/>
      <c r="AA280" s="2328"/>
      <c r="AB280" s="2328"/>
      <c r="AC280" s="2328"/>
      <c r="AD280" s="2329"/>
      <c r="AE280" s="398"/>
      <c r="AF280" s="475"/>
      <c r="AG280" s="475"/>
      <c r="AH280" s="475"/>
      <c r="AI280" s="475"/>
      <c r="AJ280" s="398"/>
      <c r="AK280" s="398"/>
      <c r="AL280" s="398"/>
      <c r="AM280" s="398"/>
      <c r="AO280" s="398"/>
      <c r="AP280" s="477"/>
    </row>
    <row r="281" spans="1:52">
      <c r="A281" s="398"/>
      <c r="B281" s="438"/>
      <c r="C281" s="476"/>
      <c r="D281" s="398"/>
      <c r="E281" s="395"/>
      <c r="F281" s="2327"/>
      <c r="G281" s="2328"/>
      <c r="H281" s="2328"/>
      <c r="I281" s="2328"/>
      <c r="J281" s="2328"/>
      <c r="K281" s="2328"/>
      <c r="L281" s="2328"/>
      <c r="M281" s="2328"/>
      <c r="N281" s="2328"/>
      <c r="O281" s="2328"/>
      <c r="P281" s="2328"/>
      <c r="Q281" s="2328"/>
      <c r="R281" s="2328"/>
      <c r="S281" s="2328"/>
      <c r="T281" s="2328"/>
      <c r="U281" s="2328"/>
      <c r="V281" s="2328"/>
      <c r="W281" s="2328"/>
      <c r="X281" s="2328"/>
      <c r="Y281" s="2328"/>
      <c r="Z281" s="2328"/>
      <c r="AA281" s="2328"/>
      <c r="AB281" s="2328"/>
      <c r="AC281" s="2328"/>
      <c r="AD281" s="2329"/>
      <c r="AE281" s="398"/>
      <c r="AF281" s="475"/>
      <c r="AG281" s="475"/>
      <c r="AH281" s="475"/>
      <c r="AI281" s="475"/>
      <c r="AJ281" s="398"/>
      <c r="AK281" s="398"/>
      <c r="AL281" s="398"/>
      <c r="AM281" s="398"/>
      <c r="AO281" s="398"/>
      <c r="AP281" s="477"/>
    </row>
    <row r="282" spans="1:52" ht="13.95" customHeight="1">
      <c r="A282" s="398"/>
      <c r="B282" s="438"/>
      <c r="C282" s="2500"/>
      <c r="D282" s="2500"/>
      <c r="E282" s="395"/>
      <c r="F282" s="2330"/>
      <c r="G282" s="2331"/>
      <c r="H282" s="2331"/>
      <c r="I282" s="2331"/>
      <c r="J282" s="2331"/>
      <c r="K282" s="2331"/>
      <c r="L282" s="2331"/>
      <c r="M282" s="2331"/>
      <c r="N282" s="2331"/>
      <c r="O282" s="2331"/>
      <c r="P282" s="2331"/>
      <c r="Q282" s="2331"/>
      <c r="R282" s="2331"/>
      <c r="S282" s="2331"/>
      <c r="T282" s="2331"/>
      <c r="U282" s="2331"/>
      <c r="V282" s="2331"/>
      <c r="W282" s="2331"/>
      <c r="X282" s="2331"/>
      <c r="Y282" s="2331"/>
      <c r="Z282" s="2331"/>
      <c r="AA282" s="2331"/>
      <c r="AB282" s="2331"/>
      <c r="AC282" s="2331"/>
      <c r="AD282" s="2332"/>
      <c r="AE282" s="398"/>
      <c r="AF282" s="475"/>
      <c r="AG282" s="2499"/>
      <c r="AH282" s="2499"/>
      <c r="AI282" s="2499"/>
      <c r="AJ282" s="2499"/>
      <c r="AK282" s="398"/>
      <c r="AL282" s="398"/>
      <c r="AM282" s="398"/>
    </row>
    <row r="283" spans="1:52" ht="13.95" hidden="1" customHeight="1">
      <c r="A283" s="398"/>
      <c r="C283" s="445"/>
      <c r="D283" s="445"/>
      <c r="E283" s="445"/>
      <c r="F283" s="811"/>
      <c r="G283" s="812"/>
      <c r="H283" s="812"/>
      <c r="I283" s="812"/>
      <c r="J283" s="812"/>
      <c r="K283" s="812"/>
      <c r="L283" s="812"/>
      <c r="M283" s="812"/>
      <c r="N283" s="812"/>
      <c r="O283" s="812"/>
      <c r="P283" s="812"/>
      <c r="Q283" s="812"/>
      <c r="R283" s="812"/>
      <c r="S283" s="812"/>
      <c r="T283" s="812"/>
      <c r="U283" s="812"/>
      <c r="V283" s="812"/>
      <c r="W283" s="812"/>
      <c r="X283" s="812"/>
      <c r="Y283" s="812"/>
      <c r="Z283" s="812"/>
      <c r="AA283" s="812"/>
      <c r="AB283" s="812"/>
      <c r="AC283" s="812"/>
      <c r="AD283" s="813"/>
      <c r="AE283" s="445"/>
      <c r="AF283" s="445"/>
      <c r="AG283" s="445"/>
      <c r="AH283" s="445"/>
      <c r="AI283" s="475"/>
      <c r="AJ283" s="398"/>
      <c r="AK283" s="398"/>
      <c r="AL283" s="398"/>
      <c r="AM283" s="398"/>
    </row>
    <row r="284" spans="1:52">
      <c r="A284" s="398"/>
      <c r="B284" s="445"/>
      <c r="C284" s="445"/>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c r="AA284" s="445"/>
      <c r="AB284" s="445"/>
      <c r="AC284" s="445"/>
      <c r="AD284" s="445"/>
      <c r="AE284" s="445"/>
      <c r="AF284" s="445"/>
      <c r="AG284" s="445"/>
      <c r="AH284" s="445"/>
      <c r="AI284" s="445"/>
      <c r="AJ284" s="445"/>
      <c r="AK284" s="445"/>
      <c r="AL284" s="398"/>
      <c r="AM284" s="398"/>
      <c r="AN284" s="44"/>
    </row>
    <row r="285" spans="1:52">
      <c r="A285" s="447"/>
      <c r="B285" s="410"/>
      <c r="C285" s="410"/>
      <c r="D285" s="410"/>
      <c r="E285" s="410"/>
      <c r="F285" s="410"/>
      <c r="G285" s="410"/>
      <c r="H285" s="410"/>
      <c r="I285" s="410"/>
      <c r="J285" s="410"/>
      <c r="K285" s="410"/>
      <c r="L285" s="410"/>
      <c r="M285" s="410"/>
      <c r="N285" s="410"/>
      <c r="O285" s="410"/>
      <c r="P285" s="410"/>
      <c r="Q285" s="410"/>
      <c r="R285" s="410"/>
      <c r="S285" s="410"/>
      <c r="T285" s="410"/>
      <c r="U285" s="410"/>
      <c r="V285" s="410"/>
      <c r="W285" s="410"/>
      <c r="X285" s="410"/>
      <c r="Y285" s="410"/>
      <c r="Z285" s="410"/>
      <c r="AA285" s="410"/>
      <c r="AB285" s="410"/>
      <c r="AC285" s="410"/>
      <c r="AD285" s="410"/>
      <c r="AE285" s="410"/>
      <c r="AF285" s="410"/>
      <c r="AG285" s="410"/>
      <c r="AH285" s="410"/>
      <c r="AI285" s="411"/>
      <c r="AJ285" s="411" t="s">
        <v>2284</v>
      </c>
      <c r="AK285" s="2490">
        <f>IF($C$278="yes",10,0)</f>
        <v>10</v>
      </c>
      <c r="AL285" s="2490"/>
      <c r="AM285" s="2491"/>
      <c r="AN285" s="44"/>
    </row>
    <row r="286" spans="1:52" ht="13.8" thickBot="1"/>
    <row r="287" spans="1:52" ht="13.8" thickTop="1">
      <c r="A287" s="478"/>
      <c r="B287" s="478"/>
      <c r="C287" s="478"/>
      <c r="D287" s="478"/>
      <c r="E287" s="478"/>
      <c r="F287" s="478"/>
      <c r="G287" s="478"/>
      <c r="H287" s="478"/>
      <c r="I287" s="478"/>
      <c r="J287" s="478"/>
      <c r="K287" s="478"/>
      <c r="L287" s="478"/>
      <c r="M287" s="478"/>
      <c r="N287" s="478"/>
      <c r="O287" s="478"/>
      <c r="P287" s="478"/>
      <c r="Q287" s="478"/>
      <c r="R287" s="478"/>
      <c r="S287" s="478"/>
      <c r="T287" s="478"/>
      <c r="U287" s="478"/>
      <c r="V287" s="478"/>
      <c r="W287" s="478"/>
      <c r="X287" s="478"/>
      <c r="Y287" s="478"/>
      <c r="Z287" s="478"/>
      <c r="AA287" s="478"/>
      <c r="AB287" s="478"/>
      <c r="AC287" s="478"/>
      <c r="AD287" s="478"/>
      <c r="AE287" s="478"/>
      <c r="AF287" s="478"/>
      <c r="AG287" s="478"/>
      <c r="AH287" s="478"/>
      <c r="AI287" s="478"/>
      <c r="AJ287" s="478"/>
      <c r="AK287" s="478"/>
      <c r="AL287" s="478"/>
      <c r="AM287" s="479"/>
    </row>
    <row r="288" spans="1:52">
      <c r="A288" s="387" t="s">
        <v>2285</v>
      </c>
      <c r="B288" s="387" t="s">
        <v>2286</v>
      </c>
      <c r="AH288" s="1197" t="s">
        <v>2147</v>
      </c>
    </row>
    <row r="289" spans="1:49" ht="15" customHeight="1">
      <c r="B289" s="388"/>
    </row>
    <row r="290" spans="1:49" ht="15" customHeight="1">
      <c r="B290" s="388" t="s">
        <v>2148</v>
      </c>
    </row>
    <row r="291" spans="1:49">
      <c r="B291" s="398"/>
      <c r="C291" s="1213"/>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c r="AA291" s="398"/>
      <c r="AB291" s="398"/>
      <c r="AC291" s="398"/>
      <c r="AD291" s="398"/>
      <c r="AG291" s="398"/>
      <c r="AI291" s="398"/>
      <c r="AJ291" s="398"/>
      <c r="AK291" s="398"/>
      <c r="AL291" s="398"/>
      <c r="AM291" s="398"/>
      <c r="AN291" s="44"/>
      <c r="AO291" s="11"/>
      <c r="AP291" s="416"/>
      <c r="AQ291" s="480"/>
      <c r="AR291" s="416"/>
      <c r="AS291" s="416"/>
      <c r="AT291" s="416"/>
      <c r="AU291" s="416"/>
      <c r="AV291" s="25"/>
      <c r="AW291" s="25"/>
    </row>
    <row r="292" spans="1:49" ht="12.75" customHeight="1">
      <c r="A292" s="1569" t="s">
        <v>2287</v>
      </c>
      <c r="B292" s="1569"/>
      <c r="C292" s="2323" t="s">
        <v>694</v>
      </c>
      <c r="D292" s="2372"/>
      <c r="E292" s="395"/>
      <c r="F292" s="2492" t="s">
        <v>2288</v>
      </c>
      <c r="G292" s="2493"/>
      <c r="H292" s="2493"/>
      <c r="I292" s="2493"/>
      <c r="J292" s="2493"/>
      <c r="K292" s="2493"/>
      <c r="L292" s="2493"/>
      <c r="M292" s="2493"/>
      <c r="N292" s="2493"/>
      <c r="O292" s="2493"/>
      <c r="P292" s="2493"/>
      <c r="Q292" s="2493"/>
      <c r="R292" s="2493"/>
      <c r="S292" s="2493"/>
      <c r="T292" s="2493"/>
      <c r="U292" s="2493"/>
      <c r="V292" s="2493"/>
      <c r="W292" s="2493"/>
      <c r="X292" s="2493"/>
      <c r="Y292" s="2493"/>
      <c r="Z292" s="2493"/>
      <c r="AA292" s="2493"/>
      <c r="AB292" s="2493"/>
      <c r="AC292" s="2493"/>
      <c r="AD292" s="2494"/>
      <c r="AE292" s="481"/>
      <c r="AF292" s="398"/>
      <c r="AG292" s="2495" t="s">
        <v>2289</v>
      </c>
      <c r="AH292" s="2495"/>
      <c r="AI292" s="2495"/>
      <c r="AJ292" s="2495"/>
      <c r="AK292" s="2495"/>
      <c r="AL292" s="398"/>
      <c r="AM292" s="398"/>
      <c r="AN292" s="44"/>
      <c r="AO292" s="11"/>
      <c r="AP292" s="23"/>
      <c r="AS292" s="416"/>
      <c r="AT292" s="416"/>
      <c r="AU292" s="416"/>
      <c r="AV292" s="25"/>
      <c r="AW292" s="25"/>
    </row>
    <row r="293" spans="1:49">
      <c r="A293" s="1213"/>
      <c r="B293" s="438"/>
      <c r="F293" s="2350"/>
      <c r="G293" s="2351"/>
      <c r="H293" s="2351"/>
      <c r="I293" s="2351"/>
      <c r="J293" s="2351"/>
      <c r="K293" s="2351"/>
      <c r="L293" s="2351"/>
      <c r="M293" s="2351"/>
      <c r="N293" s="2351"/>
      <c r="O293" s="2351"/>
      <c r="P293" s="2351"/>
      <c r="Q293" s="2351"/>
      <c r="R293" s="2351"/>
      <c r="S293" s="2351"/>
      <c r="T293" s="2351"/>
      <c r="U293" s="2351"/>
      <c r="V293" s="2351"/>
      <c r="W293" s="2351"/>
      <c r="X293" s="2351"/>
      <c r="Y293" s="2351"/>
      <c r="Z293" s="2351"/>
      <c r="AA293" s="2351"/>
      <c r="AB293" s="2351"/>
      <c r="AC293" s="2351"/>
      <c r="AD293" s="2352"/>
      <c r="AE293" s="481"/>
      <c r="AF293" s="399"/>
      <c r="AH293" s="399"/>
      <c r="AI293" s="399"/>
      <c r="AJ293" s="398"/>
      <c r="AK293" s="398"/>
      <c r="AL293" s="398"/>
      <c r="AM293" s="398"/>
      <c r="AN293" s="44"/>
      <c r="AO293" s="11"/>
      <c r="AP293" s="398">
        <f>IF($C$292="yes",10,IF(C292="50% Met",9,0))</f>
        <v>10</v>
      </c>
      <c r="AS293" s="416"/>
      <c r="AT293" s="416"/>
      <c r="AU293" s="416"/>
      <c r="AV293" s="25"/>
      <c r="AW293" s="25"/>
    </row>
    <row r="294" spans="1:49" ht="15" customHeight="1">
      <c r="A294" s="1213"/>
      <c r="B294" s="438"/>
      <c r="F294" s="2350"/>
      <c r="G294" s="2351"/>
      <c r="H294" s="2351"/>
      <c r="I294" s="2351"/>
      <c r="J294" s="2351"/>
      <c r="K294" s="2351"/>
      <c r="L294" s="2351"/>
      <c r="M294" s="2351"/>
      <c r="N294" s="2351"/>
      <c r="O294" s="2351"/>
      <c r="P294" s="2351"/>
      <c r="Q294" s="2351"/>
      <c r="R294" s="2351"/>
      <c r="S294" s="2351"/>
      <c r="T294" s="2351"/>
      <c r="U294" s="2351"/>
      <c r="V294" s="2351"/>
      <c r="W294" s="2351"/>
      <c r="X294" s="2351"/>
      <c r="Y294" s="2351"/>
      <c r="Z294" s="2351"/>
      <c r="AA294" s="2351"/>
      <c r="AB294" s="2351"/>
      <c r="AC294" s="2351"/>
      <c r="AD294" s="2352"/>
      <c r="AE294" s="481"/>
      <c r="AF294" s="399"/>
      <c r="AH294" s="399"/>
      <c r="AI294" s="399"/>
      <c r="AJ294" s="398"/>
      <c r="AK294" s="398"/>
      <c r="AL294" s="398"/>
      <c r="AM294" s="398"/>
      <c r="AN294" s="44"/>
      <c r="AO294" s="11"/>
      <c r="AP294" s="398">
        <f>IF($C$302="yes",9,0)</f>
        <v>0</v>
      </c>
      <c r="AS294" s="416"/>
      <c r="AT294" s="416"/>
      <c r="AU294" s="416"/>
      <c r="AV294" s="25"/>
      <c r="AW294" s="25"/>
    </row>
    <row r="295" spans="1:49" ht="12.75" customHeight="1">
      <c r="A295" s="1213"/>
      <c r="B295" s="438"/>
      <c r="F295" s="2350" t="s">
        <v>2290</v>
      </c>
      <c r="G295" s="2351"/>
      <c r="H295" s="2351"/>
      <c r="I295" s="2351"/>
      <c r="J295" s="2351"/>
      <c r="K295" s="2351"/>
      <c r="L295" s="2351"/>
      <c r="M295" s="2351"/>
      <c r="N295" s="2351"/>
      <c r="O295" s="2351"/>
      <c r="P295" s="2351"/>
      <c r="Q295" s="2351"/>
      <c r="R295" s="2351"/>
      <c r="S295" s="2351"/>
      <c r="T295" s="2351"/>
      <c r="U295" s="2351"/>
      <c r="V295" s="2351"/>
      <c r="W295" s="2351"/>
      <c r="X295" s="2351"/>
      <c r="Y295" s="2351"/>
      <c r="Z295" s="2351"/>
      <c r="AA295" s="2351"/>
      <c r="AB295" s="2351"/>
      <c r="AC295" s="2351"/>
      <c r="AD295" s="2352"/>
      <c r="AE295" s="481"/>
      <c r="AF295" s="399"/>
      <c r="AH295" s="399"/>
      <c r="AI295" s="399"/>
      <c r="AJ295" s="398"/>
      <c r="AK295" s="398"/>
      <c r="AL295" s="398"/>
      <c r="AM295" s="398"/>
      <c r="AN295" s="44"/>
      <c r="AO295" s="11"/>
      <c r="AP295" s="452">
        <f>MAX(AP293,AP294)</f>
        <v>10</v>
      </c>
      <c r="AQ295" s="419" t="s">
        <v>2151</v>
      </c>
      <c r="AS295" s="416"/>
      <c r="AT295" s="416"/>
      <c r="AU295" s="416"/>
      <c r="AV295" s="25"/>
      <c r="AW295" s="25"/>
    </row>
    <row r="296" spans="1:49">
      <c r="A296" s="1213"/>
      <c r="B296" s="438"/>
      <c r="F296" s="2350"/>
      <c r="G296" s="2351"/>
      <c r="H296" s="2351"/>
      <c r="I296" s="2351"/>
      <c r="J296" s="2351"/>
      <c r="K296" s="2351"/>
      <c r="L296" s="2351"/>
      <c r="M296" s="2351"/>
      <c r="N296" s="2351"/>
      <c r="O296" s="2351"/>
      <c r="P296" s="2351"/>
      <c r="Q296" s="2351"/>
      <c r="R296" s="2351"/>
      <c r="S296" s="2351"/>
      <c r="T296" s="2351"/>
      <c r="U296" s="2351"/>
      <c r="V296" s="2351"/>
      <c r="W296" s="2351"/>
      <c r="X296" s="2351"/>
      <c r="Y296" s="2351"/>
      <c r="Z296" s="2351"/>
      <c r="AA296" s="2351"/>
      <c r="AB296" s="2351"/>
      <c r="AC296" s="2351"/>
      <c r="AD296" s="2352"/>
      <c r="AE296" s="481"/>
      <c r="AF296" s="399"/>
      <c r="AH296" s="399"/>
      <c r="AI296" s="399"/>
      <c r="AJ296" s="398"/>
      <c r="AK296" s="398"/>
      <c r="AL296" s="398"/>
      <c r="AM296" s="398"/>
      <c r="AN296" s="44"/>
      <c r="AO296" s="11"/>
      <c r="AP296" s="398"/>
      <c r="AS296" s="416"/>
      <c r="AT296" s="416"/>
      <c r="AU296" s="416"/>
      <c r="AV296" s="25"/>
      <c r="AW296" s="25"/>
    </row>
    <row r="297" spans="1:49" ht="12.75" customHeight="1">
      <c r="A297" s="398"/>
      <c r="B297" s="399"/>
      <c r="C297" s="398"/>
      <c r="D297" s="399"/>
      <c r="E297" s="398"/>
      <c r="F297" s="2350" t="s">
        <v>2291</v>
      </c>
      <c r="G297" s="2351"/>
      <c r="H297" s="2351"/>
      <c r="I297" s="2351"/>
      <c r="J297" s="2351"/>
      <c r="K297" s="2351"/>
      <c r="L297" s="2351"/>
      <c r="M297" s="2351"/>
      <c r="N297" s="2351"/>
      <c r="O297" s="2351"/>
      <c r="P297" s="2351"/>
      <c r="Q297" s="2351"/>
      <c r="R297" s="2351"/>
      <c r="S297" s="2351"/>
      <c r="T297" s="2351"/>
      <c r="U297" s="2351"/>
      <c r="V297" s="2351"/>
      <c r="W297" s="2351"/>
      <c r="X297" s="2351"/>
      <c r="Y297" s="2351"/>
      <c r="Z297" s="2351"/>
      <c r="AA297" s="2351"/>
      <c r="AB297" s="2351"/>
      <c r="AC297" s="2351"/>
      <c r="AD297" s="2352"/>
      <c r="AE297" s="481"/>
      <c r="AF297" s="399"/>
      <c r="AG297" s="399"/>
      <c r="AH297" s="399"/>
      <c r="AI297" s="399"/>
      <c r="AJ297" s="398"/>
      <c r="AK297" s="398"/>
      <c r="AL297" s="398"/>
      <c r="AM297" s="398"/>
      <c r="AN297" s="44"/>
      <c r="AO297" s="11"/>
      <c r="AS297" s="416"/>
      <c r="AT297" s="416"/>
      <c r="AU297" s="416"/>
      <c r="AV297" s="25"/>
      <c r="AW297" s="25"/>
    </row>
    <row r="298" spans="1:49" ht="15" customHeight="1">
      <c r="A298" s="398"/>
      <c r="B298" s="399"/>
      <c r="C298" s="399"/>
      <c r="D298" s="399"/>
      <c r="E298" s="399"/>
      <c r="F298" s="2350"/>
      <c r="G298" s="2351"/>
      <c r="H298" s="2351"/>
      <c r="I298" s="2351"/>
      <c r="J298" s="2351"/>
      <c r="K298" s="2351"/>
      <c r="L298" s="2351"/>
      <c r="M298" s="2351"/>
      <c r="N298" s="2351"/>
      <c r="O298" s="2351"/>
      <c r="P298" s="2351"/>
      <c r="Q298" s="2351"/>
      <c r="R298" s="2351"/>
      <c r="S298" s="2351"/>
      <c r="T298" s="2351"/>
      <c r="U298" s="2351"/>
      <c r="V298" s="2351"/>
      <c r="W298" s="2351"/>
      <c r="X298" s="2351"/>
      <c r="Y298" s="2351"/>
      <c r="Z298" s="2351"/>
      <c r="AA298" s="2351"/>
      <c r="AB298" s="2351"/>
      <c r="AC298" s="2351"/>
      <c r="AD298" s="2352"/>
      <c r="AE298" s="481"/>
      <c r="AF298" s="399"/>
      <c r="AG298" s="399"/>
      <c r="AH298" s="399"/>
      <c r="AI298" s="399"/>
      <c r="AJ298" s="398"/>
      <c r="AK298" s="398"/>
      <c r="AL298" s="398"/>
      <c r="AM298" s="398"/>
      <c r="AN298" s="44"/>
      <c r="AO298" s="11"/>
      <c r="AS298" s="416"/>
      <c r="AT298" s="416"/>
      <c r="AU298" s="416"/>
      <c r="AV298" s="25"/>
      <c r="AW298" s="25"/>
    </row>
    <row r="299" spans="1:49" ht="12.75" customHeight="1">
      <c r="A299" s="398"/>
      <c r="B299" s="399"/>
      <c r="C299" s="399"/>
      <c r="D299" s="399"/>
      <c r="E299" s="399"/>
      <c r="F299" s="2350" t="s">
        <v>2292</v>
      </c>
      <c r="G299" s="2351"/>
      <c r="H299" s="2351"/>
      <c r="I299" s="2351"/>
      <c r="J299" s="2351"/>
      <c r="K299" s="2351"/>
      <c r="L299" s="2351"/>
      <c r="M299" s="2351"/>
      <c r="N299" s="2351"/>
      <c r="O299" s="2351"/>
      <c r="P299" s="2351"/>
      <c r="Q299" s="2351"/>
      <c r="R299" s="2351"/>
      <c r="S299" s="2351"/>
      <c r="T299" s="2351"/>
      <c r="U299" s="2351"/>
      <c r="V299" s="2351"/>
      <c r="W299" s="2351"/>
      <c r="X299" s="2351"/>
      <c r="Y299" s="2351"/>
      <c r="Z299" s="2351"/>
      <c r="AA299" s="2351"/>
      <c r="AB299" s="2351"/>
      <c r="AC299" s="2351"/>
      <c r="AD299" s="2352"/>
      <c r="AE299" s="1191"/>
      <c r="AF299" s="399"/>
      <c r="AG299" s="399"/>
      <c r="AH299" s="399"/>
      <c r="AI299" s="399"/>
      <c r="AJ299" s="398"/>
      <c r="AK299" s="398"/>
      <c r="AL299" s="398"/>
      <c r="AM299" s="398"/>
      <c r="AN299" s="44"/>
      <c r="AO299" s="11"/>
      <c r="AP299" s="398"/>
      <c r="AS299" s="416"/>
      <c r="AT299" s="416"/>
      <c r="AU299" s="416"/>
      <c r="AV299" s="25"/>
      <c r="AW299" s="25"/>
    </row>
    <row r="300" spans="1:49">
      <c r="A300" s="398"/>
      <c r="B300" s="399"/>
      <c r="C300" s="399"/>
      <c r="D300" s="399"/>
      <c r="E300" s="399"/>
      <c r="F300" s="2353"/>
      <c r="G300" s="2354"/>
      <c r="H300" s="2354"/>
      <c r="I300" s="2354"/>
      <c r="J300" s="2354"/>
      <c r="K300" s="2354"/>
      <c r="L300" s="2354"/>
      <c r="M300" s="2354"/>
      <c r="N300" s="2354"/>
      <c r="O300" s="2354"/>
      <c r="P300" s="2354"/>
      <c r="Q300" s="2354"/>
      <c r="R300" s="2354"/>
      <c r="S300" s="2354"/>
      <c r="T300" s="2354"/>
      <c r="U300" s="2354"/>
      <c r="V300" s="2354"/>
      <c r="W300" s="2354"/>
      <c r="X300" s="2354"/>
      <c r="Y300" s="2354"/>
      <c r="Z300" s="2354"/>
      <c r="AA300" s="2354"/>
      <c r="AB300" s="2354"/>
      <c r="AC300" s="2354"/>
      <c r="AD300" s="2489"/>
      <c r="AE300" s="1191"/>
      <c r="AF300" s="399"/>
      <c r="AG300" s="399"/>
      <c r="AH300" s="399"/>
      <c r="AI300" s="399"/>
      <c r="AJ300" s="398"/>
      <c r="AK300" s="398"/>
      <c r="AL300" s="398"/>
      <c r="AM300" s="398"/>
      <c r="AN300" s="44"/>
      <c r="AO300" s="11"/>
      <c r="AP300" s="398"/>
      <c r="AS300" s="416"/>
      <c r="AT300" s="416"/>
      <c r="AU300" s="416"/>
      <c r="AV300" s="25"/>
      <c r="AW300" s="25"/>
    </row>
    <row r="301" spans="1:49">
      <c r="A301" s="398"/>
      <c r="B301" s="399"/>
      <c r="C301" s="399"/>
      <c r="D301" s="399"/>
      <c r="E301" s="399"/>
      <c r="F301" s="1191"/>
      <c r="G301" s="1191"/>
      <c r="H301" s="1191"/>
      <c r="I301" s="1191"/>
      <c r="J301" s="1191"/>
      <c r="K301" s="1191"/>
      <c r="L301" s="1191"/>
      <c r="M301" s="1191"/>
      <c r="N301" s="1191"/>
      <c r="O301" s="1191"/>
      <c r="P301" s="1191"/>
      <c r="Q301" s="1191"/>
      <c r="R301" s="1191"/>
      <c r="S301" s="1191"/>
      <c r="T301" s="1191"/>
      <c r="U301" s="1191"/>
      <c r="V301" s="1191"/>
      <c r="W301" s="1191"/>
      <c r="X301" s="1191"/>
      <c r="Y301" s="1191"/>
      <c r="Z301" s="1191"/>
      <c r="AA301" s="1191"/>
      <c r="AB301" s="1191"/>
      <c r="AC301" s="1191"/>
      <c r="AD301" s="1191"/>
      <c r="AE301" s="399"/>
      <c r="AF301" s="399"/>
      <c r="AG301" s="399"/>
      <c r="AH301" s="399"/>
      <c r="AI301" s="399"/>
      <c r="AJ301" s="398"/>
      <c r="AK301" s="398"/>
      <c r="AL301" s="398"/>
      <c r="AM301" s="398"/>
      <c r="AN301" s="44"/>
      <c r="AO301" s="11"/>
      <c r="AS301" s="416"/>
      <c r="AT301" s="416"/>
      <c r="AU301" s="416"/>
      <c r="AV301" s="25"/>
      <c r="AW301" s="25"/>
    </row>
    <row r="302" spans="1:49" ht="15" customHeight="1">
      <c r="A302" s="1569" t="s">
        <v>2293</v>
      </c>
      <c r="B302" s="1569"/>
      <c r="C302" s="2372" t="s">
        <v>810</v>
      </c>
      <c r="D302" s="2372"/>
      <c r="E302" s="395"/>
      <c r="F302" s="482" t="s">
        <v>2294</v>
      </c>
      <c r="G302" s="483"/>
      <c r="H302" s="483"/>
      <c r="I302" s="483"/>
      <c r="J302" s="483"/>
      <c r="K302" s="483"/>
      <c r="L302" s="483"/>
      <c r="M302" s="483"/>
      <c r="N302" s="483"/>
      <c r="O302" s="483"/>
      <c r="P302" s="483"/>
      <c r="Q302" s="483"/>
      <c r="R302" s="483"/>
      <c r="S302" s="483"/>
      <c r="T302" s="483"/>
      <c r="U302" s="483"/>
      <c r="V302" s="483"/>
      <c r="W302" s="483"/>
      <c r="X302" s="483"/>
      <c r="Y302" s="483"/>
      <c r="Z302" s="483"/>
      <c r="AA302" s="483"/>
      <c r="AB302" s="483"/>
      <c r="AC302" s="483"/>
      <c r="AD302" s="484"/>
      <c r="AE302" s="399"/>
      <c r="AF302" s="399"/>
      <c r="AG302" s="388" t="s">
        <v>2295</v>
      </c>
      <c r="AH302" s="399"/>
      <c r="AI302" s="399"/>
      <c r="AJ302" s="398"/>
      <c r="AK302" s="398"/>
      <c r="AL302" s="398"/>
      <c r="AM302" s="398"/>
      <c r="AN302" s="485"/>
      <c r="AO302" s="11"/>
    </row>
    <row r="303" spans="1:49">
      <c r="A303" s="398"/>
      <c r="B303" s="399"/>
      <c r="C303" s="398"/>
      <c r="D303" s="399"/>
      <c r="E303" s="398"/>
      <c r="F303" s="2474" t="s">
        <v>2296</v>
      </c>
      <c r="G303" s="2475"/>
      <c r="H303" s="2475"/>
      <c r="I303" s="2475"/>
      <c r="J303" s="2475"/>
      <c r="K303" s="2475"/>
      <c r="L303" s="2475"/>
      <c r="M303" s="2475"/>
      <c r="N303" s="2475"/>
      <c r="O303" s="2475"/>
      <c r="P303" s="2475"/>
      <c r="Q303" s="2475"/>
      <c r="R303" s="2475"/>
      <c r="S303" s="2475"/>
      <c r="T303" s="2475"/>
      <c r="U303" s="2475"/>
      <c r="V303" s="2475"/>
      <c r="W303" s="2475"/>
      <c r="X303" s="2475"/>
      <c r="Y303" s="2475"/>
      <c r="Z303" s="2475"/>
      <c r="AA303" s="2475"/>
      <c r="AB303" s="2475"/>
      <c r="AC303" s="2475"/>
      <c r="AD303" s="2476"/>
      <c r="AE303" s="399"/>
      <c r="AF303" s="399"/>
      <c r="AG303" s="399"/>
      <c r="AH303" s="399"/>
      <c r="AI303" s="399"/>
      <c r="AJ303" s="398"/>
      <c r="AK303" s="398"/>
      <c r="AL303" s="398"/>
      <c r="AM303" s="398"/>
      <c r="AR303" s="486"/>
    </row>
    <row r="304" spans="1:49" ht="15" customHeight="1">
      <c r="A304" s="398"/>
      <c r="B304" s="399"/>
      <c r="C304" s="398"/>
      <c r="D304" s="399"/>
      <c r="E304" s="398"/>
      <c r="F304" s="2474"/>
      <c r="G304" s="2475"/>
      <c r="H304" s="2475"/>
      <c r="I304" s="2475"/>
      <c r="J304" s="2475"/>
      <c r="K304" s="2475"/>
      <c r="L304" s="2475"/>
      <c r="M304" s="2475"/>
      <c r="N304" s="2475"/>
      <c r="O304" s="2475"/>
      <c r="P304" s="2475"/>
      <c r="Q304" s="2475"/>
      <c r="R304" s="2475"/>
      <c r="S304" s="2475"/>
      <c r="T304" s="2475"/>
      <c r="U304" s="2475"/>
      <c r="V304" s="2475"/>
      <c r="W304" s="2475"/>
      <c r="X304" s="2475"/>
      <c r="Y304" s="2475"/>
      <c r="Z304" s="2475"/>
      <c r="AA304" s="2475"/>
      <c r="AB304" s="2475"/>
      <c r="AC304" s="2475"/>
      <c r="AD304" s="2476"/>
      <c r="AE304" s="399"/>
      <c r="AF304" s="399"/>
      <c r="AG304" s="399"/>
      <c r="AH304" s="399"/>
      <c r="AI304" s="399"/>
      <c r="AJ304" s="398"/>
      <c r="AK304" s="398"/>
      <c r="AL304" s="398"/>
      <c r="AM304" s="398"/>
      <c r="AR304" s="486"/>
    </row>
    <row r="305" spans="1:44">
      <c r="A305" s="398"/>
      <c r="B305" s="399"/>
      <c r="C305" s="398"/>
      <c r="D305" s="399"/>
      <c r="E305" s="398"/>
      <c r="F305" s="2474"/>
      <c r="G305" s="2475"/>
      <c r="H305" s="2475"/>
      <c r="I305" s="2475"/>
      <c r="J305" s="2475"/>
      <c r="K305" s="2475"/>
      <c r="L305" s="2475"/>
      <c r="M305" s="2475"/>
      <c r="N305" s="2475"/>
      <c r="O305" s="2475"/>
      <c r="P305" s="2475"/>
      <c r="Q305" s="2475"/>
      <c r="R305" s="2475"/>
      <c r="S305" s="2475"/>
      <c r="T305" s="2475"/>
      <c r="U305" s="2475"/>
      <c r="V305" s="2475"/>
      <c r="W305" s="2475"/>
      <c r="X305" s="2475"/>
      <c r="Y305" s="2475"/>
      <c r="Z305" s="2475"/>
      <c r="AA305" s="2475"/>
      <c r="AB305" s="2475"/>
      <c r="AC305" s="2475"/>
      <c r="AD305" s="2476"/>
      <c r="AE305" s="399"/>
      <c r="AF305" s="399"/>
      <c r="AG305" s="399"/>
      <c r="AH305" s="399"/>
      <c r="AI305" s="399"/>
      <c r="AJ305" s="398"/>
      <c r="AK305" s="398"/>
      <c r="AL305" s="398"/>
      <c r="AM305" s="398"/>
      <c r="AP305" s="452"/>
      <c r="AQ305" s="419"/>
      <c r="AR305" s="486"/>
    </row>
    <row r="306" spans="1:44" ht="15" customHeight="1">
      <c r="A306" s="398"/>
      <c r="B306" s="399"/>
      <c r="C306" s="398"/>
      <c r="D306" s="399"/>
      <c r="E306" s="398"/>
      <c r="F306" s="2496"/>
      <c r="G306" s="2497"/>
      <c r="H306" s="2497"/>
      <c r="I306" s="2497"/>
      <c r="J306" s="2497"/>
      <c r="K306" s="2497"/>
      <c r="L306" s="2497"/>
      <c r="M306" s="2497"/>
      <c r="N306" s="2497"/>
      <c r="O306" s="2497"/>
      <c r="P306" s="2497"/>
      <c r="Q306" s="2497"/>
      <c r="R306" s="2497"/>
      <c r="S306" s="2497"/>
      <c r="T306" s="2497"/>
      <c r="U306" s="2497"/>
      <c r="V306" s="2497"/>
      <c r="W306" s="2497"/>
      <c r="X306" s="2497"/>
      <c r="Y306" s="2497"/>
      <c r="Z306" s="2497"/>
      <c r="AA306" s="2497"/>
      <c r="AB306" s="2497"/>
      <c r="AC306" s="2497"/>
      <c r="AD306" s="2498"/>
      <c r="AE306" s="399"/>
      <c r="AF306" s="399"/>
      <c r="AG306" s="399"/>
      <c r="AH306" s="399"/>
      <c r="AI306" s="399"/>
      <c r="AJ306" s="398"/>
      <c r="AK306" s="398"/>
      <c r="AL306" s="398"/>
      <c r="AM306" s="398"/>
      <c r="AP306" s="452"/>
      <c r="AQ306" s="419"/>
      <c r="AR306" s="486"/>
    </row>
    <row r="307" spans="1:44">
      <c r="A307" s="398"/>
      <c r="B307" s="399"/>
      <c r="C307" s="399"/>
      <c r="D307" s="399"/>
      <c r="E307" s="399"/>
      <c r="F307" s="399"/>
      <c r="G307" s="399"/>
      <c r="H307" s="399"/>
      <c r="I307" s="399"/>
      <c r="J307" s="399"/>
      <c r="K307" s="399"/>
      <c r="L307" s="399"/>
      <c r="M307" s="399"/>
      <c r="N307" s="399"/>
      <c r="O307" s="399"/>
      <c r="P307" s="399"/>
      <c r="Q307" s="399"/>
      <c r="R307" s="399"/>
      <c r="S307" s="399"/>
      <c r="T307" s="399"/>
      <c r="U307" s="399"/>
      <c r="V307" s="399"/>
      <c r="W307" s="399"/>
      <c r="X307" s="399"/>
      <c r="Y307" s="399"/>
      <c r="Z307" s="399"/>
      <c r="AA307" s="399"/>
      <c r="AB307" s="399"/>
      <c r="AC307" s="399"/>
      <c r="AD307" s="399"/>
      <c r="AE307" s="399"/>
      <c r="AF307" s="399"/>
      <c r="AG307" s="399"/>
      <c r="AH307" s="399"/>
      <c r="AI307" s="399"/>
      <c r="AJ307" s="398"/>
      <c r="AK307" s="398"/>
      <c r="AL307" s="398"/>
      <c r="AM307" s="398"/>
      <c r="AP307" s="452"/>
      <c r="AQ307" s="419"/>
      <c r="AR307" s="486"/>
    </row>
    <row r="308" spans="1:44" hidden="1">
      <c r="A308" s="398"/>
      <c r="B308" s="399"/>
      <c r="C308" s="399"/>
      <c r="D308" s="399"/>
      <c r="E308" s="399"/>
      <c r="F308" s="399"/>
      <c r="G308" s="399"/>
      <c r="H308" s="399"/>
      <c r="I308" s="399"/>
      <c r="J308" s="399"/>
      <c r="K308" s="399"/>
      <c r="L308" s="399"/>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8"/>
      <c r="AK308" s="398"/>
      <c r="AL308" s="398"/>
      <c r="AM308" s="398"/>
      <c r="AP308" s="452"/>
      <c r="AQ308" s="419"/>
      <c r="AR308" s="486"/>
    </row>
    <row r="309" spans="1:44" hidden="1">
      <c r="A309" s="398"/>
      <c r="B309" s="399"/>
      <c r="C309" s="399"/>
      <c r="D309" s="399"/>
      <c r="E309" s="399"/>
      <c r="F309" s="399"/>
      <c r="G309" s="399"/>
      <c r="H309" s="399"/>
      <c r="I309" s="399"/>
      <c r="J309" s="399"/>
      <c r="K309" s="399"/>
      <c r="L309" s="399"/>
      <c r="M309" s="399"/>
      <c r="N309" s="399"/>
      <c r="O309" s="399"/>
      <c r="P309" s="399"/>
      <c r="Q309" s="399"/>
      <c r="R309" s="399"/>
      <c r="S309" s="399"/>
      <c r="T309" s="399"/>
      <c r="U309" s="399"/>
      <c r="V309" s="399"/>
      <c r="W309" s="399"/>
      <c r="X309" s="399"/>
      <c r="Y309" s="399"/>
      <c r="Z309" s="399"/>
      <c r="AA309" s="399"/>
      <c r="AB309" s="399"/>
      <c r="AC309" s="399"/>
      <c r="AD309" s="399"/>
      <c r="AE309" s="399"/>
      <c r="AF309" s="399"/>
      <c r="AG309" s="399"/>
      <c r="AH309" s="399"/>
      <c r="AI309" s="399"/>
      <c r="AJ309" s="398"/>
      <c r="AK309" s="398"/>
      <c r="AL309" s="398"/>
      <c r="AM309" s="398"/>
      <c r="AN309" s="44"/>
      <c r="AO309" s="11"/>
    </row>
    <row r="310" spans="1:44" hidden="1">
      <c r="A310" s="1569" t="s">
        <v>2297</v>
      </c>
      <c r="B310" s="1569"/>
      <c r="C310" s="2372" t="s">
        <v>810</v>
      </c>
      <c r="D310" s="2372"/>
      <c r="E310" s="395"/>
      <c r="F310" s="482" t="s">
        <v>2298</v>
      </c>
      <c r="G310" s="487"/>
      <c r="H310" s="487"/>
      <c r="I310" s="487"/>
      <c r="J310" s="487"/>
      <c r="K310" s="487"/>
      <c r="L310" s="487"/>
      <c r="M310" s="487"/>
      <c r="N310" s="487"/>
      <c r="O310" s="487"/>
      <c r="P310" s="487"/>
      <c r="Q310" s="487"/>
      <c r="R310" s="487"/>
      <c r="S310" s="487"/>
      <c r="T310" s="487"/>
      <c r="U310" s="487"/>
      <c r="V310" s="487"/>
      <c r="W310" s="487"/>
      <c r="X310" s="487"/>
      <c r="Y310" s="487"/>
      <c r="Z310" s="487"/>
      <c r="AA310" s="487"/>
      <c r="AB310" s="487"/>
      <c r="AC310" s="487"/>
      <c r="AD310" s="488"/>
      <c r="AE310" s="399"/>
      <c r="AF310" s="399"/>
      <c r="AG310" s="388" t="s">
        <v>2295</v>
      </c>
      <c r="AH310" s="399"/>
      <c r="AI310" s="399"/>
      <c r="AJ310" s="398"/>
      <c r="AK310" s="398"/>
      <c r="AL310" s="398"/>
      <c r="AM310" s="398"/>
      <c r="AN310" s="44"/>
      <c r="AO310" s="11"/>
    </row>
    <row r="311" spans="1:44" hidden="1">
      <c r="A311" s="1170"/>
      <c r="B311" s="1170"/>
      <c r="C311" s="1199"/>
      <c r="D311" s="1199"/>
      <c r="E311" s="395"/>
      <c r="F311" s="2350" t="s">
        <v>2299</v>
      </c>
      <c r="G311" s="2351"/>
      <c r="H311" s="2351"/>
      <c r="I311" s="2351"/>
      <c r="J311" s="2351"/>
      <c r="K311" s="2351"/>
      <c r="L311" s="2351"/>
      <c r="M311" s="2351"/>
      <c r="N311" s="2351"/>
      <c r="O311" s="2351"/>
      <c r="P311" s="2351"/>
      <c r="Q311" s="2351"/>
      <c r="R311" s="2351"/>
      <c r="S311" s="2351"/>
      <c r="T311" s="2351"/>
      <c r="U311" s="2351"/>
      <c r="V311" s="2351"/>
      <c r="W311" s="2351"/>
      <c r="X311" s="2351"/>
      <c r="Y311" s="2351"/>
      <c r="Z311" s="2351"/>
      <c r="AA311" s="2351"/>
      <c r="AB311" s="2351"/>
      <c r="AC311" s="2351"/>
      <c r="AD311" s="2352"/>
      <c r="AE311" s="399"/>
      <c r="AF311" s="399"/>
      <c r="AG311" s="388"/>
      <c r="AH311" s="399"/>
      <c r="AI311" s="399"/>
      <c r="AJ311" s="398"/>
      <c r="AK311" s="398"/>
      <c r="AL311" s="398"/>
      <c r="AM311" s="398"/>
      <c r="AN311" s="44"/>
      <c r="AO311" s="11"/>
      <c r="AP311" s="403" t="s">
        <v>1028</v>
      </c>
    </row>
    <row r="312" spans="1:44" hidden="1">
      <c r="F312" s="2350"/>
      <c r="G312" s="2351"/>
      <c r="H312" s="2351"/>
      <c r="I312" s="2351"/>
      <c r="J312" s="2351"/>
      <c r="K312" s="2351"/>
      <c r="L312" s="2351"/>
      <c r="M312" s="2351"/>
      <c r="N312" s="2351"/>
      <c r="O312" s="2351"/>
      <c r="P312" s="2351"/>
      <c r="Q312" s="2351"/>
      <c r="R312" s="2351"/>
      <c r="S312" s="2351"/>
      <c r="T312" s="2351"/>
      <c r="U312" s="2351"/>
      <c r="V312" s="2351"/>
      <c r="W312" s="2351"/>
      <c r="X312" s="2351"/>
      <c r="Y312" s="2351"/>
      <c r="Z312" s="2351"/>
      <c r="AA312" s="2351"/>
      <c r="AB312" s="2351"/>
      <c r="AC312" s="2351"/>
      <c r="AD312" s="2352"/>
      <c r="AE312" s="399"/>
      <c r="AF312" s="399"/>
      <c r="AH312" s="399"/>
      <c r="AI312" s="399"/>
      <c r="AJ312" s="398"/>
      <c r="AK312" s="398"/>
      <c r="AL312" s="398"/>
      <c r="AM312" s="398"/>
      <c r="AN312" s="44"/>
      <c r="AO312" s="11"/>
      <c r="AP312" s="403" t="s">
        <v>2300</v>
      </c>
    </row>
    <row r="313" spans="1:44" hidden="1">
      <c r="A313" s="398"/>
      <c r="B313" s="399"/>
      <c r="C313" s="1199"/>
      <c r="D313" s="1199"/>
      <c r="E313" s="395"/>
      <c r="F313" s="489" t="s">
        <v>2301</v>
      </c>
      <c r="G313" s="500"/>
      <c r="H313" s="500"/>
      <c r="I313" s="500"/>
      <c r="J313" s="500"/>
      <c r="K313" s="500"/>
      <c r="L313" s="500"/>
      <c r="M313" s="500"/>
      <c r="N313" s="500"/>
      <c r="O313" s="500"/>
      <c r="P313" s="500"/>
      <c r="Q313" s="500"/>
      <c r="R313" s="500"/>
      <c r="S313" s="500"/>
      <c r="T313" s="500"/>
      <c r="U313" s="500"/>
      <c r="V313" s="500"/>
      <c r="W313" s="500"/>
      <c r="X313" s="500"/>
      <c r="Y313" s="500"/>
      <c r="Z313" s="500"/>
      <c r="AA313" s="500"/>
      <c r="AB313" s="500"/>
      <c r="AC313" s="500"/>
      <c r="AD313" s="809"/>
      <c r="AE313" s="399"/>
      <c r="AF313" s="399"/>
      <c r="AG313" s="388"/>
      <c r="AH313" s="399"/>
      <c r="AI313" s="399"/>
      <c r="AJ313" s="398"/>
      <c r="AK313" s="398"/>
      <c r="AL313" s="398"/>
      <c r="AM313" s="398"/>
      <c r="AN313" s="44"/>
      <c r="AO313" s="11"/>
      <c r="AP313" s="403" t="s">
        <v>2302</v>
      </c>
    </row>
    <row r="314" spans="1:44" hidden="1">
      <c r="A314" s="398"/>
      <c r="B314" s="399"/>
      <c r="C314" s="1199"/>
      <c r="D314" s="1199"/>
      <c r="E314" s="395"/>
      <c r="F314" s="489"/>
      <c r="G314" s="500"/>
      <c r="H314" s="500"/>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809"/>
      <c r="AE314" s="399"/>
      <c r="AF314" s="399"/>
      <c r="AG314" s="388"/>
      <c r="AH314" s="399"/>
      <c r="AI314" s="399"/>
      <c r="AJ314" s="398"/>
      <c r="AK314" s="398"/>
      <c r="AL314" s="398"/>
      <c r="AM314" s="398"/>
      <c r="AN314" s="44"/>
      <c r="AO314" s="11"/>
      <c r="AP314" s="403" t="s">
        <v>2303</v>
      </c>
    </row>
    <row r="315" spans="1:44" ht="12.75" hidden="1" customHeight="1">
      <c r="A315" s="398"/>
      <c r="B315" s="399"/>
      <c r="C315" s="1199"/>
      <c r="D315" s="1199"/>
      <c r="E315" s="395"/>
      <c r="F315" s="489"/>
      <c r="G315" s="481"/>
      <c r="H315" s="481"/>
      <c r="I315" s="481"/>
      <c r="J315" s="481"/>
      <c r="K315" s="481"/>
      <c r="L315" s="481"/>
      <c r="M315" s="481"/>
      <c r="N315" s="481"/>
      <c r="O315" s="481"/>
      <c r="P315" s="481"/>
      <c r="Q315" s="481"/>
      <c r="R315" s="481"/>
      <c r="S315" s="481"/>
      <c r="T315" s="481"/>
      <c r="U315" s="481"/>
      <c r="V315" s="481"/>
      <c r="W315" s="481"/>
      <c r="X315" s="481"/>
      <c r="Y315" s="481"/>
      <c r="Z315" s="481"/>
      <c r="AA315" s="481"/>
      <c r="AB315" s="481"/>
      <c r="AC315" s="481"/>
      <c r="AD315" s="490"/>
      <c r="AE315" s="399"/>
      <c r="AF315" s="399"/>
      <c r="AG315" s="388"/>
      <c r="AH315" s="399"/>
      <c r="AI315" s="399"/>
      <c r="AJ315" s="398"/>
      <c r="AK315" s="398"/>
      <c r="AL315" s="398"/>
      <c r="AM315" s="398"/>
      <c r="AN315" s="44"/>
      <c r="AO315" s="11"/>
      <c r="AP315" s="23"/>
    </row>
    <row r="316" spans="1:44" ht="12.75" hidden="1" customHeight="1">
      <c r="A316" s="398"/>
      <c r="B316" s="399"/>
      <c r="C316" s="1199"/>
      <c r="D316" s="1199"/>
      <c r="E316" s="395"/>
      <c r="F316" s="2477" t="s">
        <v>1028</v>
      </c>
      <c r="G316" s="2478"/>
      <c r="H316" s="2478"/>
      <c r="I316" s="2478"/>
      <c r="J316" s="2478"/>
      <c r="K316" s="2478"/>
      <c r="L316" s="2478"/>
      <c r="M316" s="2478"/>
      <c r="N316" s="2478"/>
      <c r="O316" s="2478"/>
      <c r="P316" s="2478"/>
      <c r="Q316" s="2478"/>
      <c r="R316" s="2478"/>
      <c r="S316" s="2478"/>
      <c r="T316" s="2478"/>
      <c r="U316" s="2478"/>
      <c r="V316" s="2478"/>
      <c r="W316" s="2478"/>
      <c r="X316" s="2478"/>
      <c r="Y316" s="2478"/>
      <c r="Z316" s="2478"/>
      <c r="AA316" s="2478"/>
      <c r="AB316" s="2478"/>
      <c r="AC316" s="2478"/>
      <c r="AD316" s="2479"/>
      <c r="AE316" s="481"/>
      <c r="AF316" s="481"/>
      <c r="AG316" s="481"/>
      <c r="AH316" s="481"/>
      <c r="AI316" s="481"/>
      <c r="AJ316" s="481"/>
      <c r="AK316" s="481"/>
      <c r="AL316" s="398"/>
      <c r="AM316" s="398"/>
      <c r="AN316" s="44"/>
      <c r="AO316" s="11"/>
      <c r="AP316" s="23"/>
    </row>
    <row r="317" spans="1:44" hidden="1">
      <c r="A317" s="398"/>
      <c r="B317" s="399"/>
      <c r="C317" s="1199"/>
      <c r="D317" s="1199"/>
      <c r="E317" s="395"/>
      <c r="F317" s="2477"/>
      <c r="G317" s="2478"/>
      <c r="H317" s="2478"/>
      <c r="I317" s="2478"/>
      <c r="J317" s="2478"/>
      <c r="K317" s="2478"/>
      <c r="L317" s="2478"/>
      <c r="M317" s="2478"/>
      <c r="N317" s="2478"/>
      <c r="O317" s="2478"/>
      <c r="P317" s="2478"/>
      <c r="Q317" s="2478"/>
      <c r="R317" s="2478"/>
      <c r="S317" s="2478"/>
      <c r="T317" s="2478"/>
      <c r="U317" s="2478"/>
      <c r="V317" s="2478"/>
      <c r="W317" s="2478"/>
      <c r="X317" s="2478"/>
      <c r="Y317" s="2478"/>
      <c r="Z317" s="2478"/>
      <c r="AA317" s="2478"/>
      <c r="AB317" s="2478"/>
      <c r="AC317" s="2478"/>
      <c r="AD317" s="2479"/>
      <c r="AE317" s="399"/>
      <c r="AF317" s="399"/>
      <c r="AG317" s="388"/>
      <c r="AH317" s="399"/>
      <c r="AI317" s="399"/>
      <c r="AJ317" s="398"/>
      <c r="AK317" s="398"/>
      <c r="AL317" s="398"/>
      <c r="AM317" s="398"/>
      <c r="AN317" s="44"/>
      <c r="AO317" s="11"/>
      <c r="AP317" s="23"/>
    </row>
    <row r="318" spans="1:44" hidden="1">
      <c r="A318" s="398"/>
      <c r="B318" s="399"/>
      <c r="C318" s="1199"/>
      <c r="D318" s="1199"/>
      <c r="E318" s="395"/>
      <c r="F318" s="2477"/>
      <c r="G318" s="2478"/>
      <c r="H318" s="2478"/>
      <c r="I318" s="2478"/>
      <c r="J318" s="2478"/>
      <c r="K318" s="2478"/>
      <c r="L318" s="2478"/>
      <c r="M318" s="2478"/>
      <c r="N318" s="2478"/>
      <c r="O318" s="2478"/>
      <c r="P318" s="2478"/>
      <c r="Q318" s="2478"/>
      <c r="R318" s="2478"/>
      <c r="S318" s="2478"/>
      <c r="T318" s="2478"/>
      <c r="U318" s="2478"/>
      <c r="V318" s="2478"/>
      <c r="W318" s="2478"/>
      <c r="X318" s="2478"/>
      <c r="Y318" s="2478"/>
      <c r="Z318" s="2478"/>
      <c r="AA318" s="2478"/>
      <c r="AB318" s="2478"/>
      <c r="AC318" s="2478"/>
      <c r="AD318" s="2479"/>
      <c r="AE318" s="399"/>
      <c r="AF318" s="399"/>
      <c r="AG318" s="388"/>
      <c r="AH318" s="399"/>
      <c r="AI318" s="399"/>
      <c r="AJ318" s="398"/>
      <c r="AK318" s="398"/>
      <c r="AL318" s="398"/>
      <c r="AM318" s="398"/>
      <c r="AN318" s="44"/>
      <c r="AO318" s="11"/>
      <c r="AP318" s="23"/>
    </row>
    <row r="319" spans="1:44" hidden="1">
      <c r="A319" s="398"/>
      <c r="B319" s="399"/>
      <c r="C319" s="1199"/>
      <c r="D319" s="1199"/>
      <c r="E319" s="395"/>
      <c r="F319" s="2477"/>
      <c r="G319" s="2478"/>
      <c r="H319" s="2478"/>
      <c r="I319" s="2478"/>
      <c r="J319" s="2478"/>
      <c r="K319" s="2478"/>
      <c r="L319" s="2478"/>
      <c r="M319" s="2478"/>
      <c r="N319" s="2478"/>
      <c r="O319" s="2478"/>
      <c r="P319" s="2478"/>
      <c r="Q319" s="2478"/>
      <c r="R319" s="2478"/>
      <c r="S319" s="2478"/>
      <c r="T319" s="2478"/>
      <c r="U319" s="2478"/>
      <c r="V319" s="2478"/>
      <c r="W319" s="2478"/>
      <c r="X319" s="2478"/>
      <c r="Y319" s="2478"/>
      <c r="Z319" s="2478"/>
      <c r="AA319" s="2478"/>
      <c r="AB319" s="2478"/>
      <c r="AC319" s="2478"/>
      <c r="AD319" s="2479"/>
      <c r="AE319" s="399"/>
      <c r="AF319" s="399"/>
      <c r="AG319" s="388"/>
      <c r="AH319" s="399"/>
      <c r="AI319" s="399"/>
      <c r="AJ319" s="398"/>
      <c r="AK319" s="398"/>
      <c r="AL319" s="398"/>
      <c r="AM319" s="398"/>
      <c r="AN319" s="44"/>
      <c r="AO319" s="11"/>
      <c r="AP319" s="23"/>
    </row>
    <row r="320" spans="1:44" hidden="1">
      <c r="A320" s="398"/>
      <c r="B320" s="399"/>
      <c r="C320" s="1199"/>
      <c r="D320" s="1199"/>
      <c r="E320" s="395"/>
      <c r="F320" s="2480"/>
      <c r="G320" s="2481"/>
      <c r="H320" s="2481"/>
      <c r="I320" s="2481"/>
      <c r="J320" s="2481"/>
      <c r="K320" s="2481"/>
      <c r="L320" s="2481"/>
      <c r="M320" s="2481"/>
      <c r="N320" s="2481"/>
      <c r="O320" s="2481"/>
      <c r="P320" s="2481"/>
      <c r="Q320" s="2481"/>
      <c r="R320" s="2481"/>
      <c r="S320" s="2481"/>
      <c r="T320" s="2481"/>
      <c r="U320" s="2481"/>
      <c r="V320" s="2481"/>
      <c r="W320" s="2481"/>
      <c r="X320" s="2481"/>
      <c r="Y320" s="2481"/>
      <c r="Z320" s="2481"/>
      <c r="AA320" s="2481"/>
      <c r="AB320" s="2481"/>
      <c r="AC320" s="2481"/>
      <c r="AD320" s="2482"/>
      <c r="AE320" s="399"/>
      <c r="AF320" s="399"/>
      <c r="AG320" s="388"/>
      <c r="AH320" s="399"/>
      <c r="AI320" s="399"/>
      <c r="AJ320" s="398"/>
      <c r="AK320" s="398"/>
      <c r="AL320" s="398"/>
      <c r="AM320" s="398"/>
      <c r="AN320" s="44"/>
      <c r="AO320" s="11"/>
      <c r="AP320" s="23"/>
    </row>
    <row r="321" spans="1:42" hidden="1">
      <c r="A321" s="398"/>
      <c r="B321" s="399"/>
      <c r="C321" s="1199"/>
      <c r="D321" s="1199"/>
      <c r="E321" s="395"/>
      <c r="F321" s="776"/>
      <c r="G321" s="481"/>
      <c r="H321" s="481"/>
      <c r="I321" s="481"/>
      <c r="J321" s="481"/>
      <c r="K321" s="481"/>
      <c r="L321" s="481"/>
      <c r="M321" s="481"/>
      <c r="N321" s="481"/>
      <c r="O321" s="481"/>
      <c r="P321" s="481"/>
      <c r="Q321" s="481"/>
      <c r="R321" s="481"/>
      <c r="S321" s="481"/>
      <c r="T321" s="481"/>
      <c r="U321" s="481"/>
      <c r="V321" s="481"/>
      <c r="W321" s="481"/>
      <c r="X321" s="481"/>
      <c r="Y321" s="481"/>
      <c r="Z321" s="481"/>
      <c r="AA321" s="481"/>
      <c r="AB321" s="481"/>
      <c r="AC321" s="481"/>
      <c r="AD321" s="490"/>
      <c r="AE321" s="399"/>
      <c r="AF321" s="399"/>
      <c r="AG321" s="388"/>
      <c r="AH321" s="399"/>
      <c r="AI321" s="399"/>
      <c r="AJ321" s="398"/>
      <c r="AK321" s="398"/>
      <c r="AL321" s="398"/>
      <c r="AM321" s="398"/>
      <c r="AN321" s="44"/>
      <c r="AO321" s="11"/>
      <c r="AP321" s="23"/>
    </row>
    <row r="322" spans="1:42" hidden="1">
      <c r="A322" s="398"/>
      <c r="B322" s="399"/>
      <c r="C322" s="1199"/>
      <c r="D322" s="1199"/>
      <c r="E322" s="395"/>
      <c r="F322" s="491" t="s">
        <v>2304</v>
      </c>
      <c r="G322" s="399"/>
      <c r="H322" s="399"/>
      <c r="I322" s="399"/>
      <c r="J322" s="399"/>
      <c r="K322" s="399"/>
      <c r="L322" s="399"/>
      <c r="M322" s="399"/>
      <c r="N322" s="399"/>
      <c r="O322" s="399"/>
      <c r="P322" s="399"/>
      <c r="Q322" s="399"/>
      <c r="R322" s="399"/>
      <c r="S322" s="399"/>
      <c r="T322" s="399"/>
      <c r="U322" s="399"/>
      <c r="V322" s="399"/>
      <c r="W322" s="399"/>
      <c r="X322" s="399"/>
      <c r="Y322" s="399"/>
      <c r="Z322" s="399"/>
      <c r="AA322" s="399"/>
      <c r="AB322" s="399"/>
      <c r="AC322" s="399"/>
      <c r="AD322" s="492"/>
      <c r="AE322" s="399"/>
      <c r="AF322" s="399"/>
      <c r="AG322" s="388"/>
      <c r="AH322" s="399"/>
      <c r="AI322" s="399"/>
      <c r="AJ322" s="398"/>
      <c r="AK322" s="398"/>
      <c r="AL322" s="398"/>
      <c r="AM322" s="398"/>
      <c r="AN322" s="44"/>
      <c r="AO322" s="11"/>
      <c r="AP322" s="23"/>
    </row>
    <row r="323" spans="1:42" hidden="1">
      <c r="A323" s="398"/>
      <c r="B323" s="399"/>
      <c r="C323" s="1199"/>
      <c r="D323" s="1199"/>
      <c r="E323" s="395"/>
      <c r="F323" s="491"/>
      <c r="G323" s="399"/>
      <c r="H323" s="399"/>
      <c r="I323" s="399"/>
      <c r="J323" s="399"/>
      <c r="K323" s="399"/>
      <c r="L323" s="399"/>
      <c r="M323" s="399"/>
      <c r="N323" s="399"/>
      <c r="O323" s="399"/>
      <c r="P323" s="399"/>
      <c r="Q323" s="399"/>
      <c r="R323" s="399"/>
      <c r="S323" s="399"/>
      <c r="T323" s="399"/>
      <c r="U323" s="399"/>
      <c r="V323" s="399"/>
      <c r="W323" s="399"/>
      <c r="X323" s="399"/>
      <c r="Y323" s="399"/>
      <c r="Z323" s="399"/>
      <c r="AA323" s="399"/>
      <c r="AB323" s="399"/>
      <c r="AC323" s="399"/>
      <c r="AD323" s="492"/>
      <c r="AE323" s="399"/>
      <c r="AF323" s="399"/>
      <c r="AG323" s="388"/>
      <c r="AH323" s="399"/>
      <c r="AI323" s="399"/>
      <c r="AJ323" s="398"/>
      <c r="AK323" s="398"/>
      <c r="AL323" s="398"/>
      <c r="AM323" s="398"/>
      <c r="AN323" s="44"/>
      <c r="AO323" s="11"/>
      <c r="AP323" s="403" t="s">
        <v>1028</v>
      </c>
    </row>
    <row r="324" spans="1:42" ht="12.75" hidden="1" customHeight="1">
      <c r="A324" s="398"/>
      <c r="B324" s="399"/>
      <c r="C324" s="1199"/>
      <c r="D324" s="1199"/>
      <c r="E324" s="395"/>
      <c r="F324" s="493"/>
      <c r="G324" s="420" t="s">
        <v>22</v>
      </c>
      <c r="H324" s="420"/>
      <c r="I324" s="2483" t="s">
        <v>1028</v>
      </c>
      <c r="J324" s="2483"/>
      <c r="K324" s="2483"/>
      <c r="L324" s="2483"/>
      <c r="M324" s="2483"/>
      <c r="N324" s="2483"/>
      <c r="O324" s="2483"/>
      <c r="P324" s="2483"/>
      <c r="Q324" s="2483"/>
      <c r="R324" s="2483"/>
      <c r="S324" s="2483"/>
      <c r="T324" s="2483"/>
      <c r="U324" s="2483"/>
      <c r="V324" s="2483"/>
      <c r="W324" s="2483"/>
      <c r="X324" s="2483"/>
      <c r="Y324" s="2483"/>
      <c r="Z324" s="2483"/>
      <c r="AA324" s="2483"/>
      <c r="AB324" s="2483"/>
      <c r="AC324" s="2483"/>
      <c r="AD324" s="2484"/>
      <c r="AE324" s="399"/>
      <c r="AF324" s="399"/>
      <c r="AG324" s="388"/>
      <c r="AH324" s="399"/>
      <c r="AI324" s="399"/>
      <c r="AJ324" s="398"/>
      <c r="AK324" s="398"/>
      <c r="AL324" s="398"/>
      <c r="AM324" s="398"/>
      <c r="AN324" s="44"/>
      <c r="AO324" s="11"/>
      <c r="AP324" s="403" t="s">
        <v>2305</v>
      </c>
    </row>
    <row r="325" spans="1:42" hidden="1">
      <c r="A325" s="398"/>
      <c r="B325" s="399"/>
      <c r="C325" s="1199"/>
      <c r="D325" s="1199"/>
      <c r="E325" s="395"/>
      <c r="F325" s="493"/>
      <c r="G325" s="420"/>
      <c r="H325" s="420"/>
      <c r="I325" s="2483"/>
      <c r="J325" s="2483"/>
      <c r="K325" s="2483"/>
      <c r="L325" s="2483"/>
      <c r="M325" s="2483"/>
      <c r="N325" s="2483"/>
      <c r="O325" s="2483"/>
      <c r="P325" s="2483"/>
      <c r="Q325" s="2483"/>
      <c r="R325" s="2483"/>
      <c r="S325" s="2483"/>
      <c r="T325" s="2483"/>
      <c r="U325" s="2483"/>
      <c r="V325" s="2483"/>
      <c r="W325" s="2483"/>
      <c r="X325" s="2483"/>
      <c r="Y325" s="2483"/>
      <c r="Z325" s="2483"/>
      <c r="AA325" s="2483"/>
      <c r="AB325" s="2483"/>
      <c r="AC325" s="2483"/>
      <c r="AD325" s="2484"/>
      <c r="AE325" s="399"/>
      <c r="AF325" s="399"/>
      <c r="AG325" s="388"/>
      <c r="AH325" s="399"/>
      <c r="AI325" s="399"/>
      <c r="AJ325" s="398"/>
      <c r="AK325" s="398"/>
      <c r="AL325" s="398"/>
      <c r="AM325" s="398"/>
      <c r="AN325" s="44"/>
      <c r="AO325" s="11"/>
      <c r="AP325" s="403" t="s">
        <v>2306</v>
      </c>
    </row>
    <row r="326" spans="1:42" hidden="1">
      <c r="A326" s="398"/>
      <c r="B326" s="399"/>
      <c r="C326" s="1214"/>
      <c r="D326" s="1214"/>
      <c r="E326" s="395"/>
      <c r="F326" s="493"/>
      <c r="G326" s="420"/>
      <c r="H326" s="420"/>
      <c r="I326" s="2483"/>
      <c r="J326" s="2483"/>
      <c r="K326" s="2483"/>
      <c r="L326" s="2483"/>
      <c r="M326" s="2483"/>
      <c r="N326" s="2483"/>
      <c r="O326" s="2483"/>
      <c r="P326" s="2483"/>
      <c r="Q326" s="2483"/>
      <c r="R326" s="2483"/>
      <c r="S326" s="2483"/>
      <c r="T326" s="2483"/>
      <c r="U326" s="2483"/>
      <c r="V326" s="2483"/>
      <c r="W326" s="2483"/>
      <c r="X326" s="2483"/>
      <c r="Y326" s="2483"/>
      <c r="Z326" s="2483"/>
      <c r="AA326" s="2483"/>
      <c r="AB326" s="2483"/>
      <c r="AC326" s="2483"/>
      <c r="AD326" s="2484"/>
      <c r="AE326" s="399"/>
      <c r="AF326" s="399"/>
      <c r="AG326" s="388"/>
      <c r="AH326" s="399"/>
      <c r="AI326" s="399"/>
      <c r="AJ326" s="398"/>
      <c r="AK326" s="398"/>
      <c r="AL326" s="398"/>
      <c r="AM326" s="398"/>
      <c r="AN326" s="44"/>
      <c r="AO326" s="11"/>
      <c r="AP326" s="403" t="s">
        <v>2307</v>
      </c>
    </row>
    <row r="327" spans="1:42" hidden="1">
      <c r="A327" s="398"/>
      <c r="B327" s="399"/>
      <c r="C327" s="1214"/>
      <c r="D327" s="1214"/>
      <c r="E327" s="395"/>
      <c r="F327" s="491"/>
      <c r="G327" s="399"/>
      <c r="H327" s="399"/>
      <c r="I327" s="2485"/>
      <c r="J327" s="2485"/>
      <c r="K327" s="2485"/>
      <c r="L327" s="2485"/>
      <c r="M327" s="2485"/>
      <c r="N327" s="2485"/>
      <c r="O327" s="2485"/>
      <c r="P327" s="2485"/>
      <c r="Q327" s="2485"/>
      <c r="R327" s="2485"/>
      <c r="S327" s="2485"/>
      <c r="T327" s="2485"/>
      <c r="U327" s="2485"/>
      <c r="V327" s="2485"/>
      <c r="W327" s="2485"/>
      <c r="X327" s="2485"/>
      <c r="Y327" s="2485"/>
      <c r="Z327" s="2485"/>
      <c r="AA327" s="2485"/>
      <c r="AB327" s="2485"/>
      <c r="AC327" s="2485"/>
      <c r="AD327" s="2486"/>
      <c r="AE327" s="399"/>
      <c r="AF327" s="399"/>
      <c r="AG327" s="388"/>
      <c r="AH327" s="399"/>
      <c r="AI327" s="399"/>
      <c r="AJ327" s="398"/>
      <c r="AK327" s="398"/>
      <c r="AL327" s="398"/>
      <c r="AM327" s="398"/>
      <c r="AN327" s="44"/>
      <c r="AO327" s="11"/>
      <c r="AP327" s="403" t="s">
        <v>2308</v>
      </c>
    </row>
    <row r="328" spans="1:42" hidden="1">
      <c r="A328" s="398"/>
      <c r="B328" s="399"/>
      <c r="C328" s="1214"/>
      <c r="D328" s="1214"/>
      <c r="E328" s="395"/>
      <c r="F328" s="491"/>
      <c r="G328" s="399"/>
      <c r="H328" s="399"/>
      <c r="I328" s="399"/>
      <c r="J328" s="399"/>
      <c r="K328" s="399"/>
      <c r="L328" s="399"/>
      <c r="M328" s="399"/>
      <c r="N328" s="399"/>
      <c r="O328" s="399"/>
      <c r="P328" s="399"/>
      <c r="Q328" s="399"/>
      <c r="R328" s="399"/>
      <c r="S328" s="399"/>
      <c r="T328" s="399"/>
      <c r="U328" s="399"/>
      <c r="V328" s="399"/>
      <c r="W328" s="399"/>
      <c r="X328" s="399"/>
      <c r="Y328" s="399"/>
      <c r="Z328" s="399"/>
      <c r="AA328" s="399"/>
      <c r="AB328" s="399"/>
      <c r="AC328" s="399"/>
      <c r="AD328" s="492"/>
      <c r="AE328" s="399"/>
      <c r="AF328" s="399"/>
      <c r="AG328" s="388"/>
      <c r="AH328" s="399"/>
      <c r="AI328" s="399"/>
      <c r="AJ328" s="398"/>
      <c r="AK328" s="398"/>
      <c r="AL328" s="398"/>
      <c r="AM328" s="398"/>
      <c r="AN328" s="44"/>
      <c r="AO328" s="11"/>
      <c r="AP328" s="23"/>
    </row>
    <row r="329" spans="1:42" hidden="1">
      <c r="A329" s="398"/>
      <c r="B329" s="399"/>
      <c r="C329" s="1214"/>
      <c r="D329" s="1214"/>
      <c r="E329" s="395"/>
      <c r="F329" s="491"/>
      <c r="G329" s="399" t="s">
        <v>27</v>
      </c>
      <c r="H329" s="399"/>
      <c r="I329" s="2483" t="s">
        <v>1028</v>
      </c>
      <c r="J329" s="2483"/>
      <c r="K329" s="2483"/>
      <c r="L329" s="2483"/>
      <c r="M329" s="2483"/>
      <c r="N329" s="2483"/>
      <c r="O329" s="2483"/>
      <c r="P329" s="2483"/>
      <c r="Q329" s="2483"/>
      <c r="R329" s="2483"/>
      <c r="S329" s="2483"/>
      <c r="T329" s="2483"/>
      <c r="U329" s="2483"/>
      <c r="V329" s="2483"/>
      <c r="W329" s="2483"/>
      <c r="X329" s="2483"/>
      <c r="Y329" s="2483"/>
      <c r="Z329" s="2483"/>
      <c r="AA329" s="2483"/>
      <c r="AB329" s="2483"/>
      <c r="AC329" s="2483"/>
      <c r="AD329" s="2484"/>
      <c r="AE329" s="399"/>
      <c r="AF329" s="399"/>
      <c r="AG329" s="388"/>
      <c r="AH329" s="399"/>
      <c r="AI329" s="399"/>
      <c r="AJ329" s="398"/>
      <c r="AK329" s="398"/>
      <c r="AL329" s="398"/>
      <c r="AM329" s="398"/>
      <c r="AN329" s="44"/>
      <c r="AO329" s="11"/>
    </row>
    <row r="330" spans="1:42" hidden="1">
      <c r="A330" s="398"/>
      <c r="B330" s="399"/>
      <c r="C330" s="1214"/>
      <c r="D330" s="1214"/>
      <c r="E330" s="395"/>
      <c r="F330" s="491"/>
      <c r="G330" s="399"/>
      <c r="H330" s="399"/>
      <c r="I330" s="2483"/>
      <c r="J330" s="2483"/>
      <c r="K330" s="2483"/>
      <c r="L330" s="2483"/>
      <c r="M330" s="2483"/>
      <c r="N330" s="2483"/>
      <c r="O330" s="2483"/>
      <c r="P330" s="2483"/>
      <c r="Q330" s="2483"/>
      <c r="R330" s="2483"/>
      <c r="S330" s="2483"/>
      <c r="T330" s="2483"/>
      <c r="U330" s="2483"/>
      <c r="V330" s="2483"/>
      <c r="W330" s="2483"/>
      <c r="X330" s="2483"/>
      <c r="Y330" s="2483"/>
      <c r="Z330" s="2483"/>
      <c r="AA330" s="2483"/>
      <c r="AB330" s="2483"/>
      <c r="AC330" s="2483"/>
      <c r="AD330" s="2484"/>
      <c r="AE330" s="399"/>
      <c r="AF330" s="399"/>
      <c r="AG330" s="388"/>
      <c r="AH330" s="399"/>
      <c r="AI330" s="399"/>
      <c r="AJ330" s="398"/>
      <c r="AK330" s="398"/>
      <c r="AL330" s="398"/>
      <c r="AM330" s="398"/>
      <c r="AN330" s="44"/>
      <c r="AO330" s="11"/>
      <c r="AP330" s="403" t="s">
        <v>1028</v>
      </c>
    </row>
    <row r="331" spans="1:42" hidden="1">
      <c r="A331" s="398"/>
      <c r="B331" s="399"/>
      <c r="C331" s="1214"/>
      <c r="D331" s="1214"/>
      <c r="E331" s="395"/>
      <c r="F331" s="494"/>
      <c r="G331" s="495"/>
      <c r="H331" s="495"/>
      <c r="I331" s="2485"/>
      <c r="J331" s="2485"/>
      <c r="K331" s="2485"/>
      <c r="L331" s="2485"/>
      <c r="M331" s="2485"/>
      <c r="N331" s="2485"/>
      <c r="O331" s="2485"/>
      <c r="P331" s="2485"/>
      <c r="Q331" s="2485"/>
      <c r="R331" s="2485"/>
      <c r="S331" s="2485"/>
      <c r="T331" s="2485"/>
      <c r="U331" s="2485"/>
      <c r="V331" s="2485"/>
      <c r="W331" s="2485"/>
      <c r="X331" s="2485"/>
      <c r="Y331" s="2485"/>
      <c r="Z331" s="2485"/>
      <c r="AA331" s="2485"/>
      <c r="AB331" s="2485"/>
      <c r="AC331" s="2485"/>
      <c r="AD331" s="2486"/>
      <c r="AE331" s="399"/>
      <c r="AF331" s="399"/>
      <c r="AG331" s="388"/>
      <c r="AH331" s="399"/>
      <c r="AI331" s="399"/>
      <c r="AJ331" s="398"/>
      <c r="AK331" s="398"/>
      <c r="AL331" s="398"/>
      <c r="AM331" s="398"/>
      <c r="AN331" s="44"/>
      <c r="AO331" s="11"/>
      <c r="AP331" s="403" t="s">
        <v>2309</v>
      </c>
    </row>
    <row r="332" spans="1:42" hidden="1">
      <c r="A332" s="398"/>
      <c r="B332" s="399"/>
      <c r="C332" s="398"/>
      <c r="D332" s="399"/>
      <c r="E332" s="398"/>
      <c r="F332" s="456"/>
      <c r="G332" s="399"/>
      <c r="H332" s="399"/>
      <c r="I332" s="399"/>
      <c r="J332" s="399"/>
      <c r="K332" s="399"/>
      <c r="L332" s="399"/>
      <c r="M332" s="399"/>
      <c r="N332" s="399"/>
      <c r="O332" s="399"/>
      <c r="P332" s="399"/>
      <c r="Q332" s="399"/>
      <c r="R332" s="399"/>
      <c r="S332" s="399"/>
      <c r="T332" s="399"/>
      <c r="U332" s="399"/>
      <c r="V332" s="399"/>
      <c r="W332" s="399"/>
      <c r="X332" s="399"/>
      <c r="Y332" s="399"/>
      <c r="Z332" s="399"/>
      <c r="AA332" s="399"/>
      <c r="AB332" s="399"/>
      <c r="AC332" s="399"/>
      <c r="AD332" s="399"/>
      <c r="AE332" s="399"/>
      <c r="AF332" s="399"/>
      <c r="AG332" s="399"/>
      <c r="AH332" s="399"/>
      <c r="AI332" s="399"/>
      <c r="AJ332" s="398"/>
      <c r="AK332" s="398"/>
      <c r="AL332" s="398"/>
      <c r="AM332" s="398"/>
      <c r="AN332" s="44"/>
      <c r="AO332" s="11"/>
      <c r="AP332" s="403" t="s">
        <v>2310</v>
      </c>
    </row>
    <row r="333" spans="1:42" ht="12.75" hidden="1" customHeight="1">
      <c r="A333" s="1569" t="s">
        <v>2311</v>
      </c>
      <c r="B333" s="1569"/>
      <c r="C333" s="2372" t="s">
        <v>810</v>
      </c>
      <c r="D333" s="2372"/>
      <c r="E333" s="395"/>
      <c r="F333" s="2471" t="s">
        <v>2312</v>
      </c>
      <c r="G333" s="2472"/>
      <c r="H333" s="2472"/>
      <c r="I333" s="2472"/>
      <c r="J333" s="2472"/>
      <c r="K333" s="2472"/>
      <c r="L333" s="2472"/>
      <c r="M333" s="2472"/>
      <c r="N333" s="2472"/>
      <c r="O333" s="2472"/>
      <c r="P333" s="2472"/>
      <c r="Q333" s="2472"/>
      <c r="R333" s="2472"/>
      <c r="S333" s="2472"/>
      <c r="T333" s="2472"/>
      <c r="U333" s="2472"/>
      <c r="V333" s="2472"/>
      <c r="W333" s="2472"/>
      <c r="X333" s="2472"/>
      <c r="Y333" s="2472"/>
      <c r="Z333" s="2472"/>
      <c r="AA333" s="2472"/>
      <c r="AB333" s="2472"/>
      <c r="AC333" s="2472"/>
      <c r="AD333" s="2473"/>
      <c r="AE333" s="399"/>
      <c r="AF333" s="399"/>
      <c r="AG333" s="388" t="s">
        <v>2295</v>
      </c>
      <c r="AH333" s="399"/>
      <c r="AI333" s="399"/>
      <c r="AJ333" s="398"/>
      <c r="AK333" s="398"/>
      <c r="AL333" s="398"/>
      <c r="AM333" s="398"/>
      <c r="AN333" s="44"/>
      <c r="AO333" s="11"/>
    </row>
    <row r="334" spans="1:42" ht="15" hidden="1" customHeight="1">
      <c r="A334" s="398"/>
      <c r="B334" s="399"/>
      <c r="C334" s="399"/>
      <c r="D334" s="399"/>
      <c r="E334" s="399"/>
      <c r="F334" s="2474"/>
      <c r="G334" s="2475"/>
      <c r="H334" s="2475"/>
      <c r="I334" s="2475"/>
      <c r="J334" s="2475"/>
      <c r="K334" s="2475"/>
      <c r="L334" s="2475"/>
      <c r="M334" s="2475"/>
      <c r="N334" s="2475"/>
      <c r="O334" s="2475"/>
      <c r="P334" s="2475"/>
      <c r="Q334" s="2475"/>
      <c r="R334" s="2475"/>
      <c r="S334" s="2475"/>
      <c r="T334" s="2475"/>
      <c r="U334" s="2475"/>
      <c r="V334" s="2475"/>
      <c r="W334" s="2475"/>
      <c r="X334" s="2475"/>
      <c r="Y334" s="2475"/>
      <c r="Z334" s="2475"/>
      <c r="AA334" s="2475"/>
      <c r="AB334" s="2475"/>
      <c r="AC334" s="2475"/>
      <c r="AD334" s="2476"/>
      <c r="AE334" s="399"/>
      <c r="AF334" s="399"/>
      <c r="AG334" s="399"/>
      <c r="AH334" s="399"/>
      <c r="AI334" s="399"/>
      <c r="AJ334" s="398"/>
      <c r="AK334" s="398"/>
      <c r="AL334" s="398"/>
      <c r="AM334" s="398"/>
      <c r="AN334" s="44"/>
      <c r="AO334" s="11"/>
    </row>
    <row r="335" spans="1:42" ht="15" hidden="1" customHeight="1">
      <c r="A335" s="398"/>
      <c r="B335" s="399"/>
      <c r="C335" s="399"/>
      <c r="D335" s="399"/>
      <c r="E335" s="399"/>
      <c r="F335" s="2474"/>
      <c r="G335" s="2475"/>
      <c r="H335" s="2475"/>
      <c r="I335" s="2475"/>
      <c r="J335" s="2475"/>
      <c r="K335" s="2475"/>
      <c r="L335" s="2475"/>
      <c r="M335" s="2475"/>
      <c r="N335" s="2475"/>
      <c r="O335" s="2475"/>
      <c r="P335" s="2475"/>
      <c r="Q335" s="2475"/>
      <c r="R335" s="2475"/>
      <c r="S335" s="2475"/>
      <c r="T335" s="2475"/>
      <c r="U335" s="2475"/>
      <c r="V335" s="2475"/>
      <c r="W335" s="2475"/>
      <c r="X335" s="2475"/>
      <c r="Y335" s="2475"/>
      <c r="Z335" s="2475"/>
      <c r="AA335" s="2475"/>
      <c r="AB335" s="2475"/>
      <c r="AC335" s="2475"/>
      <c r="AD335" s="2476"/>
      <c r="AE335" s="399"/>
      <c r="AF335" s="399"/>
      <c r="AG335" s="399"/>
      <c r="AH335" s="399"/>
      <c r="AI335" s="399"/>
      <c r="AJ335" s="398"/>
      <c r="AK335" s="398"/>
      <c r="AL335" s="398"/>
      <c r="AM335" s="496"/>
      <c r="AN335" s="11"/>
      <c r="AO335" s="11"/>
    </row>
    <row r="336" spans="1:42" hidden="1">
      <c r="A336" s="398"/>
      <c r="B336" s="399"/>
      <c r="C336" s="398"/>
      <c r="D336" s="399"/>
      <c r="E336" s="398"/>
      <c r="F336" s="497" t="s">
        <v>2313</v>
      </c>
      <c r="G336" s="498"/>
      <c r="H336" s="498"/>
      <c r="I336" s="498"/>
      <c r="J336" s="498"/>
      <c r="K336" s="498"/>
      <c r="L336" s="498"/>
      <c r="M336" s="498"/>
      <c r="N336" s="498"/>
      <c r="O336" s="498"/>
      <c r="P336" s="498"/>
      <c r="Q336" s="498"/>
      <c r="R336" s="498"/>
      <c r="S336" s="498"/>
      <c r="T336" s="498"/>
      <c r="U336" s="498"/>
      <c r="V336" s="498"/>
      <c r="W336" s="498"/>
      <c r="X336" s="498"/>
      <c r="Y336" s="498"/>
      <c r="Z336" s="498"/>
      <c r="AA336" s="498"/>
      <c r="AB336" s="498"/>
      <c r="AC336" s="498"/>
      <c r="AD336" s="499"/>
      <c r="AE336" s="399"/>
      <c r="AF336" s="399"/>
      <c r="AG336" s="399"/>
      <c r="AH336" s="399"/>
      <c r="AI336" s="399"/>
      <c r="AJ336" s="398"/>
      <c r="AK336" s="398"/>
      <c r="AL336" s="398"/>
      <c r="AM336" s="496"/>
      <c r="AN336" s="23"/>
    </row>
    <row r="337" spans="1:44" hidden="1">
      <c r="A337" s="398"/>
      <c r="B337" s="399"/>
      <c r="C337" s="398"/>
      <c r="D337" s="399"/>
      <c r="E337" s="398"/>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c r="AB337" s="500"/>
      <c r="AC337" s="500"/>
      <c r="AD337" s="500"/>
      <c r="AE337" s="399"/>
      <c r="AF337" s="399"/>
      <c r="AG337" s="399"/>
      <c r="AH337" s="399"/>
      <c r="AI337" s="399"/>
      <c r="AJ337" s="398"/>
      <c r="AK337" s="398"/>
      <c r="AL337" s="398"/>
      <c r="AM337" s="496"/>
      <c r="AN337" s="23"/>
    </row>
    <row r="338" spans="1:44">
      <c r="A338" s="447"/>
      <c r="B338" s="501"/>
      <c r="C338" s="501"/>
      <c r="D338" s="501"/>
      <c r="E338" s="501"/>
      <c r="F338" s="501"/>
      <c r="G338" s="501"/>
      <c r="H338" s="501"/>
      <c r="I338" s="501"/>
      <c r="J338" s="501"/>
      <c r="K338" s="501"/>
      <c r="L338" s="501"/>
      <c r="M338" s="501"/>
      <c r="N338" s="501"/>
      <c r="O338" s="501"/>
      <c r="P338" s="501"/>
      <c r="Q338" s="501"/>
      <c r="R338" s="501"/>
      <c r="S338" s="501"/>
      <c r="T338" s="501"/>
      <c r="U338" s="501"/>
      <c r="V338" s="501"/>
      <c r="W338" s="501"/>
      <c r="X338" s="501"/>
      <c r="Y338" s="501"/>
      <c r="Z338" s="501"/>
      <c r="AA338" s="501"/>
      <c r="AB338" s="501"/>
      <c r="AC338" s="502"/>
      <c r="AD338" s="501"/>
      <c r="AE338" s="410"/>
      <c r="AF338" s="410"/>
      <c r="AG338" s="410"/>
      <c r="AH338" s="410"/>
      <c r="AI338" s="411"/>
      <c r="AJ338" s="411" t="s">
        <v>2314</v>
      </c>
      <c r="AK338" s="2358">
        <f>IF(NOT(OR(Application!M355="Yes",Application!M356="Yes")),0,AP295)</f>
        <v>10</v>
      </c>
      <c r="AL338" s="2359"/>
      <c r="AM338" s="2360"/>
      <c r="AN338" s="23"/>
    </row>
    <row r="339" spans="1:44" s="398" customFormat="1" ht="12.75" customHeight="1" thickBot="1">
      <c r="A339" s="461"/>
      <c r="B339" s="461"/>
      <c r="C339" s="461"/>
      <c r="D339" s="461"/>
      <c r="E339" s="461"/>
      <c r="F339" s="461"/>
      <c r="G339" s="461"/>
      <c r="H339" s="461"/>
      <c r="I339" s="461"/>
      <c r="J339" s="461"/>
      <c r="K339" s="461"/>
      <c r="L339" s="461"/>
      <c r="M339" s="461"/>
      <c r="N339" s="461"/>
      <c r="O339" s="461"/>
      <c r="P339" s="461"/>
      <c r="Q339" s="461"/>
      <c r="R339" s="461"/>
      <c r="S339" s="461"/>
      <c r="T339" s="461"/>
      <c r="U339" s="461"/>
      <c r="V339" s="461"/>
      <c r="W339" s="461"/>
      <c r="X339" s="461"/>
      <c r="Y339" s="461"/>
      <c r="Z339" s="461"/>
      <c r="AA339" s="461"/>
      <c r="AB339" s="461"/>
      <c r="AC339" s="461"/>
      <c r="AD339" s="461"/>
      <c r="AE339" s="461"/>
      <c r="AF339" s="461"/>
      <c r="AG339" s="461"/>
      <c r="AH339" s="461"/>
      <c r="AI339" s="461"/>
      <c r="AJ339" s="461"/>
      <c r="AK339" s="461"/>
      <c r="AL339" s="461"/>
      <c r="AM339" s="461"/>
      <c r="AN339" s="439"/>
    </row>
    <row r="340" spans="1:44" s="398"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39"/>
    </row>
    <row r="341" spans="1:44" s="398" customFormat="1" ht="12.75" customHeight="1">
      <c r="A341" s="388" t="s">
        <v>2315</v>
      </c>
      <c r="B341" s="388" t="s">
        <v>2316</v>
      </c>
      <c r="C341" s="385"/>
      <c r="AC341" s="388"/>
      <c r="AE341" s="2391" t="s">
        <v>2147</v>
      </c>
      <c r="AF341" s="2391"/>
      <c r="AG341" s="2391"/>
      <c r="AH341" s="2391"/>
      <c r="AI341" s="2391"/>
      <c r="AJ341" s="2391"/>
      <c r="AK341" s="2391"/>
      <c r="AL341" s="388"/>
      <c r="AM341" s="388"/>
      <c r="AN341" s="435"/>
    </row>
    <row r="342" spans="1:44" s="398" customFormat="1" ht="12.75" customHeight="1">
      <c r="A342" s="388"/>
      <c r="B342" s="388"/>
      <c r="C342" s="385"/>
      <c r="AC342" s="388"/>
      <c r="AE342" s="1200"/>
      <c r="AF342" s="1200"/>
      <c r="AG342" s="1200"/>
      <c r="AH342" s="1200"/>
      <c r="AI342" s="1200"/>
      <c r="AJ342" s="1200"/>
      <c r="AK342" s="1200"/>
      <c r="AL342" s="388"/>
      <c r="AM342" s="388"/>
      <c r="AN342" s="435"/>
    </row>
    <row r="343" spans="1:44" s="398" customFormat="1" ht="12.75" customHeight="1">
      <c r="A343" s="445"/>
      <c r="B343" s="452"/>
      <c r="C343" s="2367" t="s">
        <v>2317</v>
      </c>
      <c r="D343" s="2367"/>
      <c r="E343" s="2367"/>
      <c r="F343" s="2367"/>
      <c r="G343" s="2367"/>
      <c r="H343" s="2367"/>
      <c r="I343" s="2367"/>
      <c r="J343" s="2367"/>
      <c r="K343" s="2367"/>
      <c r="L343" s="2367"/>
      <c r="M343" s="2367"/>
      <c r="N343" s="2367"/>
      <c r="O343" s="2367"/>
      <c r="P343" s="2367"/>
      <c r="Q343" s="2367"/>
      <c r="R343" s="2367"/>
      <c r="S343" s="2367"/>
      <c r="T343" s="2367"/>
      <c r="U343" s="2367"/>
      <c r="V343" s="2367"/>
      <c r="W343" s="2367"/>
      <c r="X343" s="2367"/>
      <c r="Y343" s="2367"/>
      <c r="Z343" s="2367"/>
      <c r="AA343" s="2367"/>
      <c r="AB343" s="2367"/>
      <c r="AC343" s="2367"/>
      <c r="AD343" s="2367"/>
      <c r="AE343" s="2367"/>
      <c r="AF343" s="2367"/>
      <c r="AG343" s="2367"/>
      <c r="AH343" s="2367"/>
      <c r="AI343" s="2367"/>
      <c r="AJ343" s="2367"/>
      <c r="AK343" s="445"/>
      <c r="AL343" s="445"/>
      <c r="AM343" s="445"/>
      <c r="AN343" s="439"/>
    </row>
    <row r="344" spans="1:44" s="398" customFormat="1" ht="12.75" customHeight="1">
      <c r="A344" s="445"/>
      <c r="B344" s="452"/>
      <c r="C344" s="2367"/>
      <c r="D344" s="2367"/>
      <c r="E344" s="2367"/>
      <c r="F344" s="2367"/>
      <c r="G344" s="2367"/>
      <c r="H344" s="2367"/>
      <c r="I344" s="2367"/>
      <c r="J344" s="2367"/>
      <c r="K344" s="2367"/>
      <c r="L344" s="2367"/>
      <c r="M344" s="2367"/>
      <c r="N344" s="2367"/>
      <c r="O344" s="2367"/>
      <c r="P344" s="2367"/>
      <c r="Q344" s="2367"/>
      <c r="R344" s="2367"/>
      <c r="S344" s="2367"/>
      <c r="T344" s="2367"/>
      <c r="U344" s="2367"/>
      <c r="V344" s="2367"/>
      <c r="W344" s="2367"/>
      <c r="X344" s="2367"/>
      <c r="Y344" s="2367"/>
      <c r="Z344" s="2367"/>
      <c r="AA344" s="2367"/>
      <c r="AB344" s="2367"/>
      <c r="AC344" s="2367"/>
      <c r="AD344" s="2367"/>
      <c r="AE344" s="2367"/>
      <c r="AF344" s="2367"/>
      <c r="AG344" s="2367"/>
      <c r="AH344" s="2367"/>
      <c r="AI344" s="2367"/>
      <c r="AJ344" s="2367"/>
      <c r="AK344" s="445"/>
      <c r="AL344" s="445"/>
      <c r="AM344" s="445"/>
      <c r="AN344" s="439"/>
    </row>
    <row r="345" spans="1:44" s="398" customFormat="1" ht="12.75" customHeight="1">
      <c r="A345" s="445"/>
      <c r="B345" s="452"/>
      <c r="C345" s="2367"/>
      <c r="D345" s="2367"/>
      <c r="E345" s="2367"/>
      <c r="F345" s="2367"/>
      <c r="G345" s="2367"/>
      <c r="H345" s="2367"/>
      <c r="I345" s="2367"/>
      <c r="J345" s="2367"/>
      <c r="K345" s="2367"/>
      <c r="L345" s="2367"/>
      <c r="M345" s="2367"/>
      <c r="N345" s="2367"/>
      <c r="O345" s="2367"/>
      <c r="P345" s="2367"/>
      <c r="Q345" s="2367"/>
      <c r="R345" s="2367"/>
      <c r="S345" s="2367"/>
      <c r="T345" s="2367"/>
      <c r="U345" s="2367"/>
      <c r="V345" s="2367"/>
      <c r="W345" s="2367"/>
      <c r="X345" s="2367"/>
      <c r="Y345" s="2367"/>
      <c r="Z345" s="2367"/>
      <c r="AA345" s="2367"/>
      <c r="AB345" s="2367"/>
      <c r="AC345" s="2367"/>
      <c r="AD345" s="2367"/>
      <c r="AE345" s="2367"/>
      <c r="AF345" s="2367"/>
      <c r="AG345" s="2367"/>
      <c r="AH345" s="2367"/>
      <c r="AI345" s="2367"/>
      <c r="AJ345" s="2367"/>
      <c r="AK345" s="445"/>
      <c r="AL345" s="445"/>
      <c r="AM345" s="445"/>
      <c r="AN345" s="439"/>
      <c r="AQ345" s="416"/>
    </row>
    <row r="346" spans="1:44" s="398" customFormat="1" ht="12.75" customHeight="1">
      <c r="A346" s="445"/>
      <c r="B346" s="452"/>
      <c r="C346" s="2367"/>
      <c r="D346" s="2367"/>
      <c r="E346" s="2367"/>
      <c r="F346" s="2367"/>
      <c r="G346" s="2367"/>
      <c r="H346" s="2367"/>
      <c r="I346" s="2367"/>
      <c r="J346" s="2367"/>
      <c r="K346" s="2367"/>
      <c r="L346" s="2367"/>
      <c r="M346" s="2367"/>
      <c r="N346" s="2367"/>
      <c r="O346" s="2367"/>
      <c r="P346" s="2367"/>
      <c r="Q346" s="2367"/>
      <c r="R346" s="2367"/>
      <c r="S346" s="2367"/>
      <c r="T346" s="2367"/>
      <c r="U346" s="2367"/>
      <c r="V346" s="2367"/>
      <c r="W346" s="2367"/>
      <c r="X346" s="2367"/>
      <c r="Y346" s="2367"/>
      <c r="Z346" s="2367"/>
      <c r="AA346" s="2367"/>
      <c r="AB346" s="2367"/>
      <c r="AC346" s="2367"/>
      <c r="AD346" s="2367"/>
      <c r="AE346" s="2367"/>
      <c r="AF346" s="2367"/>
      <c r="AG346" s="2367"/>
      <c r="AH346" s="2367"/>
      <c r="AI346" s="2367"/>
      <c r="AJ346" s="2367"/>
      <c r="AK346" s="445"/>
      <c r="AL346" s="445"/>
      <c r="AM346" s="445"/>
      <c r="AN346" s="439"/>
      <c r="AQ346" s="416"/>
    </row>
    <row r="347" spans="1:44" s="398" customFormat="1" ht="12.45" customHeight="1">
      <c r="A347" s="445"/>
      <c r="B347" s="452"/>
      <c r="C347" s="2367"/>
      <c r="D347" s="2367"/>
      <c r="E347" s="2367"/>
      <c r="F347" s="2367"/>
      <c r="G347" s="2367"/>
      <c r="H347" s="2367"/>
      <c r="I347" s="2367"/>
      <c r="J347" s="2367"/>
      <c r="K347" s="2367"/>
      <c r="L347" s="2367"/>
      <c r="M347" s="2367"/>
      <c r="N347" s="2367"/>
      <c r="O347" s="2367"/>
      <c r="P347" s="2367"/>
      <c r="Q347" s="2367"/>
      <c r="R347" s="2367"/>
      <c r="S347" s="2367"/>
      <c r="T347" s="2367"/>
      <c r="U347" s="2367"/>
      <c r="V347" s="2367"/>
      <c r="W347" s="2367"/>
      <c r="X347" s="2367"/>
      <c r="Y347" s="2367"/>
      <c r="Z347" s="2367"/>
      <c r="AA347" s="2367"/>
      <c r="AB347" s="2367"/>
      <c r="AC347" s="2367"/>
      <c r="AD347" s="2367"/>
      <c r="AE347" s="2367"/>
      <c r="AF347" s="2367"/>
      <c r="AG347" s="2367"/>
      <c r="AH347" s="2367"/>
      <c r="AI347" s="2367"/>
      <c r="AJ347" s="2367"/>
      <c r="AK347" s="445"/>
      <c r="AL347" s="445"/>
      <c r="AM347" s="445"/>
      <c r="AN347" s="439"/>
      <c r="AQ347" s="416"/>
      <c r="AR347" s="416"/>
    </row>
    <row r="348" spans="1:44" s="398" customFormat="1" ht="45.75" customHeight="1">
      <c r="A348" s="445"/>
      <c r="B348" s="452"/>
      <c r="C348" s="2367" t="s">
        <v>2318</v>
      </c>
      <c r="D348" s="2367"/>
      <c r="E348" s="2367"/>
      <c r="F348" s="2367"/>
      <c r="G348" s="2367"/>
      <c r="H348" s="2367"/>
      <c r="I348" s="2367"/>
      <c r="J348" s="2367"/>
      <c r="K348" s="2367"/>
      <c r="L348" s="2367"/>
      <c r="M348" s="2367"/>
      <c r="N348" s="2367"/>
      <c r="O348" s="2367"/>
      <c r="P348" s="2367"/>
      <c r="Q348" s="2367"/>
      <c r="R348" s="2367"/>
      <c r="S348" s="2367"/>
      <c r="T348" s="2367"/>
      <c r="U348" s="2367"/>
      <c r="V348" s="2367"/>
      <c r="W348" s="2367"/>
      <c r="X348" s="2367"/>
      <c r="Y348" s="2367"/>
      <c r="Z348" s="2367"/>
      <c r="AA348" s="2367"/>
      <c r="AB348" s="2367"/>
      <c r="AC348" s="2367"/>
      <c r="AD348" s="2367"/>
      <c r="AE348" s="2367"/>
      <c r="AF348" s="2367"/>
      <c r="AG348" s="2367"/>
      <c r="AH348" s="2367"/>
      <c r="AI348" s="2367"/>
      <c r="AJ348" s="2367"/>
      <c r="AK348" s="445"/>
      <c r="AL348" s="445"/>
      <c r="AM348" s="445"/>
      <c r="AN348" s="439"/>
      <c r="AQ348" s="416"/>
      <c r="AR348" s="416"/>
    </row>
    <row r="349" spans="1:44" s="398" customFormat="1" ht="12.45" customHeight="1">
      <c r="A349" s="445"/>
      <c r="B349" s="452"/>
      <c r="C349" s="1196"/>
      <c r="D349" s="1196"/>
      <c r="E349" s="1196"/>
      <c r="F349" s="1196"/>
      <c r="G349" s="1196"/>
      <c r="H349" s="1196"/>
      <c r="I349" s="1196"/>
      <c r="J349" s="1196"/>
      <c r="K349" s="1196"/>
      <c r="L349" s="1196"/>
      <c r="M349" s="1196"/>
      <c r="N349" s="1196"/>
      <c r="O349" s="1196"/>
      <c r="P349" s="1196"/>
      <c r="Q349" s="1196"/>
      <c r="R349" s="1196"/>
      <c r="S349" s="1196"/>
      <c r="T349" s="1196"/>
      <c r="U349" s="1196"/>
      <c r="V349" s="1196"/>
      <c r="W349" s="1196"/>
      <c r="X349" s="1196"/>
      <c r="Y349" s="1196"/>
      <c r="Z349" s="1196"/>
      <c r="AA349" s="1196"/>
      <c r="AB349" s="1196"/>
      <c r="AC349" s="1196"/>
      <c r="AD349" s="1196"/>
      <c r="AE349" s="1196"/>
      <c r="AF349" s="1196"/>
      <c r="AG349" s="1196"/>
      <c r="AH349" s="1196"/>
      <c r="AI349" s="1196"/>
      <c r="AJ349" s="1196"/>
      <c r="AK349" s="445"/>
      <c r="AL349" s="445"/>
      <c r="AM349" s="445"/>
      <c r="AN349" s="439"/>
      <c r="AQ349" s="416"/>
      <c r="AR349" s="416"/>
    </row>
    <row r="350" spans="1:44" s="398" customFormat="1" ht="12.75" customHeight="1">
      <c r="A350" s="445"/>
      <c r="B350" s="452"/>
      <c r="C350" s="2367" t="s">
        <v>2319</v>
      </c>
      <c r="D350" s="2367"/>
      <c r="E350" s="2367"/>
      <c r="F350" s="2367"/>
      <c r="G350" s="2367"/>
      <c r="H350" s="2367"/>
      <c r="I350" s="2367"/>
      <c r="J350" s="2367"/>
      <c r="K350" s="2367"/>
      <c r="L350" s="2367"/>
      <c r="M350" s="2367"/>
      <c r="N350" s="2367"/>
      <c r="O350" s="2367"/>
      <c r="P350" s="2367"/>
      <c r="Q350" s="2367"/>
      <c r="R350" s="2367"/>
      <c r="S350" s="2367"/>
      <c r="T350" s="2367"/>
      <c r="U350" s="2367"/>
      <c r="V350" s="2367"/>
      <c r="W350" s="2367"/>
      <c r="X350" s="2367"/>
      <c r="Y350" s="2367"/>
      <c r="Z350" s="2367"/>
      <c r="AA350" s="2367"/>
      <c r="AB350" s="2367"/>
      <c r="AC350" s="2367"/>
      <c r="AD350" s="2367"/>
      <c r="AE350" s="2367"/>
      <c r="AF350" s="2367"/>
      <c r="AG350" s="2367"/>
      <c r="AH350" s="2367"/>
      <c r="AI350" s="2367"/>
      <c r="AJ350" s="2367"/>
      <c r="AK350" s="445"/>
      <c r="AL350" s="445"/>
      <c r="AM350" s="445"/>
      <c r="AN350" s="439"/>
      <c r="AQ350" s="416"/>
      <c r="AR350" s="416"/>
    </row>
    <row r="351" spans="1:44" s="398" customFormat="1" ht="30" customHeight="1">
      <c r="A351" s="445"/>
      <c r="B351" s="452"/>
      <c r="C351" s="2367"/>
      <c r="D351" s="2367"/>
      <c r="E351" s="2367"/>
      <c r="F351" s="2367"/>
      <c r="G351" s="2367"/>
      <c r="H351" s="2367"/>
      <c r="I351" s="2367"/>
      <c r="J351" s="2367"/>
      <c r="K351" s="2367"/>
      <c r="L351" s="2367"/>
      <c r="M351" s="2367"/>
      <c r="N351" s="2367"/>
      <c r="O351" s="2367"/>
      <c r="P351" s="2367"/>
      <c r="Q351" s="2367"/>
      <c r="R351" s="2367"/>
      <c r="S351" s="2367"/>
      <c r="T351" s="2367"/>
      <c r="U351" s="2367"/>
      <c r="V351" s="2367"/>
      <c r="W351" s="2367"/>
      <c r="X351" s="2367"/>
      <c r="Y351" s="2367"/>
      <c r="Z351" s="2367"/>
      <c r="AA351" s="2367"/>
      <c r="AB351" s="2367"/>
      <c r="AC351" s="2367"/>
      <c r="AD351" s="2367"/>
      <c r="AE351" s="2367"/>
      <c r="AF351" s="2367"/>
      <c r="AG351" s="2367"/>
      <c r="AH351" s="2367"/>
      <c r="AI351" s="2367"/>
      <c r="AJ351" s="2367"/>
      <c r="AK351" s="445"/>
      <c r="AL351" s="445"/>
      <c r="AM351" s="445"/>
      <c r="AN351" s="439"/>
      <c r="AR351" s="416"/>
    </row>
    <row r="352" spans="1:44" s="398" customFormat="1" ht="12.75" customHeight="1">
      <c r="A352" s="445"/>
      <c r="B352" s="452"/>
      <c r="C352" s="2367"/>
      <c r="D352" s="2367"/>
      <c r="E352" s="2367"/>
      <c r="F352" s="2367"/>
      <c r="G352" s="2367"/>
      <c r="H352" s="2367"/>
      <c r="I352" s="2367"/>
      <c r="J352" s="2367"/>
      <c r="K352" s="2367"/>
      <c r="L352" s="2367"/>
      <c r="M352" s="2367"/>
      <c r="N352" s="2367"/>
      <c r="O352" s="2367"/>
      <c r="P352" s="2367"/>
      <c r="Q352" s="2367"/>
      <c r="R352" s="2367"/>
      <c r="S352" s="2367"/>
      <c r="T352" s="2367"/>
      <c r="U352" s="2367"/>
      <c r="V352" s="2367"/>
      <c r="W352" s="2367"/>
      <c r="X352" s="2367"/>
      <c r="Y352" s="2367"/>
      <c r="Z352" s="2367"/>
      <c r="AA352" s="2367"/>
      <c r="AB352" s="2367"/>
      <c r="AC352" s="2367"/>
      <c r="AD352" s="2367"/>
      <c r="AE352" s="2367"/>
      <c r="AF352" s="2367"/>
      <c r="AG352" s="2367"/>
      <c r="AH352" s="2367"/>
      <c r="AI352" s="2367"/>
      <c r="AJ352" s="2367"/>
      <c r="AK352" s="445"/>
      <c r="AL352" s="445"/>
      <c r="AM352" s="445"/>
      <c r="AN352" s="439"/>
      <c r="AR352" s="416"/>
    </row>
    <row r="353" spans="1:46" s="398" customFormat="1" ht="12.75" customHeight="1">
      <c r="A353" s="445"/>
      <c r="B353" s="452"/>
      <c r="C353" s="2367" t="s">
        <v>2320</v>
      </c>
      <c r="D353" s="2367"/>
      <c r="E353" s="2367"/>
      <c r="F353" s="2367"/>
      <c r="G353" s="2367"/>
      <c r="H353" s="2367"/>
      <c r="I353" s="2367"/>
      <c r="J353" s="2367"/>
      <c r="K353" s="2367"/>
      <c r="L353" s="2367"/>
      <c r="M353" s="2367"/>
      <c r="N353" s="2367"/>
      <c r="O353" s="2367"/>
      <c r="P353" s="2367"/>
      <c r="Q353" s="2367"/>
      <c r="R353" s="2367"/>
      <c r="S353" s="2367"/>
      <c r="T353" s="2367"/>
      <c r="U353" s="2367"/>
      <c r="V353" s="2367"/>
      <c r="W353" s="2367"/>
      <c r="X353" s="2367"/>
      <c r="Y353" s="2367"/>
      <c r="Z353" s="2367"/>
      <c r="AA353" s="2367"/>
      <c r="AB353" s="2367"/>
      <c r="AC353" s="2367"/>
      <c r="AD353" s="2367"/>
      <c r="AE353" s="2367"/>
      <c r="AF353" s="2367"/>
      <c r="AG353" s="2367"/>
      <c r="AH353" s="2367"/>
      <c r="AI353" s="2367"/>
      <c r="AJ353" s="2367"/>
      <c r="AK353" s="445"/>
      <c r="AL353" s="445"/>
      <c r="AM353" s="445"/>
      <c r="AN353" s="439"/>
      <c r="AQ353" s="416"/>
      <c r="AR353" s="416"/>
    </row>
    <row r="354" spans="1:46" s="398" customFormat="1" ht="12.75" customHeight="1">
      <c r="A354" s="445"/>
      <c r="B354" s="452"/>
      <c r="C354" s="2367"/>
      <c r="D354" s="2367"/>
      <c r="E354" s="2367"/>
      <c r="F354" s="2367"/>
      <c r="G354" s="2367"/>
      <c r="H354" s="2367"/>
      <c r="I354" s="2367"/>
      <c r="J354" s="2367"/>
      <c r="K354" s="2367"/>
      <c r="L354" s="2367"/>
      <c r="M354" s="2367"/>
      <c r="N354" s="2367"/>
      <c r="O354" s="2367"/>
      <c r="P354" s="2367"/>
      <c r="Q354" s="2367"/>
      <c r="R354" s="2367"/>
      <c r="S354" s="2367"/>
      <c r="T354" s="2367"/>
      <c r="U354" s="2367"/>
      <c r="V354" s="2367"/>
      <c r="W354" s="2367"/>
      <c r="X354" s="2367"/>
      <c r="Y354" s="2367"/>
      <c r="Z354" s="2367"/>
      <c r="AA354" s="2367"/>
      <c r="AB354" s="2367"/>
      <c r="AC354" s="2367"/>
      <c r="AD354" s="2367"/>
      <c r="AE354" s="2367"/>
      <c r="AF354" s="2367"/>
      <c r="AG354" s="2367"/>
      <c r="AH354" s="2367"/>
      <c r="AI354" s="2367"/>
      <c r="AJ354" s="2367"/>
      <c r="AK354" s="445"/>
      <c r="AL354" s="445"/>
      <c r="AM354" s="445"/>
      <c r="AN354" s="439"/>
      <c r="AQ354" s="416"/>
      <c r="AR354" s="416"/>
    </row>
    <row r="355" spans="1:46" s="398" customFormat="1" ht="13.2" customHeight="1">
      <c r="A355" s="445"/>
      <c r="B355" s="452"/>
      <c r="C355" s="2367"/>
      <c r="D355" s="2367"/>
      <c r="E355" s="2367"/>
      <c r="F355" s="2367"/>
      <c r="G355" s="2367"/>
      <c r="H355" s="2367"/>
      <c r="I355" s="2367"/>
      <c r="J355" s="2367"/>
      <c r="K355" s="2367"/>
      <c r="L355" s="2367"/>
      <c r="M355" s="2367"/>
      <c r="N355" s="2367"/>
      <c r="O355" s="2367"/>
      <c r="P355" s="2367"/>
      <c r="Q355" s="2367"/>
      <c r="R355" s="2367"/>
      <c r="S355" s="2367"/>
      <c r="T355" s="2367"/>
      <c r="U355" s="2367"/>
      <c r="V355" s="2367"/>
      <c r="W355" s="2367"/>
      <c r="X355" s="2367"/>
      <c r="Y355" s="2367"/>
      <c r="Z355" s="2367"/>
      <c r="AA355" s="2367"/>
      <c r="AB355" s="2367"/>
      <c r="AC355" s="2367"/>
      <c r="AD355" s="2367"/>
      <c r="AE355" s="2367"/>
      <c r="AF355" s="2367"/>
      <c r="AG355" s="2367"/>
      <c r="AH355" s="2367"/>
      <c r="AI355" s="2367"/>
      <c r="AJ355" s="2367"/>
      <c r="AK355" s="445"/>
      <c r="AL355" s="445"/>
      <c r="AM355" s="445"/>
      <c r="AN355" s="439"/>
      <c r="AQ355" s="416"/>
      <c r="AR355" s="416"/>
    </row>
    <row r="356" spans="1:46" s="398" customFormat="1" ht="12.75" customHeight="1">
      <c r="A356" s="445"/>
      <c r="B356" s="452"/>
      <c r="C356" s="2367"/>
      <c r="D356" s="2367"/>
      <c r="E356" s="2367"/>
      <c r="F356" s="2367"/>
      <c r="G356" s="2367"/>
      <c r="H356" s="2367"/>
      <c r="I356" s="2367"/>
      <c r="J356" s="2367"/>
      <c r="K356" s="2367"/>
      <c r="L356" s="2367"/>
      <c r="M356" s="2367"/>
      <c r="N356" s="2367"/>
      <c r="O356" s="2367"/>
      <c r="P356" s="2367"/>
      <c r="Q356" s="2367"/>
      <c r="R356" s="2367"/>
      <c r="S356" s="2367"/>
      <c r="T356" s="2367"/>
      <c r="U356" s="2367"/>
      <c r="V356" s="2367"/>
      <c r="W356" s="2367"/>
      <c r="X356" s="2367"/>
      <c r="Y356" s="2367"/>
      <c r="Z356" s="2367"/>
      <c r="AA356" s="2367"/>
      <c r="AB356" s="2367"/>
      <c r="AC356" s="2367"/>
      <c r="AD356" s="2367"/>
      <c r="AE356" s="2367"/>
      <c r="AF356" s="2367"/>
      <c r="AG356" s="2367"/>
      <c r="AH356" s="2367"/>
      <c r="AI356" s="2367"/>
      <c r="AJ356" s="2367"/>
      <c r="AK356" s="445"/>
      <c r="AL356" s="445"/>
      <c r="AM356" s="445"/>
      <c r="AN356" s="439"/>
      <c r="AO356" s="529"/>
      <c r="AP356" s="529"/>
      <c r="AQ356" s="416"/>
    </row>
    <row r="357" spans="1:46" s="398" customFormat="1" ht="11.85" customHeight="1">
      <c r="A357" s="445"/>
      <c r="B357" s="452"/>
      <c r="C357" s="2367"/>
      <c r="D357" s="2367"/>
      <c r="E357" s="2367"/>
      <c r="F357" s="2367"/>
      <c r="G357" s="2367"/>
      <c r="H357" s="2367"/>
      <c r="I357" s="2367"/>
      <c r="J357" s="2367"/>
      <c r="K357" s="2367"/>
      <c r="L357" s="2367"/>
      <c r="M357" s="2367"/>
      <c r="N357" s="2367"/>
      <c r="O357" s="2367"/>
      <c r="P357" s="2367"/>
      <c r="Q357" s="2367"/>
      <c r="R357" s="2367"/>
      <c r="S357" s="2367"/>
      <c r="T357" s="2367"/>
      <c r="U357" s="2367"/>
      <c r="V357" s="2367"/>
      <c r="W357" s="2367"/>
      <c r="X357" s="2367"/>
      <c r="Y357" s="2367"/>
      <c r="Z357" s="2367"/>
      <c r="AA357" s="2367"/>
      <c r="AB357" s="2367"/>
      <c r="AC357" s="2367"/>
      <c r="AD357" s="2367"/>
      <c r="AE357" s="2367"/>
      <c r="AF357" s="2367"/>
      <c r="AG357" s="2367"/>
      <c r="AH357" s="2367"/>
      <c r="AI357" s="2367"/>
      <c r="AJ357" s="2367"/>
      <c r="AK357" s="445"/>
      <c r="AL357" s="445"/>
      <c r="AM357" s="445"/>
      <c r="AN357" s="439"/>
      <c r="AO357" s="530" t="s">
        <v>18</v>
      </c>
      <c r="AP357" s="531">
        <f>IF(C381="Yes",5,0)</f>
        <v>0</v>
      </c>
      <c r="AS357" s="388" t="s">
        <v>2321</v>
      </c>
    </row>
    <row r="358" spans="1:46" s="398" customFormat="1" ht="12.75" customHeight="1">
      <c r="A358" s="445"/>
      <c r="B358" s="452"/>
      <c r="C358" s="2367"/>
      <c r="D358" s="2367"/>
      <c r="E358" s="2367"/>
      <c r="F358" s="2367"/>
      <c r="G358" s="2367"/>
      <c r="H358" s="2367"/>
      <c r="I358" s="2367"/>
      <c r="J358" s="2367"/>
      <c r="K358" s="2367"/>
      <c r="L358" s="2367"/>
      <c r="M358" s="2367"/>
      <c r="N358" s="2367"/>
      <c r="O358" s="2367"/>
      <c r="P358" s="2367"/>
      <c r="Q358" s="2367"/>
      <c r="R358" s="2367"/>
      <c r="S358" s="2367"/>
      <c r="T358" s="2367"/>
      <c r="U358" s="2367"/>
      <c r="V358" s="2367"/>
      <c r="W358" s="2367"/>
      <c r="X358" s="2367"/>
      <c r="Y358" s="2367"/>
      <c r="Z358" s="2367"/>
      <c r="AA358" s="2367"/>
      <c r="AB358" s="2367"/>
      <c r="AC358" s="2367"/>
      <c r="AD358" s="2367"/>
      <c r="AE358" s="2367"/>
      <c r="AF358" s="2367"/>
      <c r="AG358" s="2367"/>
      <c r="AH358" s="2367"/>
      <c r="AI358" s="2367"/>
      <c r="AJ358" s="2367"/>
      <c r="AK358" s="445"/>
      <c r="AL358" s="445"/>
      <c r="AM358" s="445"/>
      <c r="AN358" s="439"/>
      <c r="AO358" s="530" t="s">
        <v>31</v>
      </c>
      <c r="AP358" s="531">
        <f>IF(C389="Yes",5,0)</f>
        <v>0</v>
      </c>
      <c r="AS358" s="2333">
        <f>IF(Application!D211="Non-Targeted",(SUM(AQ366+AQ375)),AS362)</f>
        <v>10</v>
      </c>
      <c r="AT358" s="2333"/>
    </row>
    <row r="359" spans="1:46" s="398" customFormat="1" ht="12.75" customHeight="1">
      <c r="A359" s="445"/>
      <c r="B359" s="452"/>
      <c r="C359" s="2367"/>
      <c r="D359" s="2367"/>
      <c r="E359" s="2367"/>
      <c r="F359" s="2367"/>
      <c r="G359" s="2367"/>
      <c r="H359" s="2367"/>
      <c r="I359" s="2367"/>
      <c r="J359" s="2367"/>
      <c r="K359" s="2367"/>
      <c r="L359" s="2367"/>
      <c r="M359" s="2367"/>
      <c r="N359" s="2367"/>
      <c r="O359" s="2367"/>
      <c r="P359" s="2367"/>
      <c r="Q359" s="2367"/>
      <c r="R359" s="2367"/>
      <c r="S359" s="2367"/>
      <c r="T359" s="2367"/>
      <c r="U359" s="2367"/>
      <c r="V359" s="2367"/>
      <c r="W359" s="2367"/>
      <c r="X359" s="2367"/>
      <c r="Y359" s="2367"/>
      <c r="Z359" s="2367"/>
      <c r="AA359" s="2367"/>
      <c r="AB359" s="2367"/>
      <c r="AC359" s="2367"/>
      <c r="AD359" s="2367"/>
      <c r="AE359" s="2367"/>
      <c r="AF359" s="2367"/>
      <c r="AG359" s="2367"/>
      <c r="AH359" s="2367"/>
      <c r="AI359" s="2367"/>
      <c r="AJ359" s="2367"/>
      <c r="AK359" s="445"/>
      <c r="AL359" s="445"/>
      <c r="AM359" s="445"/>
      <c r="AN359" s="439"/>
      <c r="AO359" s="530" t="s">
        <v>39</v>
      </c>
      <c r="AP359" s="531">
        <f>IF(C397="Yes",7,0)</f>
        <v>7</v>
      </c>
      <c r="AS359" s="388" t="s">
        <v>2322</v>
      </c>
    </row>
    <row r="360" spans="1:46" s="398" customFormat="1" ht="12.75" customHeight="1">
      <c r="A360" s="445"/>
      <c r="B360" s="452"/>
      <c r="C360" s="2367"/>
      <c r="D360" s="2367"/>
      <c r="E360" s="2367"/>
      <c r="F360" s="2367"/>
      <c r="G360" s="2367"/>
      <c r="H360" s="2367"/>
      <c r="I360" s="2367"/>
      <c r="J360" s="2367"/>
      <c r="K360" s="2367"/>
      <c r="L360" s="2367"/>
      <c r="M360" s="2367"/>
      <c r="N360" s="2367"/>
      <c r="O360" s="2367"/>
      <c r="P360" s="2367"/>
      <c r="Q360" s="2367"/>
      <c r="R360" s="2367"/>
      <c r="S360" s="2367"/>
      <c r="T360" s="2367"/>
      <c r="U360" s="2367"/>
      <c r="V360" s="2367"/>
      <c r="W360" s="2367"/>
      <c r="X360" s="2367"/>
      <c r="Y360" s="2367"/>
      <c r="Z360" s="2367"/>
      <c r="AA360" s="2367"/>
      <c r="AB360" s="2367"/>
      <c r="AC360" s="2367"/>
      <c r="AD360" s="2367"/>
      <c r="AE360" s="2367"/>
      <c r="AF360" s="2367"/>
      <c r="AG360" s="2367"/>
      <c r="AH360" s="2367"/>
      <c r="AI360" s="2367"/>
      <c r="AJ360" s="2367"/>
      <c r="AK360" s="445"/>
      <c r="AL360" s="445"/>
      <c r="AM360" s="445"/>
      <c r="AN360" s="439"/>
      <c r="AO360" s="439"/>
      <c r="AP360" s="531">
        <f>IF(C399="Yes",5,0)</f>
        <v>0</v>
      </c>
      <c r="AS360" s="2333">
        <f>IF(AND(AQ366&gt;0,AQ375&gt;0),(AQ366+AQ375)/2,0)</f>
        <v>0</v>
      </c>
      <c r="AT360" s="2333"/>
    </row>
    <row r="361" spans="1:46" s="398" customFormat="1" ht="12.75" customHeight="1">
      <c r="A361" s="445"/>
      <c r="B361" s="452"/>
      <c r="C361" s="2367"/>
      <c r="D361" s="2367"/>
      <c r="E361" s="2367"/>
      <c r="F361" s="2367"/>
      <c r="G361" s="2367"/>
      <c r="H361" s="2367"/>
      <c r="I361" s="2367"/>
      <c r="J361" s="2367"/>
      <c r="K361" s="2367"/>
      <c r="L361" s="2367"/>
      <c r="M361" s="2367"/>
      <c r="N361" s="2367"/>
      <c r="O361" s="2367"/>
      <c r="P361" s="2367"/>
      <c r="Q361" s="2367"/>
      <c r="R361" s="2367"/>
      <c r="S361" s="2367"/>
      <c r="T361" s="2367"/>
      <c r="U361" s="2367"/>
      <c r="V361" s="2367"/>
      <c r="W361" s="2367"/>
      <c r="X361" s="2367"/>
      <c r="Y361" s="2367"/>
      <c r="Z361" s="2367"/>
      <c r="AA361" s="2367"/>
      <c r="AB361" s="2367"/>
      <c r="AC361" s="2367"/>
      <c r="AD361" s="2367"/>
      <c r="AE361" s="2367"/>
      <c r="AF361" s="2367"/>
      <c r="AG361" s="2367"/>
      <c r="AH361" s="2367"/>
      <c r="AI361" s="2367"/>
      <c r="AJ361" s="2367"/>
      <c r="AK361" s="445"/>
      <c r="AL361" s="445"/>
      <c r="AM361" s="445"/>
      <c r="AN361" s="439"/>
      <c r="AO361" s="530" t="s">
        <v>82</v>
      </c>
      <c r="AP361" s="531">
        <f>IF(C407="Yes",5,0)</f>
        <v>0</v>
      </c>
      <c r="AS361" s="388" t="s">
        <v>2323</v>
      </c>
    </row>
    <row r="362" spans="1:46" s="398" customFormat="1" ht="12.75" customHeight="1">
      <c r="A362" s="445"/>
      <c r="B362" s="452"/>
      <c r="C362" s="2461" t="s">
        <v>2324</v>
      </c>
      <c r="D362" s="2461"/>
      <c r="E362" s="2461"/>
      <c r="F362" s="2461"/>
      <c r="G362" s="2461"/>
      <c r="H362" s="2461"/>
      <c r="I362" s="2461"/>
      <c r="J362" s="2461"/>
      <c r="K362" s="2461"/>
      <c r="L362" s="2461"/>
      <c r="M362" s="2461"/>
      <c r="N362" s="2461"/>
      <c r="O362" s="2461"/>
      <c r="P362" s="2461"/>
      <c r="Q362" s="2461"/>
      <c r="R362" s="2461"/>
      <c r="S362" s="2461"/>
      <c r="T362" s="2461"/>
      <c r="U362" s="2461"/>
      <c r="V362" s="2461"/>
      <c r="W362" s="2461"/>
      <c r="X362" s="2461"/>
      <c r="Y362" s="2461"/>
      <c r="Z362" s="2461"/>
      <c r="AA362" s="2461"/>
      <c r="AB362" s="2461"/>
      <c r="AC362" s="2461"/>
      <c r="AD362" s="2461"/>
      <c r="AE362" s="2461"/>
      <c r="AF362" s="2461"/>
      <c r="AG362" s="2461"/>
      <c r="AH362" s="2461"/>
      <c r="AI362" s="2461"/>
      <c r="AJ362" s="2461"/>
      <c r="AK362" s="445"/>
      <c r="AL362" s="445"/>
      <c r="AM362" s="445"/>
      <c r="AN362" s="439"/>
      <c r="AO362" s="439"/>
      <c r="AP362" s="531">
        <f>IF(C409="Yes",3,0)</f>
        <v>3</v>
      </c>
      <c r="AS362" s="2333">
        <f>IF(AQ366=0,AQ375,AQ366)</f>
        <v>10</v>
      </c>
      <c r="AT362" s="2333"/>
    </row>
    <row r="363" spans="1:46" s="398" customFormat="1" ht="12.75" customHeight="1">
      <c r="A363" s="445"/>
      <c r="B363" s="452"/>
      <c r="C363" s="2461"/>
      <c r="D363" s="2461"/>
      <c r="E363" s="2461"/>
      <c r="F363" s="2461"/>
      <c r="G363" s="2461"/>
      <c r="H363" s="2461"/>
      <c r="I363" s="2461"/>
      <c r="J363" s="2461"/>
      <c r="K363" s="2461"/>
      <c r="L363" s="2461"/>
      <c r="M363" s="2461"/>
      <c r="N363" s="2461"/>
      <c r="O363" s="2461"/>
      <c r="P363" s="2461"/>
      <c r="Q363" s="2461"/>
      <c r="R363" s="2461"/>
      <c r="S363" s="2461"/>
      <c r="T363" s="2461"/>
      <c r="U363" s="2461"/>
      <c r="V363" s="2461"/>
      <c r="W363" s="2461"/>
      <c r="X363" s="2461"/>
      <c r="Y363" s="2461"/>
      <c r="Z363" s="2461"/>
      <c r="AA363" s="2461"/>
      <c r="AB363" s="2461"/>
      <c r="AC363" s="2461"/>
      <c r="AD363" s="2461"/>
      <c r="AE363" s="2461"/>
      <c r="AF363" s="2461"/>
      <c r="AG363" s="2461"/>
      <c r="AH363" s="2461"/>
      <c r="AI363" s="2461"/>
      <c r="AJ363" s="2461"/>
      <c r="AK363" s="445"/>
      <c r="AL363" s="445"/>
      <c r="AM363" s="445"/>
      <c r="AN363" s="439"/>
      <c r="AO363" s="530" t="s">
        <v>86</v>
      </c>
      <c r="AP363" s="531">
        <f>IF(C412="Yes",5,0)</f>
        <v>0</v>
      </c>
    </row>
    <row r="364" spans="1:46" s="398" customFormat="1" ht="12.75" customHeight="1">
      <c r="A364" s="445"/>
      <c r="B364" s="452"/>
      <c r="C364" s="2461"/>
      <c r="D364" s="2461"/>
      <c r="E364" s="2461"/>
      <c r="F364" s="2461"/>
      <c r="G364" s="2461"/>
      <c r="H364" s="2461"/>
      <c r="I364" s="2461"/>
      <c r="J364" s="2461"/>
      <c r="K364" s="2461"/>
      <c r="L364" s="2461"/>
      <c r="M364" s="2461"/>
      <c r="N364" s="2461"/>
      <c r="O364" s="2461"/>
      <c r="P364" s="2461"/>
      <c r="Q364" s="2461"/>
      <c r="R364" s="2461"/>
      <c r="S364" s="2461"/>
      <c r="T364" s="2461"/>
      <c r="U364" s="2461"/>
      <c r="V364" s="2461"/>
      <c r="W364" s="2461"/>
      <c r="X364" s="2461"/>
      <c r="Y364" s="2461"/>
      <c r="Z364" s="2461"/>
      <c r="AA364" s="2461"/>
      <c r="AB364" s="2461"/>
      <c r="AC364" s="2461"/>
      <c r="AD364" s="2461"/>
      <c r="AE364" s="2461"/>
      <c r="AF364" s="2461"/>
      <c r="AG364" s="2461"/>
      <c r="AH364" s="2461"/>
      <c r="AI364" s="2461"/>
      <c r="AJ364" s="2461"/>
      <c r="AK364" s="445"/>
      <c r="AL364" s="445"/>
      <c r="AM364" s="445"/>
      <c r="AN364" s="439"/>
      <c r="AO364" s="530" t="s">
        <v>1399</v>
      </c>
      <c r="AP364" s="531">
        <f>IF(C421="Yes",5,0)</f>
        <v>0</v>
      </c>
    </row>
    <row r="365" spans="1:46" s="398" customFormat="1" ht="11.85" customHeight="1">
      <c r="A365" s="445"/>
      <c r="B365" s="452"/>
      <c r="C365" s="2461"/>
      <c r="D365" s="2461"/>
      <c r="E365" s="2461"/>
      <c r="F365" s="2461"/>
      <c r="G365" s="2461"/>
      <c r="H365" s="2461"/>
      <c r="I365" s="2461"/>
      <c r="J365" s="2461"/>
      <c r="K365" s="2461"/>
      <c r="L365" s="2461"/>
      <c r="M365" s="2461"/>
      <c r="N365" s="2461"/>
      <c r="O365" s="2461"/>
      <c r="P365" s="2461"/>
      <c r="Q365" s="2461"/>
      <c r="R365" s="2461"/>
      <c r="S365" s="2461"/>
      <c r="T365" s="2461"/>
      <c r="U365" s="2461"/>
      <c r="V365" s="2461"/>
      <c r="W365" s="2461"/>
      <c r="X365" s="2461"/>
      <c r="Y365" s="2461"/>
      <c r="Z365" s="2461"/>
      <c r="AA365" s="2461"/>
      <c r="AB365" s="2461"/>
      <c r="AC365" s="2461"/>
      <c r="AD365" s="2461"/>
      <c r="AE365" s="2461"/>
      <c r="AF365" s="2461"/>
      <c r="AG365" s="2461"/>
      <c r="AH365" s="2461"/>
      <c r="AI365" s="2461"/>
      <c r="AJ365" s="2461"/>
      <c r="AK365" s="445"/>
      <c r="AL365" s="445"/>
      <c r="AM365" s="445"/>
      <c r="AN365" s="439"/>
      <c r="AO365" s="532"/>
      <c r="AP365" s="533">
        <f>IF(C423="Yes",3,0)</f>
        <v>0</v>
      </c>
    </row>
    <row r="366" spans="1:46" s="398" customFormat="1" ht="12.45" customHeight="1">
      <c r="A366" s="445"/>
      <c r="B366" s="452"/>
      <c r="C366" s="2461"/>
      <c r="D366" s="2461"/>
      <c r="E366" s="2461"/>
      <c r="F366" s="2461"/>
      <c r="G366" s="2461"/>
      <c r="H366" s="2461"/>
      <c r="I366" s="2461"/>
      <c r="J366" s="2461"/>
      <c r="K366" s="2461"/>
      <c r="L366" s="2461"/>
      <c r="M366" s="2461"/>
      <c r="N366" s="2461"/>
      <c r="O366" s="2461"/>
      <c r="P366" s="2461"/>
      <c r="Q366" s="2461"/>
      <c r="R366" s="2461"/>
      <c r="S366" s="2461"/>
      <c r="T366" s="2461"/>
      <c r="U366" s="2461"/>
      <c r="V366" s="2461"/>
      <c r="W366" s="2461"/>
      <c r="X366" s="2461"/>
      <c r="Y366" s="2461"/>
      <c r="Z366" s="2461"/>
      <c r="AA366" s="2461"/>
      <c r="AB366" s="2461"/>
      <c r="AC366" s="2461"/>
      <c r="AD366" s="2461"/>
      <c r="AE366" s="2461"/>
      <c r="AF366" s="2461"/>
      <c r="AG366" s="2461"/>
      <c r="AH366" s="2461"/>
      <c r="AI366" s="2461"/>
      <c r="AJ366" s="2461"/>
      <c r="AK366" s="445"/>
      <c r="AL366" s="445"/>
      <c r="AM366" s="445"/>
      <c r="AN366" s="439"/>
      <c r="AO366" s="534" t="s">
        <v>2325</v>
      </c>
      <c r="AP366" s="535">
        <f>SUM(AP357:AP365)</f>
        <v>10</v>
      </c>
      <c r="AQ366" s="2370">
        <f>IF(AP366&gt;0,AP366,0)</f>
        <v>10</v>
      </c>
      <c r="AR366" s="2370"/>
    </row>
    <row r="367" spans="1:46" s="398" customFormat="1" ht="12.75" customHeight="1">
      <c r="A367" s="445"/>
      <c r="B367" s="452"/>
      <c r="C367" s="2461"/>
      <c r="D367" s="2461"/>
      <c r="E367" s="2461"/>
      <c r="F367" s="2461"/>
      <c r="G367" s="2461"/>
      <c r="H367" s="2461"/>
      <c r="I367" s="2461"/>
      <c r="J367" s="2461"/>
      <c r="K367" s="2461"/>
      <c r="L367" s="2461"/>
      <c r="M367" s="2461"/>
      <c r="N367" s="2461"/>
      <c r="O367" s="2461"/>
      <c r="P367" s="2461"/>
      <c r="Q367" s="2461"/>
      <c r="R367" s="2461"/>
      <c r="S367" s="2461"/>
      <c r="T367" s="2461"/>
      <c r="U367" s="2461"/>
      <c r="V367" s="2461"/>
      <c r="W367" s="2461"/>
      <c r="X367" s="2461"/>
      <c r="Y367" s="2461"/>
      <c r="Z367" s="2461"/>
      <c r="AA367" s="2461"/>
      <c r="AB367" s="2461"/>
      <c r="AC367" s="2461"/>
      <c r="AD367" s="2461"/>
      <c r="AE367" s="2461"/>
      <c r="AF367" s="2461"/>
      <c r="AG367" s="2461"/>
      <c r="AH367" s="2461"/>
      <c r="AI367" s="2461"/>
      <c r="AJ367" s="2461"/>
      <c r="AK367" s="445"/>
      <c r="AL367" s="445"/>
      <c r="AM367" s="445"/>
      <c r="AN367" s="439"/>
      <c r="AP367" s="416"/>
    </row>
    <row r="368" spans="1:46" s="398" customFormat="1" ht="12.75" customHeight="1">
      <c r="A368" s="445"/>
      <c r="B368" s="452"/>
      <c r="C368" s="528"/>
      <c r="D368" s="528"/>
      <c r="E368" s="528"/>
      <c r="F368" s="528"/>
      <c r="G368" s="528"/>
      <c r="H368" s="528"/>
      <c r="I368" s="528"/>
      <c r="J368" s="528"/>
      <c r="K368" s="528"/>
      <c r="L368" s="528"/>
      <c r="M368" s="528"/>
      <c r="N368" s="528"/>
      <c r="O368" s="528"/>
      <c r="P368" s="528"/>
      <c r="Q368" s="528"/>
      <c r="R368" s="528"/>
      <c r="S368" s="528"/>
      <c r="T368" s="528"/>
      <c r="U368" s="528"/>
      <c r="V368" s="528"/>
      <c r="W368" s="528"/>
      <c r="X368" s="528"/>
      <c r="Y368" s="528"/>
      <c r="Z368" s="528"/>
      <c r="AA368" s="528"/>
      <c r="AB368" s="528"/>
      <c r="AC368" s="528"/>
      <c r="AD368" s="528"/>
      <c r="AE368" s="528"/>
      <c r="AF368" s="528"/>
      <c r="AG368" s="528"/>
      <c r="AH368" s="528"/>
      <c r="AI368" s="528"/>
      <c r="AJ368" s="528"/>
      <c r="AK368" s="445"/>
      <c r="AL368" s="445"/>
      <c r="AM368" s="445"/>
      <c r="AN368" s="439"/>
      <c r="AO368" s="530" t="s">
        <v>1400</v>
      </c>
      <c r="AP368" s="531">
        <f>IF(C430="Yes",5,0)</f>
        <v>0</v>
      </c>
    </row>
    <row r="369" spans="1:81" s="398" customFormat="1" ht="12.75" customHeight="1">
      <c r="A369" s="445"/>
      <c r="B369" s="452"/>
      <c r="C369" s="2367" t="s">
        <v>2326</v>
      </c>
      <c r="D369" s="2367"/>
      <c r="E369" s="2367"/>
      <c r="F369" s="2367"/>
      <c r="G369" s="2367"/>
      <c r="H369" s="2367"/>
      <c r="I369" s="2367"/>
      <c r="J369" s="2367"/>
      <c r="K369" s="2367"/>
      <c r="L369" s="2367"/>
      <c r="M369" s="2367"/>
      <c r="N369" s="2367"/>
      <c r="O369" s="2367"/>
      <c r="P369" s="2367"/>
      <c r="Q369" s="2367"/>
      <c r="R369" s="2367"/>
      <c r="S369" s="2367"/>
      <c r="T369" s="2367"/>
      <c r="U369" s="2367"/>
      <c r="V369" s="2367"/>
      <c r="W369" s="2367"/>
      <c r="X369" s="2367"/>
      <c r="Y369" s="2367"/>
      <c r="Z369" s="2367"/>
      <c r="AA369" s="2367"/>
      <c r="AB369" s="2367"/>
      <c r="AC369" s="2367"/>
      <c r="AD369" s="2367"/>
      <c r="AE369" s="2367"/>
      <c r="AF369" s="2367"/>
      <c r="AG369" s="2367"/>
      <c r="AH369" s="2367"/>
      <c r="AI369" s="2367"/>
      <c r="AJ369" s="2367"/>
      <c r="AK369" s="445"/>
      <c r="AL369" s="445"/>
      <c r="AM369" s="445"/>
      <c r="AN369" s="439"/>
      <c r="AO369" s="530" t="s">
        <v>1402</v>
      </c>
      <c r="AP369" s="531">
        <f>IF(C442="Yes",5,0)</f>
        <v>0</v>
      </c>
    </row>
    <row r="370" spans="1:81" s="398" customFormat="1" ht="12.75" customHeight="1">
      <c r="A370" s="445"/>
      <c r="B370" s="452"/>
      <c r="C370" s="2367"/>
      <c r="D370" s="2367"/>
      <c r="E370" s="2367"/>
      <c r="F370" s="2367"/>
      <c r="G370" s="2367"/>
      <c r="H370" s="2367"/>
      <c r="I370" s="2367"/>
      <c r="J370" s="2367"/>
      <c r="K370" s="2367"/>
      <c r="L370" s="2367"/>
      <c r="M370" s="2367"/>
      <c r="N370" s="2367"/>
      <c r="O370" s="2367"/>
      <c r="P370" s="2367"/>
      <c r="Q370" s="2367"/>
      <c r="R370" s="2367"/>
      <c r="S370" s="2367"/>
      <c r="T370" s="2367"/>
      <c r="U370" s="2367"/>
      <c r="V370" s="2367"/>
      <c r="W370" s="2367"/>
      <c r="X370" s="2367"/>
      <c r="Y370" s="2367"/>
      <c r="Z370" s="2367"/>
      <c r="AA370" s="2367"/>
      <c r="AB370" s="2367"/>
      <c r="AC370" s="2367"/>
      <c r="AD370" s="2367"/>
      <c r="AE370" s="2367"/>
      <c r="AF370" s="2367"/>
      <c r="AG370" s="2367"/>
      <c r="AH370" s="2367"/>
      <c r="AI370" s="2367"/>
      <c r="AJ370" s="2367"/>
      <c r="AK370" s="445"/>
      <c r="AL370" s="445"/>
      <c r="AM370" s="445"/>
      <c r="AN370" s="439"/>
      <c r="AO370" s="530" t="s">
        <v>1403</v>
      </c>
      <c r="AP370" s="531">
        <f>IF(C449="Yes",5,0)</f>
        <v>0</v>
      </c>
    </row>
    <row r="371" spans="1:81" s="398" customFormat="1" ht="68.099999999999994" customHeight="1">
      <c r="A371" s="445"/>
      <c r="B371" s="452"/>
      <c r="C371" s="2367"/>
      <c r="D371" s="2367"/>
      <c r="E371" s="2367"/>
      <c r="F371" s="2367"/>
      <c r="G371" s="2367"/>
      <c r="H371" s="2367"/>
      <c r="I371" s="2367"/>
      <c r="J371" s="2367"/>
      <c r="K371" s="2367"/>
      <c r="L371" s="2367"/>
      <c r="M371" s="2367"/>
      <c r="N371" s="2367"/>
      <c r="O371" s="2367"/>
      <c r="P371" s="2367"/>
      <c r="Q371" s="2367"/>
      <c r="R371" s="2367"/>
      <c r="S371" s="2367"/>
      <c r="T371" s="2367"/>
      <c r="U371" s="2367"/>
      <c r="V371" s="2367"/>
      <c r="W371" s="2367"/>
      <c r="X371" s="2367"/>
      <c r="Y371" s="2367"/>
      <c r="Z371" s="2367"/>
      <c r="AA371" s="2367"/>
      <c r="AB371" s="2367"/>
      <c r="AC371" s="2367"/>
      <c r="AD371" s="2367"/>
      <c r="AE371" s="2367"/>
      <c r="AF371" s="2367"/>
      <c r="AG371" s="2367"/>
      <c r="AH371" s="2367"/>
      <c r="AI371" s="2367"/>
      <c r="AJ371" s="2367"/>
      <c r="AK371" s="445"/>
      <c r="AL371" s="445"/>
      <c r="AM371" s="445"/>
      <c r="AN371" s="439"/>
      <c r="AO371" s="530" t="s">
        <v>1404</v>
      </c>
      <c r="AP371" s="536">
        <f>IF(C453="Yes",5,0)</f>
        <v>0</v>
      </c>
    </row>
    <row r="372" spans="1:81" s="398" customFormat="1" ht="12.45" customHeight="1">
      <c r="A372" s="445"/>
      <c r="B372" s="452"/>
      <c r="C372" s="398" t="s">
        <v>2327</v>
      </c>
      <c r="AF372" s="445"/>
      <c r="AG372" s="445"/>
      <c r="AH372" s="445"/>
      <c r="AI372" s="445"/>
      <c r="AJ372" s="445"/>
      <c r="AK372" s="445"/>
      <c r="AL372" s="445"/>
      <c r="AM372" s="445"/>
      <c r="AN372" s="439"/>
      <c r="AO372" s="530" t="s">
        <v>1405</v>
      </c>
      <c r="AP372" s="531">
        <f>IF(C457="Yes",5,0)</f>
        <v>0</v>
      </c>
    </row>
    <row r="373" spans="1:81" s="398" customFormat="1" ht="12.75" customHeight="1">
      <c r="A373" s="445"/>
      <c r="B373" s="452"/>
      <c r="C373" s="537" t="s">
        <v>2328</v>
      </c>
      <c r="D373" s="538"/>
      <c r="E373" s="538"/>
      <c r="F373" s="538"/>
      <c r="G373" s="538"/>
      <c r="H373" s="538"/>
      <c r="I373" s="538"/>
      <c r="J373" s="538"/>
      <c r="K373" s="538"/>
      <c r="L373" s="538"/>
      <c r="M373" s="504"/>
      <c r="N373" s="504"/>
      <c r="O373" s="539"/>
      <c r="P373" s="538"/>
      <c r="Q373" s="538"/>
      <c r="R373" s="504"/>
      <c r="S373" s="504"/>
      <c r="T373" s="538"/>
      <c r="U373" s="2368">
        <f>Application!DU802-U374</f>
        <v>197</v>
      </c>
      <c r="V373" s="2368"/>
      <c r="W373" s="2368"/>
      <c r="X373" s="538"/>
      <c r="Y373" s="538"/>
      <c r="Z373" s="538"/>
      <c r="AA373" s="540"/>
      <c r="AB373" s="541"/>
      <c r="AC373" s="541"/>
      <c r="AD373" s="541"/>
      <c r="AE373" s="445"/>
      <c r="AF373" s="445"/>
      <c r="AG373" s="445"/>
      <c r="AH373" s="445"/>
      <c r="AI373" s="445"/>
      <c r="AJ373" s="445"/>
      <c r="AK373" s="445"/>
      <c r="AL373" s="445"/>
      <c r="AM373" s="445"/>
      <c r="AN373" s="439"/>
      <c r="AO373" s="530" t="s">
        <v>1406</v>
      </c>
      <c r="AP373" s="531">
        <f>IF(C466="Yes",5,0)</f>
        <v>0</v>
      </c>
    </row>
    <row r="374" spans="1:81" s="398" customFormat="1" ht="12.75" customHeight="1">
      <c r="A374" s="445"/>
      <c r="B374" s="452"/>
      <c r="C374" s="542" t="s">
        <v>2329</v>
      </c>
      <c r="D374" s="529"/>
      <c r="E374" s="529"/>
      <c r="F374" s="529"/>
      <c r="G374" s="529"/>
      <c r="H374" s="529"/>
      <c r="I374" s="529"/>
      <c r="J374" s="529"/>
      <c r="K374" s="529"/>
      <c r="L374" s="529"/>
      <c r="M374" s="529"/>
      <c r="N374" s="529"/>
      <c r="O374" s="529"/>
      <c r="P374" s="529"/>
      <c r="Q374" s="529"/>
      <c r="R374" s="529"/>
      <c r="S374" s="529"/>
      <c r="T374" s="529"/>
      <c r="U374" s="2369">
        <f>IF(Application!D211="SRO",Application!DU755,Application!AG756)</f>
        <v>0</v>
      </c>
      <c r="V374" s="2369"/>
      <c r="W374" s="2369"/>
      <c r="X374" s="529"/>
      <c r="Y374" s="529"/>
      <c r="Z374" s="529"/>
      <c r="AA374" s="543"/>
      <c r="AC374" s="544"/>
      <c r="AD374" s="544"/>
      <c r="AE374" s="445"/>
      <c r="AF374" s="445"/>
      <c r="AG374" s="445"/>
      <c r="AH374" s="445"/>
      <c r="AI374" s="445"/>
      <c r="AJ374" s="445"/>
      <c r="AK374" s="445"/>
      <c r="AL374" s="445"/>
      <c r="AM374" s="445"/>
      <c r="AN374" s="439"/>
      <c r="AO374" s="532"/>
      <c r="AP374" s="533"/>
    </row>
    <row r="375" spans="1:81" s="398" customFormat="1" ht="12.75" customHeight="1">
      <c r="A375" s="445"/>
      <c r="B375" s="452"/>
      <c r="C375" s="438"/>
      <c r="U375" s="618"/>
      <c r="V375" s="618"/>
      <c r="W375" s="618"/>
      <c r="AC375" s="544"/>
      <c r="AD375" s="544"/>
      <c r="AE375" s="445"/>
      <c r="AF375" s="445"/>
      <c r="AG375" s="445"/>
      <c r="AH375" s="445"/>
      <c r="AI375" s="445"/>
      <c r="AJ375" s="445"/>
      <c r="AK375" s="445"/>
      <c r="AL375" s="445"/>
      <c r="AM375" s="445"/>
      <c r="AN375" s="439"/>
      <c r="AO375" s="545" t="s">
        <v>2325</v>
      </c>
      <c r="AP375" s="546">
        <f>SUM(AP368:AP373)</f>
        <v>0</v>
      </c>
      <c r="AQ375" s="2370">
        <f>IF(AP375&gt;0,AP375,0)</f>
        <v>0</v>
      </c>
      <c r="AR375" s="2370"/>
    </row>
    <row r="376" spans="1:81" s="398" customFormat="1" ht="12.75" customHeight="1">
      <c r="A376" s="445"/>
      <c r="B376" s="11"/>
      <c r="C376" s="547" t="s">
        <v>2330</v>
      </c>
      <c r="D376" s="445"/>
      <c r="E376" s="445"/>
      <c r="F376" s="445"/>
      <c r="G376" s="445"/>
      <c r="H376" s="445"/>
      <c r="I376" s="445"/>
      <c r="J376" s="445"/>
      <c r="K376" s="445"/>
      <c r="L376" s="445"/>
      <c r="M376" s="445"/>
      <c r="N376" s="445"/>
      <c r="O376" s="445"/>
      <c r="P376" s="445"/>
      <c r="Q376" s="445"/>
      <c r="R376" s="445"/>
      <c r="S376" s="445"/>
      <c r="T376" s="445"/>
      <c r="U376" s="445"/>
      <c r="V376" s="445"/>
      <c r="W376" s="445"/>
      <c r="X376" s="445"/>
      <c r="Y376" s="445"/>
      <c r="Z376" s="445"/>
      <c r="AA376" s="445"/>
      <c r="AB376" s="445"/>
      <c r="AC376" s="445"/>
      <c r="AD376" s="445"/>
      <c r="AE376" s="445"/>
      <c r="AF376" s="445"/>
      <c r="AG376" s="445"/>
      <c r="AH376" s="445"/>
      <c r="AI376" s="445"/>
      <c r="AJ376" s="445"/>
      <c r="AK376" s="445"/>
      <c r="AL376" s="445"/>
      <c r="AM376" s="445"/>
      <c r="AN376" s="439"/>
      <c r="BS376" s="23"/>
      <c r="BT376" s="23"/>
      <c r="BU376" s="11"/>
      <c r="BV376" s="11"/>
      <c r="BW376" s="11"/>
    </row>
    <row r="377" spans="1:81" s="398" customFormat="1" ht="12.75" customHeight="1">
      <c r="A377" s="385"/>
      <c r="B377" s="11"/>
      <c r="C377" s="548"/>
      <c r="D377" s="549"/>
      <c r="E377" s="550" t="s">
        <v>2149</v>
      </c>
      <c r="F377" s="2361" t="s">
        <v>2331</v>
      </c>
      <c r="G377" s="2361"/>
      <c r="H377" s="2361"/>
      <c r="I377" s="2361"/>
      <c r="J377" s="2361"/>
      <c r="K377" s="2361"/>
      <c r="L377" s="2361"/>
      <c r="M377" s="2361"/>
      <c r="N377" s="2361"/>
      <c r="O377" s="2361"/>
      <c r="P377" s="2361"/>
      <c r="Q377" s="2361"/>
      <c r="R377" s="2361"/>
      <c r="S377" s="2361"/>
      <c r="T377" s="2361"/>
      <c r="U377" s="2361"/>
      <c r="V377" s="2361"/>
      <c r="W377" s="2361"/>
      <c r="X377" s="2361"/>
      <c r="Y377" s="2361"/>
      <c r="Z377" s="2361"/>
      <c r="AA377" s="2361"/>
      <c r="AB377" s="2361"/>
      <c r="AC377" s="2361"/>
      <c r="AD377" s="2361"/>
      <c r="AE377" s="2361"/>
      <c r="AF377" s="2361"/>
      <c r="AG377" s="551"/>
      <c r="AH377" s="551"/>
      <c r="AI377" s="551"/>
      <c r="AJ377" s="551"/>
      <c r="AK377" s="551"/>
      <c r="AL377" s="552"/>
      <c r="AM377" s="416"/>
      <c r="AN377" s="439"/>
      <c r="AP377" s="416"/>
      <c r="BS377" s="23"/>
      <c r="BT377" s="23"/>
      <c r="BU377" s="11"/>
      <c r="BV377" s="11"/>
      <c r="BW377" s="11"/>
      <c r="BX377" s="11"/>
      <c r="BY377" s="11"/>
      <c r="BZ377" s="11"/>
      <c r="CA377" s="11"/>
      <c r="CB377" s="11"/>
      <c r="CC377" s="11"/>
    </row>
    <row r="378" spans="1:81" s="398" customFormat="1" ht="12.75" customHeight="1">
      <c r="A378" s="385"/>
      <c r="B378" s="11"/>
      <c r="C378" s="553"/>
      <c r="D378" s="385"/>
      <c r="E378" s="554"/>
      <c r="F378" s="2362"/>
      <c r="G378" s="2362"/>
      <c r="H378" s="2362"/>
      <c r="I378" s="2362"/>
      <c r="J378" s="2362"/>
      <c r="K378" s="2362"/>
      <c r="L378" s="2362"/>
      <c r="M378" s="2362"/>
      <c r="N378" s="2362"/>
      <c r="O378" s="2362"/>
      <c r="P378" s="2362"/>
      <c r="Q378" s="2362"/>
      <c r="R378" s="2362"/>
      <c r="S378" s="2362"/>
      <c r="T378" s="2362"/>
      <c r="U378" s="2362"/>
      <c r="V378" s="2362"/>
      <c r="W378" s="2362"/>
      <c r="X378" s="2362"/>
      <c r="Y378" s="2362"/>
      <c r="Z378" s="2362"/>
      <c r="AA378" s="2362"/>
      <c r="AB378" s="2362"/>
      <c r="AC378" s="2362"/>
      <c r="AD378" s="2362"/>
      <c r="AE378" s="2362"/>
      <c r="AF378" s="2362"/>
      <c r="AG378" s="388"/>
      <c r="AH378" s="388"/>
      <c r="AI378" s="388"/>
      <c r="AJ378" s="388"/>
      <c r="AK378" s="388"/>
      <c r="AL378" s="1198"/>
      <c r="AM378" s="416"/>
      <c r="AN378" s="439"/>
      <c r="AP378" s="416"/>
      <c r="BS378" s="23"/>
      <c r="BT378" s="23"/>
      <c r="BU378" s="11"/>
      <c r="BV378" s="11"/>
      <c r="BW378" s="11"/>
      <c r="BX378" s="11"/>
      <c r="BY378" s="11"/>
      <c r="BZ378" s="11"/>
      <c r="CA378" s="11"/>
      <c r="CB378" s="11"/>
      <c r="CC378" s="11"/>
    </row>
    <row r="379" spans="1:81" s="398" customFormat="1" ht="12.75" customHeight="1">
      <c r="A379" s="385"/>
      <c r="B379" s="11"/>
      <c r="C379" s="553"/>
      <c r="D379" s="385"/>
      <c r="E379" s="554"/>
      <c r="F379" s="2362"/>
      <c r="G379" s="2362"/>
      <c r="H379" s="2362"/>
      <c r="I379" s="2362"/>
      <c r="J379" s="2362"/>
      <c r="K379" s="2362"/>
      <c r="L379" s="2362"/>
      <c r="M379" s="2362"/>
      <c r="N379" s="2362"/>
      <c r="O379" s="2362"/>
      <c r="P379" s="2362"/>
      <c r="Q379" s="2362"/>
      <c r="R379" s="2362"/>
      <c r="S379" s="2362"/>
      <c r="T379" s="2362"/>
      <c r="U379" s="2362"/>
      <c r="V379" s="2362"/>
      <c r="W379" s="2362"/>
      <c r="X379" s="2362"/>
      <c r="Y379" s="2362"/>
      <c r="Z379" s="2362"/>
      <c r="AA379" s="2362"/>
      <c r="AB379" s="2362"/>
      <c r="AC379" s="2362"/>
      <c r="AD379" s="2362"/>
      <c r="AE379" s="2362"/>
      <c r="AF379" s="2362"/>
      <c r="AG379" s="388"/>
      <c r="AH379" s="388"/>
      <c r="AI379" s="388"/>
      <c r="AJ379" s="388"/>
      <c r="AK379" s="388"/>
      <c r="AL379" s="1198"/>
      <c r="AM379" s="416"/>
      <c r="AN379" s="439"/>
      <c r="BS379" s="23"/>
      <c r="BT379" s="23"/>
      <c r="BU379" s="11"/>
      <c r="BV379" s="11"/>
      <c r="BW379" s="11"/>
      <c r="BX379" s="11"/>
      <c r="BY379" s="11"/>
      <c r="BZ379" s="11"/>
      <c r="CA379" s="11"/>
      <c r="CB379" s="11"/>
      <c r="CC379" s="11"/>
    </row>
    <row r="380" spans="1:81" s="398" customFormat="1" ht="12.75" customHeight="1">
      <c r="A380" s="385"/>
      <c r="B380" s="11"/>
      <c r="C380" s="553"/>
      <c r="D380" s="385"/>
      <c r="E380" s="554"/>
      <c r="F380" s="2362"/>
      <c r="G380" s="2362"/>
      <c r="H380" s="2362"/>
      <c r="I380" s="2362"/>
      <c r="J380" s="2362"/>
      <c r="K380" s="2362"/>
      <c r="L380" s="2362"/>
      <c r="M380" s="2362"/>
      <c r="N380" s="2362"/>
      <c r="O380" s="2362"/>
      <c r="P380" s="2362"/>
      <c r="Q380" s="2362"/>
      <c r="R380" s="2362"/>
      <c r="S380" s="2362"/>
      <c r="T380" s="2362"/>
      <c r="U380" s="2362"/>
      <c r="V380" s="2362"/>
      <c r="W380" s="2362"/>
      <c r="X380" s="2362"/>
      <c r="Y380" s="2362"/>
      <c r="Z380" s="2362"/>
      <c r="AA380" s="2362"/>
      <c r="AB380" s="2362"/>
      <c r="AC380" s="2362"/>
      <c r="AD380" s="2362"/>
      <c r="AE380" s="2362"/>
      <c r="AF380" s="2362"/>
      <c r="AG380" s="388"/>
      <c r="AH380" s="388"/>
      <c r="AI380" s="388"/>
      <c r="AJ380" s="388"/>
      <c r="AK380" s="388"/>
      <c r="AL380" s="1198"/>
      <c r="AM380" s="416"/>
      <c r="AN380" s="439"/>
      <c r="BS380" s="23"/>
      <c r="BT380" s="23"/>
      <c r="BU380" s="11"/>
      <c r="BV380" s="11"/>
      <c r="BW380" s="11"/>
      <c r="BX380" s="11"/>
      <c r="BY380" s="11"/>
      <c r="BZ380" s="11"/>
      <c r="CA380" s="11"/>
      <c r="CB380" s="11"/>
      <c r="CC380" s="11"/>
    </row>
    <row r="381" spans="1:81" s="398" customFormat="1" ht="12.75" customHeight="1">
      <c r="A381" s="385"/>
      <c r="B381" s="11"/>
      <c r="C381" s="2371" t="s">
        <v>810</v>
      </c>
      <c r="D381" s="2372"/>
      <c r="E381" s="554"/>
      <c r="F381" s="555" t="s">
        <v>2332</v>
      </c>
      <c r="G381" s="445"/>
      <c r="H381" s="445"/>
      <c r="I381" s="445"/>
      <c r="J381" s="445"/>
      <c r="K381" s="445"/>
      <c r="L381" s="445"/>
      <c r="M381" s="445"/>
      <c r="N381" s="445"/>
      <c r="O381" s="445"/>
      <c r="P381" s="445"/>
      <c r="Q381" s="445"/>
      <c r="R381" s="445"/>
      <c r="S381" s="445"/>
      <c r="T381" s="445"/>
      <c r="U381" s="445"/>
      <c r="V381" s="445"/>
      <c r="W381" s="445"/>
      <c r="X381" s="445"/>
      <c r="Y381" s="445"/>
      <c r="Z381" s="445"/>
      <c r="AA381" s="445"/>
      <c r="AB381" s="445"/>
      <c r="AC381" s="445"/>
      <c r="AD381" s="445"/>
      <c r="AF381" s="2373" t="s">
        <v>2333</v>
      </c>
      <c r="AG381" s="2373"/>
      <c r="AH381" s="2373"/>
      <c r="AI381" s="2373"/>
      <c r="AJ381" s="2373"/>
      <c r="AK381" s="2373"/>
      <c r="AL381" s="2374"/>
      <c r="AM381" s="556"/>
      <c r="BS381" s="23"/>
      <c r="BT381" s="23"/>
      <c r="BU381" s="11"/>
      <c r="BV381" s="11"/>
      <c r="BW381" s="11"/>
      <c r="BX381" s="11"/>
      <c r="BY381" s="11"/>
      <c r="BZ381" s="11"/>
      <c r="CA381" s="11"/>
      <c r="CB381" s="11"/>
      <c r="CC381" s="11"/>
    </row>
    <row r="382" spans="1:81" s="398" customFormat="1" ht="12.75" customHeight="1">
      <c r="A382" s="385"/>
      <c r="B382" s="11"/>
      <c r="C382" s="587"/>
      <c r="D382" s="557"/>
      <c r="E382" s="558"/>
      <c r="F382" s="559"/>
      <c r="G382" s="560"/>
      <c r="H382" s="560"/>
      <c r="I382" s="560"/>
      <c r="J382" s="560"/>
      <c r="K382" s="560"/>
      <c r="L382" s="560"/>
      <c r="M382" s="560"/>
      <c r="N382" s="560"/>
      <c r="O382" s="560"/>
      <c r="P382" s="560"/>
      <c r="Q382" s="560"/>
      <c r="R382" s="560"/>
      <c r="S382" s="560"/>
      <c r="T382" s="560"/>
      <c r="U382" s="560"/>
      <c r="V382" s="560"/>
      <c r="W382" s="560"/>
      <c r="X382" s="560"/>
      <c r="Y382" s="560"/>
      <c r="Z382" s="560"/>
      <c r="AA382" s="560"/>
      <c r="AB382" s="560"/>
      <c r="AC382" s="560"/>
      <c r="AD382" s="560"/>
      <c r="AE382" s="561"/>
      <c r="AF382" s="561"/>
      <c r="AG382" s="561"/>
      <c r="AH382" s="561"/>
      <c r="AI382" s="561"/>
      <c r="AJ382" s="561"/>
      <c r="AK382" s="561"/>
      <c r="AL382" s="588"/>
      <c r="AM382" s="563"/>
      <c r="AN382" s="439"/>
      <c r="CC382" s="11"/>
    </row>
    <row r="383" spans="1:81" s="398" customFormat="1" ht="12.75" customHeight="1">
      <c r="A383" s="385"/>
      <c r="B383" s="11"/>
      <c r="C383" s="1199"/>
      <c r="D383" s="1199"/>
      <c r="E383" s="554"/>
      <c r="F383" s="513"/>
      <c r="G383" s="513"/>
      <c r="H383" s="513"/>
      <c r="I383" s="513"/>
      <c r="J383" s="513"/>
      <c r="K383" s="513"/>
      <c r="L383" s="513"/>
      <c r="M383" s="513"/>
      <c r="N383" s="513"/>
      <c r="O383" s="513"/>
      <c r="P383" s="513"/>
      <c r="Q383" s="513"/>
      <c r="R383" s="513"/>
      <c r="S383" s="513"/>
      <c r="T383" s="513"/>
      <c r="U383" s="513"/>
      <c r="V383" s="513"/>
      <c r="W383" s="513"/>
      <c r="X383" s="513"/>
      <c r="Y383" s="513"/>
      <c r="Z383" s="513"/>
      <c r="AA383" s="513"/>
      <c r="AB383" s="513"/>
      <c r="AC383" s="513"/>
      <c r="AD383" s="513"/>
      <c r="AE383" s="1197"/>
      <c r="AF383" s="1197"/>
      <c r="AG383" s="1197"/>
      <c r="AH383" s="1197"/>
      <c r="AI383" s="1197"/>
      <c r="AJ383" s="1197"/>
      <c r="AK383" s="1197"/>
      <c r="AL383" s="1197"/>
      <c r="AM383" s="416"/>
      <c r="AN383" s="439"/>
      <c r="BS383" s="23"/>
      <c r="BT383" s="23"/>
      <c r="BU383" s="11"/>
      <c r="BV383" s="11"/>
      <c r="BW383" s="11"/>
      <c r="BX383" s="11"/>
      <c r="BY383" s="11"/>
      <c r="BZ383" s="11"/>
      <c r="CA383" s="11"/>
      <c r="CB383" s="11"/>
      <c r="CC383" s="11"/>
    </row>
    <row r="384" spans="1:81" s="398" customFormat="1" ht="12.75" customHeight="1">
      <c r="A384" s="385"/>
      <c r="B384" s="11"/>
      <c r="C384" s="548"/>
      <c r="D384" s="549"/>
      <c r="E384" s="550" t="s">
        <v>2152</v>
      </c>
      <c r="F384" s="2361" t="s">
        <v>2334</v>
      </c>
      <c r="G384" s="2361"/>
      <c r="H384" s="2361"/>
      <c r="I384" s="2361"/>
      <c r="J384" s="2361"/>
      <c r="K384" s="2361"/>
      <c r="L384" s="2361"/>
      <c r="M384" s="2361"/>
      <c r="N384" s="2361"/>
      <c r="O384" s="2361"/>
      <c r="P384" s="2361"/>
      <c r="Q384" s="2361"/>
      <c r="R384" s="2361"/>
      <c r="S384" s="2361"/>
      <c r="T384" s="2361"/>
      <c r="U384" s="2361"/>
      <c r="V384" s="2361"/>
      <c r="W384" s="2361"/>
      <c r="X384" s="2361"/>
      <c r="Y384" s="2361"/>
      <c r="Z384" s="2361"/>
      <c r="AA384" s="2361"/>
      <c r="AB384" s="2361"/>
      <c r="AC384" s="2361"/>
      <c r="AD384" s="2361"/>
      <c r="AE384" s="2361"/>
      <c r="AF384" s="2361"/>
      <c r="AG384" s="551"/>
      <c r="AH384" s="551"/>
      <c r="AI384" s="551"/>
      <c r="AJ384" s="551"/>
      <c r="AK384" s="551"/>
      <c r="AL384" s="552"/>
      <c r="AM384" s="416"/>
      <c r="AN384" s="439"/>
      <c r="BS384" s="23"/>
      <c r="BT384" s="23"/>
      <c r="BU384" s="11"/>
      <c r="BV384" s="11"/>
      <c r="BW384" s="11"/>
      <c r="BX384" s="11"/>
      <c r="BY384" s="11"/>
      <c r="BZ384" s="11"/>
      <c r="CA384" s="11"/>
      <c r="CB384" s="11"/>
      <c r="CC384" s="11"/>
    </row>
    <row r="385" spans="1:81" s="398" customFormat="1" ht="12.75" customHeight="1">
      <c r="A385" s="385"/>
      <c r="B385" s="11"/>
      <c r="C385" s="564"/>
      <c r="D385" s="11"/>
      <c r="E385" s="527"/>
      <c r="F385" s="2362"/>
      <c r="G385" s="2362"/>
      <c r="H385" s="2362"/>
      <c r="I385" s="2362"/>
      <c r="J385" s="2362"/>
      <c r="K385" s="2362"/>
      <c r="L385" s="2362"/>
      <c r="M385" s="2362"/>
      <c r="N385" s="2362"/>
      <c r="O385" s="2362"/>
      <c r="P385" s="2362"/>
      <c r="Q385" s="2362"/>
      <c r="R385" s="2362"/>
      <c r="S385" s="2362"/>
      <c r="T385" s="2362"/>
      <c r="U385" s="2362"/>
      <c r="V385" s="2362"/>
      <c r="W385" s="2362"/>
      <c r="X385" s="2362"/>
      <c r="Y385" s="2362"/>
      <c r="Z385" s="2362"/>
      <c r="AA385" s="2362"/>
      <c r="AB385" s="2362"/>
      <c r="AC385" s="2362"/>
      <c r="AD385" s="2362"/>
      <c r="AE385" s="2362"/>
      <c r="AF385" s="2362"/>
      <c r="AG385" s="388"/>
      <c r="AH385" s="388"/>
      <c r="AI385" s="388"/>
      <c r="AJ385" s="388"/>
      <c r="AK385" s="388"/>
      <c r="AL385" s="1198"/>
      <c r="AM385" s="416"/>
      <c r="AN385" s="439"/>
      <c r="BS385" s="23"/>
      <c r="BT385" s="23"/>
      <c r="BU385" s="11"/>
      <c r="BV385" s="11"/>
      <c r="BW385" s="11"/>
      <c r="BX385" s="11"/>
      <c r="BY385" s="11"/>
      <c r="BZ385" s="11"/>
      <c r="CA385" s="11"/>
      <c r="CB385" s="11"/>
      <c r="CC385" s="11"/>
    </row>
    <row r="386" spans="1:81" s="398" customFormat="1" ht="12.75" customHeight="1">
      <c r="A386" s="385"/>
      <c r="B386" s="11"/>
      <c r="C386" s="564"/>
      <c r="D386" s="11"/>
      <c r="E386" s="527"/>
      <c r="F386" s="2362"/>
      <c r="G386" s="2362"/>
      <c r="H386" s="2362"/>
      <c r="I386" s="2362"/>
      <c r="J386" s="2362"/>
      <c r="K386" s="2362"/>
      <c r="L386" s="2362"/>
      <c r="M386" s="2362"/>
      <c r="N386" s="2362"/>
      <c r="O386" s="2362"/>
      <c r="P386" s="2362"/>
      <c r="Q386" s="2362"/>
      <c r="R386" s="2362"/>
      <c r="S386" s="2362"/>
      <c r="T386" s="2362"/>
      <c r="U386" s="2362"/>
      <c r="V386" s="2362"/>
      <c r="W386" s="2362"/>
      <c r="X386" s="2362"/>
      <c r="Y386" s="2362"/>
      <c r="Z386" s="2362"/>
      <c r="AA386" s="2362"/>
      <c r="AB386" s="2362"/>
      <c r="AC386" s="2362"/>
      <c r="AD386" s="2362"/>
      <c r="AE386" s="2362"/>
      <c r="AF386" s="2362"/>
      <c r="AG386" s="388"/>
      <c r="AH386" s="388"/>
      <c r="AI386" s="388"/>
      <c r="AJ386" s="388"/>
      <c r="AK386" s="388"/>
      <c r="AL386" s="1198"/>
      <c r="AM386" s="416"/>
      <c r="AN386" s="439"/>
      <c r="BS386" s="23"/>
      <c r="BT386" s="23"/>
      <c r="BU386" s="11"/>
      <c r="BV386" s="11"/>
      <c r="BW386" s="11"/>
      <c r="BX386" s="11"/>
      <c r="BY386" s="11"/>
      <c r="BZ386" s="11"/>
      <c r="CA386" s="11"/>
      <c r="CB386" s="11"/>
      <c r="CC386" s="11"/>
    </row>
    <row r="387" spans="1:81" s="398" customFormat="1" ht="12.75" customHeight="1">
      <c r="A387" s="385"/>
      <c r="B387" s="11"/>
      <c r="C387" s="564"/>
      <c r="D387" s="11"/>
      <c r="E387" s="527"/>
      <c r="F387" s="2362"/>
      <c r="G387" s="2362"/>
      <c r="H387" s="2362"/>
      <c r="I387" s="2362"/>
      <c r="J387" s="2362"/>
      <c r="K387" s="2362"/>
      <c r="L387" s="2362"/>
      <c r="M387" s="2362"/>
      <c r="N387" s="2362"/>
      <c r="O387" s="2362"/>
      <c r="P387" s="2362"/>
      <c r="Q387" s="2362"/>
      <c r="R387" s="2362"/>
      <c r="S387" s="2362"/>
      <c r="T387" s="2362"/>
      <c r="U387" s="2362"/>
      <c r="V387" s="2362"/>
      <c r="W387" s="2362"/>
      <c r="X387" s="2362"/>
      <c r="Y387" s="2362"/>
      <c r="Z387" s="2362"/>
      <c r="AA387" s="2362"/>
      <c r="AB387" s="2362"/>
      <c r="AC387" s="2362"/>
      <c r="AD387" s="2362"/>
      <c r="AE387" s="2362"/>
      <c r="AF387" s="2362"/>
      <c r="AG387" s="388"/>
      <c r="AH387" s="388"/>
      <c r="AI387" s="388"/>
      <c r="AJ387" s="388"/>
      <c r="AK387" s="388"/>
      <c r="AL387" s="1198"/>
      <c r="AM387" s="416"/>
      <c r="AN387" s="439"/>
      <c r="BS387" s="23"/>
      <c r="BT387" s="23"/>
      <c r="BU387" s="11"/>
      <c r="BV387" s="11"/>
      <c r="BW387" s="11"/>
      <c r="BX387" s="11"/>
      <c r="BY387" s="11"/>
      <c r="BZ387" s="11"/>
      <c r="CA387" s="11"/>
      <c r="CB387" s="11"/>
      <c r="CC387" s="11"/>
    </row>
    <row r="388" spans="1:81" s="398" customFormat="1" ht="12.75" customHeight="1">
      <c r="A388" s="385"/>
      <c r="B388" s="11"/>
      <c r="C388" s="564"/>
      <c r="D388" s="11"/>
      <c r="E388" s="527"/>
      <c r="F388" s="2362"/>
      <c r="G388" s="2362"/>
      <c r="H388" s="2362"/>
      <c r="I388" s="2362"/>
      <c r="J388" s="2362"/>
      <c r="K388" s="2362"/>
      <c r="L388" s="2362"/>
      <c r="M388" s="2362"/>
      <c r="N388" s="2362"/>
      <c r="O388" s="2362"/>
      <c r="P388" s="2362"/>
      <c r="Q388" s="2362"/>
      <c r="R388" s="2362"/>
      <c r="S388" s="2362"/>
      <c r="T388" s="2362"/>
      <c r="U388" s="2362"/>
      <c r="V388" s="2362"/>
      <c r="W388" s="2362"/>
      <c r="X388" s="2362"/>
      <c r="Y388" s="2362"/>
      <c r="Z388" s="2362"/>
      <c r="AA388" s="2362"/>
      <c r="AB388" s="2362"/>
      <c r="AC388" s="2362"/>
      <c r="AD388" s="2362"/>
      <c r="AE388" s="2362"/>
      <c r="AF388" s="2362"/>
      <c r="AL388" s="565"/>
      <c r="AN388" s="439"/>
      <c r="BS388" s="23"/>
      <c r="BT388" s="23"/>
      <c r="BU388" s="11"/>
      <c r="BV388" s="11"/>
      <c r="BW388" s="11"/>
      <c r="BX388" s="11"/>
      <c r="BY388" s="11"/>
      <c r="BZ388" s="11"/>
      <c r="CA388" s="11"/>
      <c r="CB388" s="11"/>
      <c r="CC388" s="11"/>
    </row>
    <row r="389" spans="1:81" s="398" customFormat="1" ht="12.75" customHeight="1">
      <c r="A389" s="385"/>
      <c r="B389" s="11"/>
      <c r="C389" s="2371" t="s">
        <v>810</v>
      </c>
      <c r="D389" s="2372"/>
      <c r="E389" s="527"/>
      <c r="F389" s="555" t="s">
        <v>2335</v>
      </c>
      <c r="G389" s="445"/>
      <c r="H389" s="445"/>
      <c r="I389" s="445"/>
      <c r="J389" s="445"/>
      <c r="K389" s="445"/>
      <c r="L389" s="445"/>
      <c r="M389" s="445"/>
      <c r="N389" s="445"/>
      <c r="O389" s="445"/>
      <c r="P389" s="445"/>
      <c r="Q389" s="445"/>
      <c r="R389" s="445"/>
      <c r="S389" s="445"/>
      <c r="T389" s="445"/>
      <c r="U389" s="445"/>
      <c r="V389" s="445"/>
      <c r="W389" s="445"/>
      <c r="X389" s="445"/>
      <c r="Y389" s="445"/>
      <c r="Z389" s="445"/>
      <c r="AA389" s="445"/>
      <c r="AB389" s="445"/>
      <c r="AC389" s="445"/>
      <c r="AD389" s="445"/>
      <c r="AF389" s="2373" t="s">
        <v>2333</v>
      </c>
      <c r="AG389" s="2373"/>
      <c r="AH389" s="2373"/>
      <c r="AI389" s="2373"/>
      <c r="AJ389" s="2373"/>
      <c r="AK389" s="2373"/>
      <c r="AL389" s="2374"/>
      <c r="AM389" s="563"/>
      <c r="AN389" s="439"/>
      <c r="BS389" s="23"/>
      <c r="BT389" s="23"/>
      <c r="BU389" s="11"/>
      <c r="BV389" s="11"/>
      <c r="BW389" s="11"/>
      <c r="BX389" s="11"/>
      <c r="BY389" s="11"/>
      <c r="BZ389" s="11"/>
      <c r="CA389" s="11"/>
      <c r="CB389" s="11"/>
      <c r="CC389" s="11"/>
    </row>
    <row r="390" spans="1:81" s="398" customFormat="1" ht="12.75" customHeight="1">
      <c r="A390" s="385"/>
      <c r="B390" s="11"/>
      <c r="C390" s="573"/>
      <c r="D390" s="566"/>
      <c r="E390" s="567"/>
      <c r="F390" s="568"/>
      <c r="G390" s="569"/>
      <c r="H390" s="569"/>
      <c r="I390" s="569"/>
      <c r="J390" s="569"/>
      <c r="K390" s="569"/>
      <c r="L390" s="569"/>
      <c r="M390" s="569"/>
      <c r="N390" s="569"/>
      <c r="O390" s="569"/>
      <c r="P390" s="569"/>
      <c r="Q390" s="569"/>
      <c r="R390" s="569"/>
      <c r="S390" s="569"/>
      <c r="T390" s="569"/>
      <c r="U390" s="569"/>
      <c r="V390" s="569"/>
      <c r="W390" s="569"/>
      <c r="X390" s="569"/>
      <c r="Y390" s="569"/>
      <c r="Z390" s="569"/>
      <c r="AA390" s="569"/>
      <c r="AB390" s="569"/>
      <c r="AC390" s="569"/>
      <c r="AD390" s="569"/>
      <c r="AE390" s="570"/>
      <c r="AF390" s="428"/>
      <c r="AG390" s="570"/>
      <c r="AH390" s="561"/>
      <c r="AI390" s="561"/>
      <c r="AJ390" s="561"/>
      <c r="AK390" s="561"/>
      <c r="AL390" s="575"/>
      <c r="AM390" s="563"/>
      <c r="AN390" s="439"/>
      <c r="BS390" s="23"/>
      <c r="BT390" s="23"/>
      <c r="BU390" s="11"/>
      <c r="BV390" s="11"/>
      <c r="BW390" s="11"/>
      <c r="BX390" s="11"/>
      <c r="BY390" s="11"/>
      <c r="BZ390" s="11"/>
      <c r="CA390" s="11"/>
      <c r="CB390" s="11"/>
      <c r="CC390" s="11"/>
    </row>
    <row r="391" spans="1:81" s="398" customFormat="1" ht="12.75" customHeight="1">
      <c r="A391" s="385"/>
      <c r="B391" s="11"/>
      <c r="C391" s="11"/>
      <c r="D391" s="11"/>
      <c r="E391" s="527"/>
      <c r="F391" s="513"/>
      <c r="G391" s="513"/>
      <c r="H391" s="513"/>
      <c r="I391" s="513"/>
      <c r="J391" s="513"/>
      <c r="K391" s="513"/>
      <c r="L391" s="513"/>
      <c r="M391" s="513"/>
      <c r="N391" s="513"/>
      <c r="O391" s="513"/>
      <c r="P391" s="513"/>
      <c r="Q391" s="513"/>
      <c r="R391" s="513"/>
      <c r="S391" s="513"/>
      <c r="T391" s="513"/>
      <c r="U391" s="513"/>
      <c r="V391" s="513"/>
      <c r="W391" s="513"/>
      <c r="X391" s="513"/>
      <c r="Y391" s="513"/>
      <c r="Z391" s="513"/>
      <c r="AA391" s="513"/>
      <c r="AB391" s="513"/>
      <c r="AC391" s="513"/>
      <c r="AD391" s="513"/>
      <c r="AE391" s="385"/>
      <c r="AF391" s="388"/>
      <c r="AG391" s="385"/>
      <c r="AM391" s="416"/>
      <c r="AN391" s="439"/>
      <c r="BS391" s="23"/>
      <c r="BT391" s="23"/>
      <c r="BU391" s="11"/>
      <c r="BV391" s="11"/>
      <c r="BW391" s="11"/>
      <c r="BX391" s="11"/>
      <c r="BY391" s="11"/>
      <c r="BZ391" s="11"/>
      <c r="CA391" s="11"/>
      <c r="CB391" s="11"/>
      <c r="CC391" s="11"/>
    </row>
    <row r="392" spans="1:81" s="398" customFormat="1" ht="12.75" customHeight="1">
      <c r="A392" s="385"/>
      <c r="B392" s="11"/>
      <c r="C392" s="548"/>
      <c r="D392" s="549"/>
      <c r="E392" s="550" t="s">
        <v>2158</v>
      </c>
      <c r="F392" s="2361" t="s">
        <v>2336</v>
      </c>
      <c r="G392" s="2361"/>
      <c r="H392" s="2361"/>
      <c r="I392" s="2361"/>
      <c r="J392" s="2361"/>
      <c r="K392" s="2361"/>
      <c r="L392" s="2361"/>
      <c r="M392" s="2361"/>
      <c r="N392" s="2361"/>
      <c r="O392" s="2361"/>
      <c r="P392" s="2361"/>
      <c r="Q392" s="2361"/>
      <c r="R392" s="2361"/>
      <c r="S392" s="2361"/>
      <c r="T392" s="2361"/>
      <c r="U392" s="2361"/>
      <c r="V392" s="2361"/>
      <c r="W392" s="2361"/>
      <c r="X392" s="2361"/>
      <c r="Y392" s="2361"/>
      <c r="Z392" s="2361"/>
      <c r="AA392" s="2361"/>
      <c r="AB392" s="2361"/>
      <c r="AC392" s="2361"/>
      <c r="AD392" s="2361"/>
      <c r="AE392" s="2361"/>
      <c r="AF392" s="2361"/>
      <c r="AG392" s="551"/>
      <c r="AH392" s="551"/>
      <c r="AI392" s="551"/>
      <c r="AJ392" s="551"/>
      <c r="AK392" s="551"/>
      <c r="AL392" s="552"/>
      <c r="AM392" s="416"/>
      <c r="AN392" s="439"/>
      <c r="BS392" s="416"/>
      <c r="BT392" s="416"/>
      <c r="BU392" s="416"/>
      <c r="BV392" s="416"/>
      <c r="BW392" s="416"/>
      <c r="BX392" s="416"/>
      <c r="BY392" s="416"/>
      <c r="BZ392" s="416"/>
      <c r="CA392" s="416"/>
      <c r="CB392" s="416"/>
      <c r="CC392" s="416"/>
    </row>
    <row r="393" spans="1:81" s="398" customFormat="1" ht="12.75" customHeight="1">
      <c r="A393" s="385"/>
      <c r="B393" s="11"/>
      <c r="C393" s="564"/>
      <c r="D393" s="11"/>
      <c r="E393" s="527"/>
      <c r="F393" s="2362"/>
      <c r="G393" s="2362"/>
      <c r="H393" s="2362"/>
      <c r="I393" s="2362"/>
      <c r="J393" s="2362"/>
      <c r="K393" s="2362"/>
      <c r="L393" s="2362"/>
      <c r="M393" s="2362"/>
      <c r="N393" s="2362"/>
      <c r="O393" s="2362"/>
      <c r="P393" s="2362"/>
      <c r="Q393" s="2362"/>
      <c r="R393" s="2362"/>
      <c r="S393" s="2362"/>
      <c r="T393" s="2362"/>
      <c r="U393" s="2362"/>
      <c r="V393" s="2362"/>
      <c r="W393" s="2362"/>
      <c r="X393" s="2362"/>
      <c r="Y393" s="2362"/>
      <c r="Z393" s="2362"/>
      <c r="AA393" s="2362"/>
      <c r="AB393" s="2362"/>
      <c r="AC393" s="2362"/>
      <c r="AD393" s="2362"/>
      <c r="AE393" s="2362"/>
      <c r="AF393" s="2362"/>
      <c r="AG393" s="388"/>
      <c r="AH393" s="388"/>
      <c r="AI393" s="388"/>
      <c r="AJ393" s="388"/>
      <c r="AK393" s="388"/>
      <c r="AL393" s="1198"/>
      <c r="AM393" s="416"/>
      <c r="AN393" s="439"/>
      <c r="BS393" s="416"/>
      <c r="BT393" s="416"/>
      <c r="BU393" s="416"/>
      <c r="BV393" s="416"/>
      <c r="BW393" s="416"/>
      <c r="BX393" s="416"/>
      <c r="BY393" s="416"/>
      <c r="BZ393" s="416"/>
      <c r="CA393" s="416"/>
      <c r="CB393" s="416"/>
      <c r="CC393" s="416"/>
    </row>
    <row r="394" spans="1:81" s="398" customFormat="1" ht="12.75" customHeight="1">
      <c r="A394" s="385"/>
      <c r="B394" s="11"/>
      <c r="C394" s="564"/>
      <c r="D394" s="11"/>
      <c r="E394" s="527"/>
      <c r="F394" s="2362"/>
      <c r="G394" s="2362"/>
      <c r="H394" s="2362"/>
      <c r="I394" s="2362"/>
      <c r="J394" s="2362"/>
      <c r="K394" s="2362"/>
      <c r="L394" s="2362"/>
      <c r="M394" s="2362"/>
      <c r="N394" s="2362"/>
      <c r="O394" s="2362"/>
      <c r="P394" s="2362"/>
      <c r="Q394" s="2362"/>
      <c r="R394" s="2362"/>
      <c r="S394" s="2362"/>
      <c r="T394" s="2362"/>
      <c r="U394" s="2362"/>
      <c r="V394" s="2362"/>
      <c r="W394" s="2362"/>
      <c r="X394" s="2362"/>
      <c r="Y394" s="2362"/>
      <c r="Z394" s="2362"/>
      <c r="AA394" s="2362"/>
      <c r="AB394" s="2362"/>
      <c r="AC394" s="2362"/>
      <c r="AD394" s="2362"/>
      <c r="AE394" s="2362"/>
      <c r="AF394" s="2362"/>
      <c r="AG394" s="388"/>
      <c r="AH394" s="388"/>
      <c r="AI394" s="388"/>
      <c r="AJ394" s="388"/>
      <c r="AK394" s="388"/>
      <c r="AL394" s="1198"/>
      <c r="AM394" s="416"/>
      <c r="AN394" s="439"/>
      <c r="BS394" s="416"/>
      <c r="BT394" s="416"/>
      <c r="BU394" s="416"/>
      <c r="BV394" s="416"/>
      <c r="BW394" s="416"/>
      <c r="BX394" s="416"/>
      <c r="BY394" s="416"/>
      <c r="BZ394" s="416"/>
      <c r="CA394" s="416"/>
      <c r="CB394" s="416"/>
      <c r="CC394" s="416"/>
    </row>
    <row r="395" spans="1:81" s="398" customFormat="1" ht="12.75" customHeight="1">
      <c r="A395" s="385"/>
      <c r="B395" s="11"/>
      <c r="C395" s="564"/>
      <c r="D395" s="11"/>
      <c r="E395" s="527"/>
      <c r="F395" s="2362"/>
      <c r="G395" s="2362"/>
      <c r="H395" s="2362"/>
      <c r="I395" s="2362"/>
      <c r="J395" s="2362"/>
      <c r="K395" s="2362"/>
      <c r="L395" s="2362"/>
      <c r="M395" s="2362"/>
      <c r="N395" s="2362"/>
      <c r="O395" s="2362"/>
      <c r="P395" s="2362"/>
      <c r="Q395" s="2362"/>
      <c r="R395" s="2362"/>
      <c r="S395" s="2362"/>
      <c r="T395" s="2362"/>
      <c r="U395" s="2362"/>
      <c r="V395" s="2362"/>
      <c r="W395" s="2362"/>
      <c r="X395" s="2362"/>
      <c r="Y395" s="2362"/>
      <c r="Z395" s="2362"/>
      <c r="AA395" s="2362"/>
      <c r="AB395" s="2362"/>
      <c r="AC395" s="2362"/>
      <c r="AD395" s="2362"/>
      <c r="AE395" s="2362"/>
      <c r="AF395" s="2362"/>
      <c r="AG395" s="388"/>
      <c r="AH395" s="388"/>
      <c r="AI395" s="388"/>
      <c r="AJ395" s="388"/>
      <c r="AK395" s="388"/>
      <c r="AL395" s="1198"/>
      <c r="AM395" s="416"/>
      <c r="AN395" s="439"/>
      <c r="BS395" s="416"/>
      <c r="BT395" s="416"/>
      <c r="BU395" s="416"/>
      <c r="BV395" s="416"/>
      <c r="BW395" s="416"/>
      <c r="BX395" s="416"/>
      <c r="BY395" s="416"/>
      <c r="BZ395" s="416"/>
      <c r="CA395" s="416"/>
      <c r="CB395" s="416"/>
      <c r="CC395" s="416"/>
    </row>
    <row r="396" spans="1:81" s="398" customFormat="1" ht="12.75" customHeight="1">
      <c r="A396" s="385"/>
      <c r="B396" s="11"/>
      <c r="C396" s="564"/>
      <c r="D396" s="11"/>
      <c r="E396" s="527"/>
      <c r="F396" s="2362"/>
      <c r="G396" s="2362"/>
      <c r="H396" s="2362"/>
      <c r="I396" s="2362"/>
      <c r="J396" s="2362"/>
      <c r="K396" s="2362"/>
      <c r="L396" s="2362"/>
      <c r="M396" s="2362"/>
      <c r="N396" s="2362"/>
      <c r="O396" s="2362"/>
      <c r="P396" s="2362"/>
      <c r="Q396" s="2362"/>
      <c r="R396" s="2362"/>
      <c r="S396" s="2362"/>
      <c r="T396" s="2362"/>
      <c r="U396" s="2362"/>
      <c r="V396" s="2362"/>
      <c r="W396" s="2362"/>
      <c r="X396" s="2362"/>
      <c r="Y396" s="2362"/>
      <c r="Z396" s="2362"/>
      <c r="AA396" s="2362"/>
      <c r="AB396" s="2362"/>
      <c r="AC396" s="2362"/>
      <c r="AD396" s="2362"/>
      <c r="AE396" s="2362"/>
      <c r="AF396" s="2362"/>
      <c r="AG396" s="388"/>
      <c r="AH396" s="388"/>
      <c r="AI396" s="388"/>
      <c r="AJ396" s="388"/>
      <c r="AK396" s="388"/>
      <c r="AL396" s="1198"/>
      <c r="AM396" s="416"/>
      <c r="AN396" s="439"/>
      <c r="BS396" s="416"/>
      <c r="BT396" s="416"/>
      <c r="BU396" s="416"/>
      <c r="BV396" s="416"/>
      <c r="BW396" s="416"/>
      <c r="BX396" s="416"/>
      <c r="BY396" s="416"/>
      <c r="BZ396" s="416"/>
      <c r="CA396" s="416"/>
      <c r="CB396" s="416"/>
      <c r="CC396" s="416"/>
    </row>
    <row r="397" spans="1:81" s="398" customFormat="1" ht="12.75" customHeight="1">
      <c r="A397" s="385"/>
      <c r="B397" s="11"/>
      <c r="C397" s="2371" t="s">
        <v>694</v>
      </c>
      <c r="D397" s="2372"/>
      <c r="E397" s="527"/>
      <c r="F397" s="555" t="s">
        <v>2337</v>
      </c>
      <c r="G397" s="445"/>
      <c r="H397" s="445"/>
      <c r="I397" s="445"/>
      <c r="J397" s="445"/>
      <c r="K397" s="445"/>
      <c r="L397" s="445"/>
      <c r="M397" s="445"/>
      <c r="N397" s="445"/>
      <c r="O397" s="445"/>
      <c r="P397" s="445"/>
      <c r="Q397" s="445"/>
      <c r="R397" s="445"/>
      <c r="S397" s="445"/>
      <c r="T397" s="445"/>
      <c r="U397" s="445"/>
      <c r="V397" s="445"/>
      <c r="W397" s="445"/>
      <c r="X397" s="445"/>
      <c r="Y397" s="445"/>
      <c r="Z397" s="445"/>
      <c r="AA397" s="445"/>
      <c r="AB397" s="445"/>
      <c r="AC397" s="445"/>
      <c r="AD397" s="445"/>
      <c r="AF397" s="2373" t="s">
        <v>2338</v>
      </c>
      <c r="AG397" s="2373"/>
      <c r="AH397" s="2373"/>
      <c r="AI397" s="2373"/>
      <c r="AJ397" s="2373"/>
      <c r="AK397" s="2373"/>
      <c r="AL397" s="2374"/>
      <c r="AM397" s="556"/>
      <c r="BS397" s="416"/>
      <c r="BT397" s="416"/>
      <c r="BU397" s="416"/>
      <c r="BV397" s="416"/>
      <c r="BW397" s="416"/>
      <c r="BX397" s="416"/>
      <c r="BY397" s="416"/>
      <c r="BZ397" s="416"/>
      <c r="CA397" s="416"/>
      <c r="CB397" s="416"/>
      <c r="CC397" s="416"/>
    </row>
    <row r="398" spans="1:81" s="398" customFormat="1" ht="12.75" customHeight="1">
      <c r="A398" s="385"/>
      <c r="B398" s="11"/>
      <c r="C398" s="564"/>
      <c r="D398" s="11"/>
      <c r="E398" s="527"/>
      <c r="F398" s="1194"/>
      <c r="G398" s="1194"/>
      <c r="H398" s="1194"/>
      <c r="I398" s="1194"/>
      <c r="J398" s="1194"/>
      <c r="K398" s="1194"/>
      <c r="L398" s="1194"/>
      <c r="M398" s="1194"/>
      <c r="N398" s="1194"/>
      <c r="O398" s="1194"/>
      <c r="P398" s="1194"/>
      <c r="Q398" s="1194"/>
      <c r="R398" s="1194"/>
      <c r="S398" s="1194"/>
      <c r="T398" s="1194"/>
      <c r="U398" s="1194"/>
      <c r="V398" s="1194"/>
      <c r="W398" s="1194"/>
      <c r="X398" s="1194"/>
      <c r="Y398" s="1194"/>
      <c r="Z398" s="1194"/>
      <c r="AA398" s="1194"/>
      <c r="AB398" s="1194"/>
      <c r="AC398" s="1194"/>
      <c r="AD398" s="1194"/>
      <c r="AL398" s="565"/>
      <c r="AM398" s="416"/>
      <c r="AN398" s="439"/>
      <c r="BS398" s="416"/>
      <c r="BT398" s="416"/>
      <c r="BU398" s="416"/>
      <c r="BV398" s="416"/>
      <c r="BW398" s="416"/>
      <c r="BX398" s="416"/>
      <c r="BY398" s="416"/>
      <c r="BZ398" s="416"/>
      <c r="CA398" s="416"/>
      <c r="CB398" s="416"/>
      <c r="CC398" s="416"/>
    </row>
    <row r="399" spans="1:81" s="398" customFormat="1" ht="12.75" customHeight="1">
      <c r="A399" s="385"/>
      <c r="B399" s="11"/>
      <c r="C399" s="2371" t="s">
        <v>810</v>
      </c>
      <c r="D399" s="2372"/>
      <c r="E399" s="527"/>
      <c r="F399" s="571" t="s">
        <v>2339</v>
      </c>
      <c r="G399" s="1194"/>
      <c r="H399" s="1194"/>
      <c r="I399" s="1194"/>
      <c r="J399" s="1194"/>
      <c r="K399" s="1194"/>
      <c r="L399" s="1194"/>
      <c r="M399" s="1194"/>
      <c r="N399" s="1194"/>
      <c r="O399" s="1194"/>
      <c r="P399" s="1194"/>
      <c r="Q399" s="1194"/>
      <c r="R399" s="1194"/>
      <c r="S399" s="1194"/>
      <c r="T399" s="1194"/>
      <c r="U399" s="1194"/>
      <c r="V399" s="1194"/>
      <c r="W399" s="1194"/>
      <c r="X399" s="1194"/>
      <c r="Y399" s="1194"/>
      <c r="Z399" s="1194"/>
      <c r="AA399" s="1194"/>
      <c r="AB399" s="1194"/>
      <c r="AC399" s="1194"/>
      <c r="AD399" s="1194"/>
      <c r="AF399" s="2373" t="s">
        <v>2333</v>
      </c>
      <c r="AG399" s="2373"/>
      <c r="AH399" s="2373"/>
      <c r="AI399" s="2373"/>
      <c r="AJ399" s="2373"/>
      <c r="AK399" s="2373"/>
      <c r="AL399" s="2374"/>
      <c r="AM399" s="416"/>
      <c r="AN399" s="439"/>
      <c r="BS399" s="416"/>
      <c r="BT399" s="416"/>
      <c r="BU399" s="416"/>
    </row>
    <row r="400" spans="1:81" s="398" customFormat="1" ht="12.75" customHeight="1">
      <c r="A400" s="385"/>
      <c r="B400" s="11"/>
      <c r="C400" s="572"/>
      <c r="E400" s="527"/>
      <c r="G400" s="1194"/>
      <c r="H400" s="1194"/>
      <c r="I400" s="1194"/>
      <c r="J400" s="1194"/>
      <c r="K400" s="1194"/>
      <c r="L400" s="1194"/>
      <c r="M400" s="1194"/>
      <c r="N400" s="1194"/>
      <c r="O400" s="1194"/>
      <c r="P400" s="1194"/>
      <c r="Q400" s="1194"/>
      <c r="R400" s="1194"/>
      <c r="S400" s="1194"/>
      <c r="T400" s="1194"/>
      <c r="U400" s="1194"/>
      <c r="V400" s="1194"/>
      <c r="W400" s="1194"/>
      <c r="X400" s="1194"/>
      <c r="Y400" s="1194"/>
      <c r="Z400" s="1194"/>
      <c r="AA400" s="1194"/>
      <c r="AB400" s="1194"/>
      <c r="AC400" s="1194"/>
      <c r="AD400" s="1194"/>
      <c r="AL400" s="565"/>
      <c r="AM400" s="416"/>
      <c r="AN400" s="439"/>
      <c r="BS400" s="416"/>
      <c r="BT400" s="416"/>
      <c r="BU400" s="416"/>
    </row>
    <row r="401" spans="1:81" s="398" customFormat="1" ht="12.75" customHeight="1">
      <c r="A401" s="385"/>
      <c r="B401" s="11"/>
      <c r="C401" s="573"/>
      <c r="D401" s="566"/>
      <c r="E401" s="567"/>
      <c r="F401" s="574" t="s">
        <v>2340</v>
      </c>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70"/>
      <c r="AF401" s="428"/>
      <c r="AG401" s="570"/>
      <c r="AH401" s="561"/>
      <c r="AI401" s="561"/>
      <c r="AJ401" s="561"/>
      <c r="AK401" s="561"/>
      <c r="AL401" s="575"/>
      <c r="AM401" s="416"/>
      <c r="AN401" s="439"/>
      <c r="BS401" s="416"/>
      <c r="BT401" s="416"/>
      <c r="BU401" s="416"/>
    </row>
    <row r="402" spans="1:81" s="398" customFormat="1" ht="12.75" customHeight="1">
      <c r="A402" s="385"/>
      <c r="B402" s="11"/>
      <c r="C402" s="11"/>
      <c r="D402" s="11"/>
      <c r="E402" s="527"/>
      <c r="F402" s="513"/>
      <c r="G402" s="513"/>
      <c r="H402" s="513"/>
      <c r="I402" s="513"/>
      <c r="J402" s="513"/>
      <c r="K402" s="513"/>
      <c r="L402" s="513"/>
      <c r="M402" s="513"/>
      <c r="N402" s="513"/>
      <c r="O402" s="513"/>
      <c r="P402" s="513"/>
      <c r="Q402" s="513"/>
      <c r="R402" s="513"/>
      <c r="S402" s="513"/>
      <c r="T402" s="513"/>
      <c r="U402" s="513"/>
      <c r="V402" s="513"/>
      <c r="W402" s="513"/>
      <c r="X402" s="513"/>
      <c r="Y402" s="513"/>
      <c r="Z402" s="513"/>
      <c r="AA402" s="513"/>
      <c r="AB402" s="513"/>
      <c r="AC402" s="513"/>
      <c r="AD402" s="513"/>
      <c r="AE402" s="385"/>
      <c r="AF402" s="388"/>
      <c r="AG402" s="385"/>
      <c r="AM402" s="416"/>
      <c r="AN402" s="439"/>
      <c r="BS402" s="416"/>
      <c r="BT402" s="416"/>
      <c r="BU402" s="416"/>
    </row>
    <row r="403" spans="1:81" s="398" customFormat="1" ht="12.75" customHeight="1">
      <c r="A403" s="385"/>
      <c r="B403" s="11"/>
      <c r="C403" s="548"/>
      <c r="D403" s="549"/>
      <c r="E403" s="550" t="s">
        <v>2341</v>
      </c>
      <c r="F403" s="2361" t="s">
        <v>2342</v>
      </c>
      <c r="G403" s="2361"/>
      <c r="H403" s="2361"/>
      <c r="I403" s="2361"/>
      <c r="J403" s="2361"/>
      <c r="K403" s="2361"/>
      <c r="L403" s="2361"/>
      <c r="M403" s="2361"/>
      <c r="N403" s="2361"/>
      <c r="O403" s="2361"/>
      <c r="P403" s="2361"/>
      <c r="Q403" s="2361"/>
      <c r="R403" s="2361"/>
      <c r="S403" s="2361"/>
      <c r="T403" s="2361"/>
      <c r="U403" s="2361"/>
      <c r="V403" s="2361"/>
      <c r="W403" s="2361"/>
      <c r="X403" s="2361"/>
      <c r="Y403" s="2361"/>
      <c r="Z403" s="2361"/>
      <c r="AA403" s="2361"/>
      <c r="AB403" s="2361"/>
      <c r="AC403" s="2361"/>
      <c r="AD403" s="2361"/>
      <c r="AE403" s="2361"/>
      <c r="AF403" s="2361"/>
      <c r="AG403" s="551"/>
      <c r="AH403" s="551"/>
      <c r="AI403" s="551"/>
      <c r="AJ403" s="551"/>
      <c r="AK403" s="551"/>
      <c r="AL403" s="552"/>
      <c r="AM403" s="416"/>
      <c r="AN403" s="439"/>
      <c r="BS403" s="416"/>
      <c r="BT403" s="416"/>
      <c r="BU403" s="416"/>
      <c r="BV403" s="416"/>
      <c r="BW403" s="416"/>
      <c r="BX403" s="416"/>
      <c r="BY403" s="416"/>
      <c r="BZ403" s="416"/>
      <c r="CA403" s="416"/>
      <c r="CB403" s="416"/>
      <c r="CC403" s="416"/>
    </row>
    <row r="404" spans="1:81" s="398" customFormat="1" ht="12.75" customHeight="1">
      <c r="A404" s="385"/>
      <c r="B404" s="11"/>
      <c r="C404" s="564"/>
      <c r="D404" s="11"/>
      <c r="E404" s="527"/>
      <c r="F404" s="2362"/>
      <c r="G404" s="2362"/>
      <c r="H404" s="2362"/>
      <c r="I404" s="2362"/>
      <c r="J404" s="2362"/>
      <c r="K404" s="2362"/>
      <c r="L404" s="2362"/>
      <c r="M404" s="2362"/>
      <c r="N404" s="2362"/>
      <c r="O404" s="2362"/>
      <c r="P404" s="2362"/>
      <c r="Q404" s="2362"/>
      <c r="R404" s="2362"/>
      <c r="S404" s="2362"/>
      <c r="T404" s="2362"/>
      <c r="U404" s="2362"/>
      <c r="V404" s="2362"/>
      <c r="W404" s="2362"/>
      <c r="X404" s="2362"/>
      <c r="Y404" s="2362"/>
      <c r="Z404" s="2362"/>
      <c r="AA404" s="2362"/>
      <c r="AB404" s="2362"/>
      <c r="AC404" s="2362"/>
      <c r="AD404" s="2362"/>
      <c r="AE404" s="2362"/>
      <c r="AF404" s="2362"/>
      <c r="AG404" s="388"/>
      <c r="AH404" s="388"/>
      <c r="AI404" s="388"/>
      <c r="AJ404" s="388"/>
      <c r="AK404" s="388"/>
      <c r="AL404" s="1198"/>
      <c r="AM404" s="416"/>
      <c r="AN404" s="439"/>
      <c r="BS404" s="416"/>
      <c r="BT404" s="416"/>
      <c r="BU404" s="416"/>
      <c r="BV404" s="416"/>
      <c r="BW404" s="416"/>
      <c r="BX404" s="416"/>
      <c r="BY404" s="416"/>
      <c r="BZ404" s="416"/>
      <c r="CA404" s="416"/>
      <c r="CB404" s="416"/>
      <c r="CC404" s="416"/>
    </row>
    <row r="405" spans="1:81">
      <c r="A405" s="385"/>
      <c r="C405" s="564"/>
      <c r="E405" s="527"/>
      <c r="F405" s="2362"/>
      <c r="G405" s="2362"/>
      <c r="H405" s="2362"/>
      <c r="I405" s="2362"/>
      <c r="J405" s="2362"/>
      <c r="K405" s="2362"/>
      <c r="L405" s="2362"/>
      <c r="M405" s="2362"/>
      <c r="N405" s="2362"/>
      <c r="O405" s="2362"/>
      <c r="P405" s="2362"/>
      <c r="Q405" s="2362"/>
      <c r="R405" s="2362"/>
      <c r="S405" s="2362"/>
      <c r="T405" s="2362"/>
      <c r="U405" s="2362"/>
      <c r="V405" s="2362"/>
      <c r="W405" s="2362"/>
      <c r="X405" s="2362"/>
      <c r="Y405" s="2362"/>
      <c r="Z405" s="2362"/>
      <c r="AA405" s="2362"/>
      <c r="AB405" s="2362"/>
      <c r="AC405" s="2362"/>
      <c r="AD405" s="2362"/>
      <c r="AE405" s="2362"/>
      <c r="AF405" s="2362"/>
      <c r="AG405" s="388"/>
      <c r="AH405" s="388"/>
      <c r="AI405" s="388"/>
      <c r="AJ405" s="388"/>
      <c r="AK405" s="388"/>
      <c r="AL405" s="1198"/>
      <c r="AM405" s="416"/>
      <c r="BS405" s="416"/>
      <c r="BT405" s="416"/>
      <c r="BU405" s="416"/>
      <c r="BV405" s="416"/>
      <c r="BW405" s="416"/>
      <c r="BX405" s="416"/>
      <c r="BY405" s="416"/>
      <c r="BZ405" s="416"/>
      <c r="CA405" s="416"/>
      <c r="CB405" s="416"/>
      <c r="CC405" s="416"/>
    </row>
    <row r="406" spans="1:81" s="398" customFormat="1" ht="12.75" customHeight="1">
      <c r="A406" s="385"/>
      <c r="B406" s="11"/>
      <c r="C406" s="564"/>
      <c r="D406" s="11"/>
      <c r="E406" s="527"/>
      <c r="F406" s="2362"/>
      <c r="G406" s="2362"/>
      <c r="H406" s="2362"/>
      <c r="I406" s="2362"/>
      <c r="J406" s="2362"/>
      <c r="K406" s="2362"/>
      <c r="L406" s="2362"/>
      <c r="M406" s="2362"/>
      <c r="N406" s="2362"/>
      <c r="O406" s="2362"/>
      <c r="P406" s="2362"/>
      <c r="Q406" s="2362"/>
      <c r="R406" s="2362"/>
      <c r="S406" s="2362"/>
      <c r="T406" s="2362"/>
      <c r="U406" s="2362"/>
      <c r="V406" s="2362"/>
      <c r="W406" s="2362"/>
      <c r="X406" s="2362"/>
      <c r="Y406" s="2362"/>
      <c r="Z406" s="2362"/>
      <c r="AA406" s="2362"/>
      <c r="AB406" s="2362"/>
      <c r="AC406" s="2362"/>
      <c r="AD406" s="2362"/>
      <c r="AE406" s="2362"/>
      <c r="AF406" s="2362"/>
      <c r="AG406" s="388"/>
      <c r="AH406" s="388"/>
      <c r="AI406" s="388"/>
      <c r="AJ406" s="388"/>
      <c r="AK406" s="388"/>
      <c r="AL406" s="1198"/>
      <c r="AM406" s="416"/>
      <c r="AN406" s="439"/>
      <c r="BS406" s="416"/>
      <c r="BT406" s="416"/>
      <c r="BY406" s="416"/>
      <c r="BZ406" s="416"/>
      <c r="CA406" s="416"/>
      <c r="CB406" s="416"/>
      <c r="CC406" s="416"/>
    </row>
    <row r="407" spans="1:81" s="398" customFormat="1" ht="12.75" customHeight="1">
      <c r="A407" s="385"/>
      <c r="B407" s="11"/>
      <c r="C407" s="2371" t="s">
        <v>810</v>
      </c>
      <c r="D407" s="2372"/>
      <c r="E407" s="527"/>
      <c r="F407" s="555" t="s">
        <v>2343</v>
      </c>
      <c r="G407" s="445"/>
      <c r="H407" s="445"/>
      <c r="I407" s="445"/>
      <c r="J407" s="445"/>
      <c r="K407" s="445"/>
      <c r="L407" s="445"/>
      <c r="M407" s="445"/>
      <c r="N407" s="445"/>
      <c r="O407" s="445"/>
      <c r="P407" s="445"/>
      <c r="Q407" s="445"/>
      <c r="R407" s="445"/>
      <c r="S407" s="445"/>
      <c r="T407" s="445"/>
      <c r="U407" s="445"/>
      <c r="V407" s="445"/>
      <c r="W407" s="445"/>
      <c r="X407" s="445"/>
      <c r="Y407" s="445"/>
      <c r="Z407" s="445"/>
      <c r="AA407" s="445"/>
      <c r="AB407" s="445"/>
      <c r="AC407" s="445"/>
      <c r="AD407" s="445"/>
      <c r="AF407" s="2373" t="s">
        <v>2333</v>
      </c>
      <c r="AG407" s="2373"/>
      <c r="AH407" s="2373"/>
      <c r="AI407" s="2373"/>
      <c r="AJ407" s="2373"/>
      <c r="AK407" s="2373"/>
      <c r="AL407" s="2374"/>
      <c r="AM407" s="416"/>
      <c r="AN407" s="439"/>
      <c r="BS407" s="416"/>
      <c r="BT407" s="416"/>
      <c r="BY407" s="416"/>
      <c r="BZ407" s="416"/>
      <c r="CA407" s="416"/>
      <c r="CB407" s="416"/>
      <c r="CC407" s="416"/>
    </row>
    <row r="408" spans="1:81" s="398" customFormat="1" ht="12.75" customHeight="1">
      <c r="A408" s="385"/>
      <c r="B408" s="11"/>
      <c r="C408" s="564"/>
      <c r="D408" s="11"/>
      <c r="E408" s="527"/>
      <c r="G408" s="445"/>
      <c r="H408" s="445"/>
      <c r="I408" s="445"/>
      <c r="J408" s="445"/>
      <c r="K408" s="445"/>
      <c r="L408" s="445"/>
      <c r="M408" s="445"/>
      <c r="N408" s="445"/>
      <c r="O408" s="445"/>
      <c r="P408" s="445"/>
      <c r="Q408" s="445"/>
      <c r="R408" s="445"/>
      <c r="S408" s="445"/>
      <c r="T408" s="445"/>
      <c r="U408" s="445"/>
      <c r="V408" s="445"/>
      <c r="W408" s="445"/>
      <c r="X408" s="445"/>
      <c r="Y408" s="445"/>
      <c r="Z408" s="445"/>
      <c r="AA408" s="445"/>
      <c r="AB408" s="445"/>
      <c r="AC408" s="445"/>
      <c r="AD408" s="445"/>
      <c r="AL408" s="565"/>
      <c r="AM408" s="416"/>
      <c r="AN408" s="439"/>
      <c r="BS408" s="416"/>
      <c r="BT408" s="416"/>
      <c r="BY408" s="416"/>
      <c r="BZ408" s="416"/>
      <c r="CA408" s="416"/>
      <c r="CB408" s="416"/>
      <c r="CC408" s="416"/>
    </row>
    <row r="409" spans="1:81" s="398" customFormat="1" ht="12.75" customHeight="1">
      <c r="A409" s="385"/>
      <c r="B409" s="11"/>
      <c r="C409" s="2371" t="s">
        <v>694</v>
      </c>
      <c r="D409" s="2372"/>
      <c r="E409" s="554"/>
      <c r="F409" s="555" t="s">
        <v>2344</v>
      </c>
      <c r="G409" s="445"/>
      <c r="H409" s="445"/>
      <c r="I409" s="445"/>
      <c r="J409" s="445"/>
      <c r="K409" s="445"/>
      <c r="L409" s="445"/>
      <c r="M409" s="445"/>
      <c r="N409" s="445"/>
      <c r="O409" s="445"/>
      <c r="P409" s="445"/>
      <c r="Q409" s="445"/>
      <c r="R409" s="445"/>
      <c r="S409" s="445"/>
      <c r="T409" s="445"/>
      <c r="U409" s="445"/>
      <c r="V409" s="445"/>
      <c r="W409" s="445"/>
      <c r="X409" s="445"/>
      <c r="Y409" s="445"/>
      <c r="Z409" s="445"/>
      <c r="AA409" s="445"/>
      <c r="AB409" s="445"/>
      <c r="AC409" s="445"/>
      <c r="AD409" s="445"/>
      <c r="AF409" s="2373" t="s">
        <v>2345</v>
      </c>
      <c r="AG409" s="2373"/>
      <c r="AH409" s="2373"/>
      <c r="AI409" s="2373"/>
      <c r="AJ409" s="2373"/>
      <c r="AK409" s="2373"/>
      <c r="AL409" s="2374"/>
      <c r="AM409" s="416"/>
      <c r="AN409" s="439"/>
      <c r="BS409" s="416"/>
      <c r="BT409" s="416"/>
      <c r="BY409" s="416"/>
      <c r="BZ409" s="416"/>
      <c r="CA409" s="416"/>
      <c r="CB409" s="416"/>
      <c r="CC409" s="416"/>
    </row>
    <row r="410" spans="1:81" s="398" customFormat="1" ht="12.75" customHeight="1">
      <c r="A410" s="385"/>
      <c r="B410" s="11"/>
      <c r="C410" s="576"/>
      <c r="D410" s="561"/>
      <c r="E410" s="558"/>
      <c r="F410" s="561"/>
      <c r="G410" s="560"/>
      <c r="H410" s="560"/>
      <c r="I410" s="560"/>
      <c r="J410" s="560"/>
      <c r="K410" s="560"/>
      <c r="L410" s="560"/>
      <c r="M410" s="560"/>
      <c r="N410" s="560"/>
      <c r="O410" s="560"/>
      <c r="P410" s="560"/>
      <c r="Q410" s="560"/>
      <c r="R410" s="560"/>
      <c r="S410" s="560"/>
      <c r="T410" s="560"/>
      <c r="U410" s="560"/>
      <c r="V410" s="560"/>
      <c r="W410" s="560"/>
      <c r="X410" s="560"/>
      <c r="Y410" s="560"/>
      <c r="Z410" s="560"/>
      <c r="AA410" s="560"/>
      <c r="AB410" s="560"/>
      <c r="AC410" s="560"/>
      <c r="AD410" s="560"/>
      <c r="AE410" s="561"/>
      <c r="AF410" s="561"/>
      <c r="AG410" s="561"/>
      <c r="AH410" s="561"/>
      <c r="AI410" s="561"/>
      <c r="AJ410" s="561"/>
      <c r="AK410" s="561"/>
      <c r="AL410" s="575"/>
      <c r="AM410" s="416"/>
      <c r="AN410" s="439"/>
      <c r="BS410" s="416"/>
      <c r="BT410" s="416"/>
      <c r="BY410" s="416"/>
      <c r="BZ410" s="416"/>
      <c r="CA410" s="416"/>
      <c r="CB410" s="416"/>
      <c r="CC410" s="416"/>
    </row>
    <row r="411" spans="1:81" s="398" customFormat="1" ht="12.75" customHeight="1">
      <c r="A411" s="385"/>
      <c r="B411" s="11"/>
      <c r="C411" s="11"/>
      <c r="D411" s="11"/>
      <c r="E411" s="527"/>
      <c r="G411" s="445"/>
      <c r="H411" s="445"/>
      <c r="I411" s="445"/>
      <c r="J411" s="445"/>
      <c r="K411" s="445"/>
      <c r="L411" s="445"/>
      <c r="M411" s="445"/>
      <c r="N411" s="445"/>
      <c r="O411" s="445"/>
      <c r="P411" s="445"/>
      <c r="Q411" s="445"/>
      <c r="R411" s="445"/>
      <c r="S411" s="445"/>
      <c r="T411" s="445"/>
      <c r="U411" s="445"/>
      <c r="V411" s="445"/>
      <c r="W411" s="445"/>
      <c r="X411" s="445"/>
      <c r="Y411" s="445"/>
      <c r="Z411" s="445"/>
      <c r="AA411" s="445"/>
      <c r="AB411" s="445"/>
      <c r="AC411" s="445"/>
      <c r="AD411" s="445"/>
      <c r="AE411" s="385"/>
      <c r="AF411" s="388"/>
      <c r="AG411" s="385"/>
      <c r="AM411" s="416"/>
      <c r="AN411" s="439"/>
      <c r="BS411" s="416"/>
      <c r="BT411" s="416"/>
      <c r="BY411" s="416"/>
      <c r="BZ411" s="416"/>
      <c r="CA411" s="416"/>
      <c r="CB411" s="416"/>
      <c r="CC411" s="416"/>
    </row>
    <row r="412" spans="1:81" s="398" customFormat="1" ht="12.75" customHeight="1">
      <c r="A412" s="385"/>
      <c r="B412" s="11"/>
      <c r="C412" s="2371" t="s">
        <v>810</v>
      </c>
      <c r="D412" s="2372"/>
      <c r="E412" s="550" t="s">
        <v>2346</v>
      </c>
      <c r="F412" s="2361" t="s">
        <v>2347</v>
      </c>
      <c r="G412" s="2361"/>
      <c r="H412" s="2361"/>
      <c r="I412" s="2361"/>
      <c r="J412" s="2361"/>
      <c r="K412" s="2361"/>
      <c r="L412" s="2361"/>
      <c r="M412" s="2361"/>
      <c r="N412" s="2361"/>
      <c r="O412" s="2361"/>
      <c r="P412" s="2361"/>
      <c r="Q412" s="2361"/>
      <c r="R412" s="2361"/>
      <c r="S412" s="2361"/>
      <c r="T412" s="2361"/>
      <c r="U412" s="2361"/>
      <c r="V412" s="2361"/>
      <c r="W412" s="2361"/>
      <c r="X412" s="2361"/>
      <c r="Y412" s="2361"/>
      <c r="Z412" s="2361"/>
      <c r="AA412" s="2361"/>
      <c r="AB412" s="2361"/>
      <c r="AC412" s="2361"/>
      <c r="AD412" s="2361"/>
      <c r="AE412" s="2361"/>
      <c r="AF412" s="551"/>
      <c r="AG412" s="577"/>
      <c r="AH412" s="549"/>
      <c r="AI412" s="549"/>
      <c r="AJ412" s="549"/>
      <c r="AK412" s="549"/>
      <c r="AL412" s="578"/>
      <c r="AM412" s="416"/>
      <c r="AN412" s="439"/>
      <c r="BS412" s="416"/>
      <c r="BT412" s="416"/>
      <c r="BY412" s="416"/>
      <c r="BZ412" s="416"/>
      <c r="CA412" s="416"/>
      <c r="CB412" s="416"/>
      <c r="CC412" s="416"/>
    </row>
    <row r="413" spans="1:81" s="398" customFormat="1" ht="12.75" customHeight="1">
      <c r="A413" s="385"/>
      <c r="B413" s="11"/>
      <c r="C413" s="572"/>
      <c r="F413" s="2362"/>
      <c r="G413" s="2362"/>
      <c r="H413" s="2362"/>
      <c r="I413" s="2362"/>
      <c r="J413" s="2362"/>
      <c r="K413" s="2362"/>
      <c r="L413" s="2362"/>
      <c r="M413" s="2362"/>
      <c r="N413" s="2362"/>
      <c r="O413" s="2362"/>
      <c r="P413" s="2362"/>
      <c r="Q413" s="2362"/>
      <c r="R413" s="2362"/>
      <c r="S413" s="2362"/>
      <c r="T413" s="2362"/>
      <c r="U413" s="2362"/>
      <c r="V413" s="2362"/>
      <c r="W413" s="2362"/>
      <c r="X413" s="2362"/>
      <c r="Y413" s="2362"/>
      <c r="Z413" s="2362"/>
      <c r="AA413" s="2362"/>
      <c r="AB413" s="2362"/>
      <c r="AC413" s="2362"/>
      <c r="AD413" s="2362"/>
      <c r="AE413" s="2362"/>
      <c r="AF413" s="2451" t="s">
        <v>2333</v>
      </c>
      <c r="AG413" s="2451"/>
      <c r="AH413" s="2451"/>
      <c r="AI413" s="2451"/>
      <c r="AJ413" s="2451"/>
      <c r="AK413" s="2451"/>
      <c r="AL413" s="2460"/>
      <c r="AM413" s="416"/>
      <c r="AN413" s="439"/>
      <c r="BS413" s="416"/>
      <c r="BT413" s="416"/>
      <c r="BY413" s="416"/>
      <c r="BZ413" s="416"/>
      <c r="CA413" s="416"/>
      <c r="CB413" s="416"/>
      <c r="CC413" s="416"/>
    </row>
    <row r="414" spans="1:81" s="398" customFormat="1" ht="12.75" customHeight="1">
      <c r="A414" s="385"/>
      <c r="B414" s="11"/>
      <c r="C414" s="564"/>
      <c r="D414" s="11"/>
      <c r="E414" s="527"/>
      <c r="F414" s="2362"/>
      <c r="G414" s="2362"/>
      <c r="H414" s="2362"/>
      <c r="I414" s="2362"/>
      <c r="J414" s="2362"/>
      <c r="K414" s="2362"/>
      <c r="L414" s="2362"/>
      <c r="M414" s="2362"/>
      <c r="N414" s="2362"/>
      <c r="O414" s="2362"/>
      <c r="P414" s="2362"/>
      <c r="Q414" s="2362"/>
      <c r="R414" s="2362"/>
      <c r="S414" s="2362"/>
      <c r="T414" s="2362"/>
      <c r="U414" s="2362"/>
      <c r="V414" s="2362"/>
      <c r="W414" s="2362"/>
      <c r="X414" s="2362"/>
      <c r="Y414" s="2362"/>
      <c r="Z414" s="2362"/>
      <c r="AA414" s="2362"/>
      <c r="AB414" s="2362"/>
      <c r="AC414" s="2362"/>
      <c r="AD414" s="2362"/>
      <c r="AE414" s="2362"/>
      <c r="AL414" s="565"/>
      <c r="AM414" s="416"/>
      <c r="AN414" s="439"/>
      <c r="BS414" s="416"/>
      <c r="BT414" s="416"/>
      <c r="BU414" s="416"/>
      <c r="BV414" s="416"/>
      <c r="BW414" s="416"/>
      <c r="BX414" s="416"/>
      <c r="BY414" s="416"/>
      <c r="BZ414" s="416"/>
      <c r="CA414" s="416"/>
      <c r="CB414" s="416"/>
      <c r="CC414" s="416"/>
    </row>
    <row r="415" spans="1:81" s="398" customFormat="1" ht="12.75" customHeight="1">
      <c r="A415" s="385"/>
      <c r="B415" s="11"/>
      <c r="C415" s="573"/>
      <c r="D415" s="566"/>
      <c r="E415" s="567"/>
      <c r="F415" s="2363"/>
      <c r="G415" s="2363"/>
      <c r="H415" s="2363"/>
      <c r="I415" s="2363"/>
      <c r="J415" s="2363"/>
      <c r="K415" s="2363"/>
      <c r="L415" s="2363"/>
      <c r="M415" s="2363"/>
      <c r="N415" s="2363"/>
      <c r="O415" s="2363"/>
      <c r="P415" s="2363"/>
      <c r="Q415" s="2363"/>
      <c r="R415" s="2363"/>
      <c r="S415" s="2363"/>
      <c r="T415" s="2363"/>
      <c r="U415" s="2363"/>
      <c r="V415" s="2363"/>
      <c r="W415" s="2363"/>
      <c r="X415" s="2363"/>
      <c r="Y415" s="2363"/>
      <c r="Z415" s="2363"/>
      <c r="AA415" s="2363"/>
      <c r="AB415" s="2363"/>
      <c r="AC415" s="2363"/>
      <c r="AD415" s="2363"/>
      <c r="AE415" s="2363"/>
      <c r="AF415" s="428"/>
      <c r="AG415" s="570"/>
      <c r="AH415" s="561"/>
      <c r="AI415" s="561"/>
      <c r="AJ415" s="561"/>
      <c r="AK415" s="561"/>
      <c r="AL415" s="575"/>
      <c r="AM415" s="416"/>
      <c r="AN415" s="439"/>
    </row>
    <row r="416" spans="1:81">
      <c r="A416" s="385"/>
      <c r="E416" s="527"/>
      <c r="F416" s="445"/>
      <c r="G416" s="445"/>
      <c r="H416" s="445"/>
      <c r="I416" s="445"/>
      <c r="J416" s="445"/>
      <c r="K416" s="445"/>
      <c r="L416" s="445"/>
      <c r="M416" s="445"/>
      <c r="N416" s="445"/>
      <c r="O416" s="445"/>
      <c r="P416" s="445"/>
      <c r="Q416" s="445"/>
      <c r="R416" s="445"/>
      <c r="S416" s="445"/>
      <c r="T416" s="445"/>
      <c r="U416" s="445"/>
      <c r="V416" s="445"/>
      <c r="W416" s="445"/>
      <c r="X416" s="445"/>
      <c r="Y416" s="445"/>
      <c r="Z416" s="445"/>
      <c r="AA416" s="445"/>
      <c r="AB416" s="445"/>
      <c r="AC416" s="445"/>
      <c r="AD416" s="445"/>
      <c r="AE416" s="385"/>
      <c r="AF416" s="388"/>
      <c r="AG416" s="385"/>
      <c r="AH416" s="398"/>
      <c r="AI416" s="398"/>
      <c r="AJ416" s="398"/>
      <c r="AK416" s="398"/>
      <c r="AL416" s="398"/>
      <c r="AM416" s="416"/>
    </row>
    <row r="417" spans="1:55" ht="12.75" customHeight="1">
      <c r="A417" s="385"/>
      <c r="C417" s="579"/>
      <c r="D417" s="580"/>
      <c r="E417" s="550" t="s">
        <v>2348</v>
      </c>
      <c r="F417" s="2361" t="s">
        <v>2349</v>
      </c>
      <c r="G417" s="2361"/>
      <c r="H417" s="2361"/>
      <c r="I417" s="2361"/>
      <c r="J417" s="2361"/>
      <c r="K417" s="2361"/>
      <c r="L417" s="2361"/>
      <c r="M417" s="2361"/>
      <c r="N417" s="2361"/>
      <c r="O417" s="2361"/>
      <c r="P417" s="2361"/>
      <c r="Q417" s="2361"/>
      <c r="R417" s="2361"/>
      <c r="S417" s="2361"/>
      <c r="T417" s="2361"/>
      <c r="U417" s="2361"/>
      <c r="V417" s="2361"/>
      <c r="W417" s="2361"/>
      <c r="X417" s="2361"/>
      <c r="Y417" s="2361"/>
      <c r="Z417" s="2361"/>
      <c r="AA417" s="2361"/>
      <c r="AB417" s="2361"/>
      <c r="AC417" s="2361"/>
      <c r="AD417" s="2361"/>
      <c r="AE417" s="2361"/>
      <c r="AF417" s="580"/>
      <c r="AG417" s="580"/>
      <c r="AH417" s="580"/>
      <c r="AI417" s="580"/>
      <c r="AJ417" s="580"/>
      <c r="AK417" s="580"/>
      <c r="AL417" s="581"/>
      <c r="AM417" s="416"/>
    </row>
    <row r="418" spans="1:55">
      <c r="A418" s="385"/>
      <c r="C418" s="564"/>
      <c r="E418" s="527"/>
      <c r="F418" s="2362"/>
      <c r="G418" s="2362"/>
      <c r="H418" s="2362"/>
      <c r="I418" s="2362"/>
      <c r="J418" s="2362"/>
      <c r="K418" s="2362"/>
      <c r="L418" s="2362"/>
      <c r="M418" s="2362"/>
      <c r="N418" s="2362"/>
      <c r="O418" s="2362"/>
      <c r="P418" s="2362"/>
      <c r="Q418" s="2362"/>
      <c r="R418" s="2362"/>
      <c r="S418" s="2362"/>
      <c r="T418" s="2362"/>
      <c r="U418" s="2362"/>
      <c r="V418" s="2362"/>
      <c r="W418" s="2362"/>
      <c r="X418" s="2362"/>
      <c r="Y418" s="2362"/>
      <c r="Z418" s="2362"/>
      <c r="AA418" s="2362"/>
      <c r="AB418" s="2362"/>
      <c r="AC418" s="2362"/>
      <c r="AD418" s="2362"/>
      <c r="AE418" s="2362"/>
      <c r="AF418" s="388"/>
      <c r="AG418" s="385"/>
      <c r="AH418" s="398"/>
      <c r="AI418" s="398"/>
      <c r="AJ418" s="398"/>
      <c r="AK418" s="398"/>
      <c r="AL418" s="565"/>
      <c r="AM418" s="416"/>
    </row>
    <row r="419" spans="1:55" s="398" customFormat="1" ht="12.75" customHeight="1">
      <c r="A419" s="385"/>
      <c r="B419" s="11"/>
      <c r="C419" s="564"/>
      <c r="D419" s="11"/>
      <c r="E419" s="527"/>
      <c r="F419" s="2362"/>
      <c r="G419" s="2362"/>
      <c r="H419" s="2362"/>
      <c r="I419" s="2362"/>
      <c r="J419" s="2362"/>
      <c r="K419" s="2362"/>
      <c r="L419" s="2362"/>
      <c r="M419" s="2362"/>
      <c r="N419" s="2362"/>
      <c r="O419" s="2362"/>
      <c r="P419" s="2362"/>
      <c r="Q419" s="2362"/>
      <c r="R419" s="2362"/>
      <c r="S419" s="2362"/>
      <c r="T419" s="2362"/>
      <c r="U419" s="2362"/>
      <c r="V419" s="2362"/>
      <c r="W419" s="2362"/>
      <c r="X419" s="2362"/>
      <c r="Y419" s="2362"/>
      <c r="Z419" s="2362"/>
      <c r="AA419" s="2362"/>
      <c r="AB419" s="2362"/>
      <c r="AC419" s="2362"/>
      <c r="AD419" s="2362"/>
      <c r="AE419" s="2362"/>
      <c r="AL419" s="565"/>
      <c r="AM419" s="416"/>
      <c r="AN419" s="439"/>
    </row>
    <row r="420" spans="1:55" s="398" customFormat="1" ht="12.75" customHeight="1">
      <c r="A420" s="385"/>
      <c r="B420" s="11"/>
      <c r="C420" s="572"/>
      <c r="F420" s="2362"/>
      <c r="G420" s="2362"/>
      <c r="H420" s="2362"/>
      <c r="I420" s="2362"/>
      <c r="J420" s="2362"/>
      <c r="K420" s="2362"/>
      <c r="L420" s="2362"/>
      <c r="M420" s="2362"/>
      <c r="N420" s="2362"/>
      <c r="O420" s="2362"/>
      <c r="P420" s="2362"/>
      <c r="Q420" s="2362"/>
      <c r="R420" s="2362"/>
      <c r="S420" s="2362"/>
      <c r="T420" s="2362"/>
      <c r="U420" s="2362"/>
      <c r="V420" s="2362"/>
      <c r="W420" s="2362"/>
      <c r="X420" s="2362"/>
      <c r="Y420" s="2362"/>
      <c r="Z420" s="2362"/>
      <c r="AA420" s="2362"/>
      <c r="AB420" s="2362"/>
      <c r="AC420" s="2362"/>
      <c r="AD420" s="2362"/>
      <c r="AE420" s="2362"/>
      <c r="AL420" s="565"/>
      <c r="AM420" s="416"/>
      <c r="AN420" s="439"/>
    </row>
    <row r="421" spans="1:55" s="398" customFormat="1" ht="12.75" customHeight="1">
      <c r="A421" s="385"/>
      <c r="B421" s="11"/>
      <c r="C421" s="2371" t="s">
        <v>810</v>
      </c>
      <c r="D421" s="2372"/>
      <c r="E421" s="527"/>
      <c r="F421" s="555" t="s">
        <v>2350</v>
      </c>
      <c r="G421" s="445"/>
      <c r="H421" s="445"/>
      <c r="I421" s="445"/>
      <c r="J421" s="445"/>
      <c r="K421" s="445"/>
      <c r="L421" s="445"/>
      <c r="M421" s="445"/>
      <c r="N421" s="445"/>
      <c r="O421" s="445"/>
      <c r="P421" s="445"/>
      <c r="Q421" s="445"/>
      <c r="R421" s="445"/>
      <c r="S421" s="445"/>
      <c r="T421" s="445"/>
      <c r="U421" s="445"/>
      <c r="V421" s="445"/>
      <c r="W421" s="445"/>
      <c r="X421" s="445"/>
      <c r="Y421" s="445"/>
      <c r="Z421" s="445"/>
      <c r="AA421" s="445"/>
      <c r="AB421" s="445"/>
      <c r="AC421" s="445"/>
      <c r="AD421" s="445"/>
      <c r="AF421" s="2451" t="s">
        <v>2333</v>
      </c>
      <c r="AG421" s="2451"/>
      <c r="AH421" s="2451"/>
      <c r="AI421" s="2451"/>
      <c r="AJ421" s="2451"/>
      <c r="AK421" s="2451"/>
      <c r="AL421" s="2460"/>
      <c r="AM421" s="416"/>
      <c r="AN421" s="439"/>
    </row>
    <row r="422" spans="1:55" s="398" customFormat="1" ht="12.75" customHeight="1">
      <c r="A422" s="385"/>
      <c r="B422" s="11"/>
      <c r="C422" s="572"/>
      <c r="AL422" s="565"/>
      <c r="AM422" s="416"/>
      <c r="AN422" s="439"/>
    </row>
    <row r="423" spans="1:55" s="398" customFormat="1" ht="12.75" customHeight="1">
      <c r="A423" s="385"/>
      <c r="B423" s="11"/>
      <c r="C423" s="2371" t="s">
        <v>810</v>
      </c>
      <c r="D423" s="2372"/>
      <c r="E423" s="554"/>
      <c r="F423" s="555" t="s">
        <v>2351</v>
      </c>
      <c r="G423" s="445"/>
      <c r="H423" s="445"/>
      <c r="I423" s="445"/>
      <c r="J423" s="445"/>
      <c r="K423" s="445"/>
      <c r="L423" s="445"/>
      <c r="M423" s="445"/>
      <c r="N423" s="445"/>
      <c r="O423" s="445"/>
      <c r="P423" s="445"/>
      <c r="Q423" s="445"/>
      <c r="R423" s="445"/>
      <c r="S423" s="445"/>
      <c r="T423" s="445"/>
      <c r="U423" s="445"/>
      <c r="V423" s="445"/>
      <c r="W423" s="445"/>
      <c r="X423" s="445"/>
      <c r="Y423" s="445"/>
      <c r="Z423" s="445"/>
      <c r="AA423" s="445"/>
      <c r="AB423" s="445"/>
      <c r="AC423" s="445"/>
      <c r="AD423" s="445"/>
      <c r="AF423" s="2451" t="s">
        <v>2345</v>
      </c>
      <c r="AG423" s="2451"/>
      <c r="AH423" s="2451"/>
      <c r="AI423" s="2451"/>
      <c r="AJ423" s="2451"/>
      <c r="AK423" s="2451"/>
      <c r="AL423" s="2460"/>
      <c r="AM423" s="416"/>
      <c r="AN423" s="439"/>
      <c r="AO423" s="438"/>
      <c r="AP423" s="438"/>
      <c r="BC423" s="11"/>
    </row>
    <row r="424" spans="1:55" s="398" customFormat="1" ht="12.75" customHeight="1">
      <c r="A424" s="385"/>
      <c r="B424" s="11"/>
      <c r="C424" s="566"/>
      <c r="D424" s="566"/>
      <c r="E424" s="567"/>
      <c r="F424" s="559"/>
      <c r="G424" s="560"/>
      <c r="H424" s="560"/>
      <c r="I424" s="560"/>
      <c r="J424" s="560"/>
      <c r="K424" s="560"/>
      <c r="L424" s="560"/>
      <c r="M424" s="560"/>
      <c r="N424" s="560"/>
      <c r="O424" s="560"/>
      <c r="P424" s="560"/>
      <c r="Q424" s="560"/>
      <c r="R424" s="560"/>
      <c r="S424" s="560"/>
      <c r="T424" s="560"/>
      <c r="U424" s="560"/>
      <c r="V424" s="560"/>
      <c r="W424" s="560"/>
      <c r="X424" s="560"/>
      <c r="Y424" s="560"/>
      <c r="Z424" s="560"/>
      <c r="AA424" s="560"/>
      <c r="AB424" s="560"/>
      <c r="AC424" s="560"/>
      <c r="AD424" s="560"/>
      <c r="AE424" s="570"/>
      <c r="AF424" s="428"/>
      <c r="AG424" s="570"/>
      <c r="AH424" s="561"/>
      <c r="AI424" s="561"/>
      <c r="AJ424" s="561"/>
      <c r="AK424" s="561"/>
      <c r="AL424" s="575"/>
      <c r="AM424" s="416"/>
      <c r="AN424" s="439"/>
    </row>
    <row r="425" spans="1:55" s="398" customFormat="1" ht="12.75" customHeight="1">
      <c r="A425" s="385"/>
      <c r="B425" s="11"/>
      <c r="C425" s="11"/>
      <c r="D425" s="11"/>
      <c r="E425" s="527"/>
      <c r="F425" s="555"/>
      <c r="G425" s="445"/>
      <c r="H425" s="445"/>
      <c r="I425" s="445"/>
      <c r="J425" s="445"/>
      <c r="K425" s="445"/>
      <c r="L425" s="445"/>
      <c r="M425" s="445"/>
      <c r="N425" s="445"/>
      <c r="O425" s="445"/>
      <c r="P425" s="445"/>
      <c r="Q425" s="445"/>
      <c r="R425" s="445"/>
      <c r="S425" s="445"/>
      <c r="T425" s="445"/>
      <c r="U425" s="445"/>
      <c r="V425" s="445"/>
      <c r="W425" s="445"/>
      <c r="X425" s="445"/>
      <c r="Y425" s="445"/>
      <c r="Z425" s="445"/>
      <c r="AA425" s="445"/>
      <c r="AB425" s="445"/>
      <c r="AC425" s="445"/>
      <c r="AD425" s="445"/>
      <c r="AE425" s="385"/>
      <c r="AF425" s="388"/>
      <c r="AG425" s="385"/>
      <c r="AM425" s="416"/>
      <c r="AN425" s="439"/>
    </row>
    <row r="426" spans="1:55" s="398" customFormat="1" ht="12.75" customHeight="1">
      <c r="A426" s="385"/>
      <c r="B426" s="11"/>
      <c r="C426" s="547" t="s">
        <v>2352</v>
      </c>
      <c r="D426" s="11"/>
      <c r="E426" s="527"/>
      <c r="F426" s="445"/>
      <c r="G426" s="445"/>
      <c r="H426" s="445"/>
      <c r="I426" s="445"/>
      <c r="J426" s="445"/>
      <c r="K426" s="445"/>
      <c r="L426" s="445"/>
      <c r="M426" s="445"/>
      <c r="N426" s="445"/>
      <c r="O426" s="445"/>
      <c r="P426" s="445"/>
      <c r="Q426" s="445"/>
      <c r="R426" s="445"/>
      <c r="S426" s="445"/>
      <c r="T426" s="445"/>
      <c r="U426" s="445"/>
      <c r="V426" s="445"/>
      <c r="W426" s="445"/>
      <c r="X426" s="445"/>
      <c r="Y426" s="445"/>
      <c r="Z426" s="445"/>
      <c r="AA426" s="445"/>
      <c r="AB426" s="445"/>
      <c r="AC426" s="445"/>
      <c r="AD426" s="445"/>
      <c r="AE426" s="385"/>
      <c r="AF426" s="388"/>
      <c r="AG426" s="385"/>
      <c r="AM426" s="416"/>
      <c r="AN426" s="439"/>
    </row>
    <row r="427" spans="1:55" s="398" customFormat="1" ht="12.75" customHeight="1">
      <c r="A427" s="385"/>
      <c r="B427" s="11"/>
      <c r="C427" s="548"/>
      <c r="D427" s="549"/>
      <c r="E427" s="550" t="s">
        <v>2353</v>
      </c>
      <c r="F427" s="2361" t="s">
        <v>2354</v>
      </c>
      <c r="G427" s="2361"/>
      <c r="H427" s="2361"/>
      <c r="I427" s="2361"/>
      <c r="J427" s="2361"/>
      <c r="K427" s="2361"/>
      <c r="L427" s="2361"/>
      <c r="M427" s="2361"/>
      <c r="N427" s="2361"/>
      <c r="O427" s="2361"/>
      <c r="P427" s="2361"/>
      <c r="Q427" s="2361"/>
      <c r="R427" s="2361"/>
      <c r="S427" s="2361"/>
      <c r="T427" s="2361"/>
      <c r="U427" s="2361"/>
      <c r="V427" s="2361"/>
      <c r="W427" s="2361"/>
      <c r="X427" s="2361"/>
      <c r="Y427" s="2361"/>
      <c r="Z427" s="2361"/>
      <c r="AA427" s="2361"/>
      <c r="AB427" s="2361"/>
      <c r="AC427" s="2361"/>
      <c r="AD427" s="2361"/>
      <c r="AE427" s="2361"/>
      <c r="AF427" s="549"/>
      <c r="AG427" s="549"/>
      <c r="AH427" s="549"/>
      <c r="AI427" s="549"/>
      <c r="AJ427" s="549"/>
      <c r="AK427" s="549"/>
      <c r="AL427" s="578"/>
      <c r="AM427" s="416"/>
      <c r="AN427" s="439"/>
    </row>
    <row r="428" spans="1:55" s="398" customFormat="1" ht="12.75" customHeight="1">
      <c r="A428" s="385"/>
      <c r="B428" s="11"/>
      <c r="C428" s="564"/>
      <c r="D428" s="11"/>
      <c r="E428" s="527"/>
      <c r="F428" s="2362"/>
      <c r="G428" s="2362"/>
      <c r="H428" s="2362"/>
      <c r="I428" s="2362"/>
      <c r="J428" s="2362"/>
      <c r="K428" s="2362"/>
      <c r="L428" s="2362"/>
      <c r="M428" s="2362"/>
      <c r="N428" s="2362"/>
      <c r="O428" s="2362"/>
      <c r="P428" s="2362"/>
      <c r="Q428" s="2362"/>
      <c r="R428" s="2362"/>
      <c r="S428" s="2362"/>
      <c r="T428" s="2362"/>
      <c r="U428" s="2362"/>
      <c r="V428" s="2362"/>
      <c r="W428" s="2362"/>
      <c r="X428" s="2362"/>
      <c r="Y428" s="2362"/>
      <c r="Z428" s="2362"/>
      <c r="AA428" s="2362"/>
      <c r="AB428" s="2362"/>
      <c r="AC428" s="2362"/>
      <c r="AD428" s="2362"/>
      <c r="AE428" s="2362"/>
      <c r="AF428" s="388"/>
      <c r="AG428" s="385"/>
      <c r="AL428" s="565"/>
      <c r="AM428" s="416"/>
      <c r="AN428" s="439"/>
    </row>
    <row r="429" spans="1:55" s="398" customFormat="1" ht="12.45" customHeight="1">
      <c r="A429" s="385"/>
      <c r="B429" s="11"/>
      <c r="C429" s="564"/>
      <c r="D429" s="11"/>
      <c r="E429" s="527"/>
      <c r="F429" s="2362"/>
      <c r="G429" s="2362"/>
      <c r="H429" s="2362"/>
      <c r="I429" s="2362"/>
      <c r="J429" s="2362"/>
      <c r="K429" s="2362"/>
      <c r="L429" s="2362"/>
      <c r="M429" s="2362"/>
      <c r="N429" s="2362"/>
      <c r="O429" s="2362"/>
      <c r="P429" s="2362"/>
      <c r="Q429" s="2362"/>
      <c r="R429" s="2362"/>
      <c r="S429" s="2362"/>
      <c r="T429" s="2362"/>
      <c r="U429" s="2362"/>
      <c r="V429" s="2362"/>
      <c r="W429" s="2362"/>
      <c r="X429" s="2362"/>
      <c r="Y429" s="2362"/>
      <c r="Z429" s="2362"/>
      <c r="AA429" s="2362"/>
      <c r="AB429" s="2362"/>
      <c r="AC429" s="2362"/>
      <c r="AD429" s="2362"/>
      <c r="AE429" s="2362"/>
      <c r="AL429" s="565"/>
      <c r="AM429" s="416"/>
      <c r="AN429" s="439"/>
    </row>
    <row r="430" spans="1:55" s="398" customFormat="1" ht="12.75" customHeight="1">
      <c r="A430" s="385"/>
      <c r="B430" s="11"/>
      <c r="C430" s="2371" t="s">
        <v>810</v>
      </c>
      <c r="D430" s="2372"/>
      <c r="E430" s="527"/>
      <c r="F430" s="555" t="s">
        <v>2355</v>
      </c>
      <c r="G430" s="582"/>
      <c r="H430" s="582"/>
      <c r="I430" s="582"/>
      <c r="J430" s="582"/>
      <c r="K430" s="582"/>
      <c r="L430" s="582"/>
      <c r="M430" s="582"/>
      <c r="N430" s="582"/>
      <c r="O430" s="582"/>
      <c r="P430" s="582"/>
      <c r="Q430" s="582"/>
      <c r="R430" s="582"/>
      <c r="S430" s="582"/>
      <c r="T430" s="582"/>
      <c r="U430" s="582"/>
      <c r="V430" s="582"/>
      <c r="W430" s="582"/>
      <c r="X430" s="582"/>
      <c r="Y430" s="582"/>
      <c r="Z430" s="582"/>
      <c r="AA430" s="582"/>
      <c r="AB430" s="582"/>
      <c r="AC430" s="582"/>
      <c r="AD430" s="582"/>
      <c r="AF430" s="2451" t="s">
        <v>2333</v>
      </c>
      <c r="AG430" s="2451"/>
      <c r="AH430" s="2451"/>
      <c r="AI430" s="2451"/>
      <c r="AJ430" s="2451"/>
      <c r="AK430" s="2451"/>
      <c r="AL430" s="2460"/>
      <c r="AM430" s="416"/>
      <c r="AN430" s="439"/>
    </row>
    <row r="431" spans="1:55" s="398" customFormat="1" ht="12.75" customHeight="1">
      <c r="A431" s="385"/>
      <c r="B431" s="11"/>
      <c r="C431" s="576"/>
      <c r="D431" s="561"/>
      <c r="E431" s="558"/>
      <c r="F431" s="574"/>
      <c r="G431" s="560"/>
      <c r="H431" s="560"/>
      <c r="I431" s="560"/>
      <c r="J431" s="560"/>
      <c r="K431" s="560"/>
      <c r="L431" s="560"/>
      <c r="M431" s="560"/>
      <c r="N431" s="560"/>
      <c r="O431" s="560"/>
      <c r="P431" s="560"/>
      <c r="Q431" s="560"/>
      <c r="R431" s="560"/>
      <c r="S431" s="560"/>
      <c r="T431" s="560"/>
      <c r="U431" s="560"/>
      <c r="V431" s="560"/>
      <c r="W431" s="560"/>
      <c r="X431" s="560"/>
      <c r="Y431" s="560"/>
      <c r="Z431" s="560"/>
      <c r="AA431" s="560"/>
      <c r="AB431" s="560"/>
      <c r="AC431" s="560"/>
      <c r="AD431" s="560"/>
      <c r="AE431" s="561"/>
      <c r="AF431" s="561"/>
      <c r="AG431" s="561"/>
      <c r="AH431" s="561"/>
      <c r="AI431" s="561"/>
      <c r="AJ431" s="561"/>
      <c r="AK431" s="561"/>
      <c r="AL431" s="575"/>
      <c r="AM431" s="416"/>
      <c r="AN431" s="439"/>
    </row>
    <row r="432" spans="1:55" s="398" customFormat="1" ht="12.75" customHeight="1">
      <c r="A432" s="385"/>
      <c r="B432" s="11"/>
      <c r="C432" s="1199"/>
      <c r="D432" s="1199"/>
      <c r="E432" s="554"/>
      <c r="F432" s="555"/>
      <c r="G432" s="445"/>
      <c r="H432" s="445"/>
      <c r="I432" s="445"/>
      <c r="J432" s="445"/>
      <c r="K432" s="445"/>
      <c r="L432" s="445"/>
      <c r="M432" s="445"/>
      <c r="N432" s="445"/>
      <c r="O432" s="445"/>
      <c r="P432" s="445"/>
      <c r="Q432" s="445"/>
      <c r="R432" s="445"/>
      <c r="S432" s="445"/>
      <c r="T432" s="445"/>
      <c r="U432" s="445"/>
      <c r="V432" s="445"/>
      <c r="W432" s="445"/>
      <c r="X432" s="445"/>
      <c r="Y432" s="445"/>
      <c r="Z432" s="445"/>
      <c r="AA432" s="445"/>
      <c r="AB432" s="445"/>
      <c r="AC432" s="445"/>
      <c r="AD432" s="445"/>
      <c r="AE432" s="385"/>
      <c r="AM432" s="416"/>
      <c r="AN432" s="439"/>
    </row>
    <row r="433" spans="1:60" ht="13.2" customHeight="1">
      <c r="A433" s="385"/>
      <c r="C433" s="579"/>
      <c r="D433" s="580"/>
      <c r="E433" s="550" t="s">
        <v>2356</v>
      </c>
      <c r="F433" s="2361" t="s">
        <v>2357</v>
      </c>
      <c r="G433" s="2361"/>
      <c r="H433" s="2361"/>
      <c r="I433" s="2361"/>
      <c r="J433" s="2361"/>
      <c r="K433" s="2361"/>
      <c r="L433" s="2361"/>
      <c r="M433" s="2361"/>
      <c r="N433" s="2361"/>
      <c r="O433" s="2361"/>
      <c r="P433" s="2361"/>
      <c r="Q433" s="2361"/>
      <c r="R433" s="2361"/>
      <c r="S433" s="2361"/>
      <c r="T433" s="2361"/>
      <c r="U433" s="2361"/>
      <c r="V433" s="2361"/>
      <c r="W433" s="2361"/>
      <c r="X433" s="2361"/>
      <c r="Y433" s="2361"/>
      <c r="Z433" s="2361"/>
      <c r="AA433" s="2361"/>
      <c r="AB433" s="2361"/>
      <c r="AC433" s="2361"/>
      <c r="AD433" s="2361"/>
      <c r="AE433" s="2361"/>
      <c r="AF433" s="580"/>
      <c r="AG433" s="580"/>
      <c r="AH433" s="580"/>
      <c r="AI433" s="580"/>
      <c r="AJ433" s="580"/>
      <c r="AK433" s="580"/>
      <c r="AL433" s="581"/>
      <c r="AM433" s="416"/>
      <c r="AO433" s="398"/>
      <c r="AP433" s="398"/>
      <c r="BD433" s="11"/>
      <c r="BE433" s="11"/>
      <c r="BF433" s="11"/>
      <c r="BG433" s="11"/>
      <c r="BH433" s="11"/>
    </row>
    <row r="434" spans="1:60">
      <c r="A434" s="385"/>
      <c r="C434" s="564"/>
      <c r="E434" s="527"/>
      <c r="F434" s="2362"/>
      <c r="G434" s="2362"/>
      <c r="H434" s="2362"/>
      <c r="I434" s="2362"/>
      <c r="J434" s="2362"/>
      <c r="K434" s="2362"/>
      <c r="L434" s="2362"/>
      <c r="M434" s="2362"/>
      <c r="N434" s="2362"/>
      <c r="O434" s="2362"/>
      <c r="P434" s="2362"/>
      <c r="Q434" s="2362"/>
      <c r="R434" s="2362"/>
      <c r="S434" s="2362"/>
      <c r="T434" s="2362"/>
      <c r="U434" s="2362"/>
      <c r="V434" s="2362"/>
      <c r="W434" s="2362"/>
      <c r="X434" s="2362"/>
      <c r="Y434" s="2362"/>
      <c r="Z434" s="2362"/>
      <c r="AA434" s="2362"/>
      <c r="AB434" s="2362"/>
      <c r="AC434" s="2362"/>
      <c r="AD434" s="2362"/>
      <c r="AE434" s="2362"/>
      <c r="AF434" s="1205"/>
      <c r="AG434" s="1205"/>
      <c r="AH434" s="1205"/>
      <c r="AI434" s="1205"/>
      <c r="AJ434" s="1205"/>
      <c r="AK434" s="1205"/>
      <c r="AL434" s="1206"/>
      <c r="AM434" s="416"/>
      <c r="AO434" s="398"/>
      <c r="AP434" s="398"/>
    </row>
    <row r="435" spans="1:60" s="398" customFormat="1" ht="12.75" customHeight="1">
      <c r="A435" s="385"/>
      <c r="B435" s="11"/>
      <c r="C435" s="564"/>
      <c r="D435" s="11"/>
      <c r="E435" s="527"/>
      <c r="F435" s="2362"/>
      <c r="G435" s="2362"/>
      <c r="H435" s="2362"/>
      <c r="I435" s="2362"/>
      <c r="J435" s="2362"/>
      <c r="K435" s="2362"/>
      <c r="L435" s="2362"/>
      <c r="M435" s="2362"/>
      <c r="N435" s="2362"/>
      <c r="O435" s="2362"/>
      <c r="P435" s="2362"/>
      <c r="Q435" s="2362"/>
      <c r="R435" s="2362"/>
      <c r="S435" s="2362"/>
      <c r="T435" s="2362"/>
      <c r="U435" s="2362"/>
      <c r="V435" s="2362"/>
      <c r="W435" s="2362"/>
      <c r="X435" s="2362"/>
      <c r="Y435" s="2362"/>
      <c r="Z435" s="2362"/>
      <c r="AA435" s="2362"/>
      <c r="AB435" s="2362"/>
      <c r="AC435" s="2362"/>
      <c r="AD435" s="2362"/>
      <c r="AE435" s="2362"/>
      <c r="AF435" s="1205"/>
      <c r="AG435" s="1205"/>
      <c r="AH435" s="1205"/>
      <c r="AI435" s="1205"/>
      <c r="AJ435" s="1205"/>
      <c r="AK435" s="1205"/>
      <c r="AL435" s="1206"/>
      <c r="AM435" s="416"/>
      <c r="AN435" s="439"/>
    </row>
    <row r="436" spans="1:60" s="398" customFormat="1" ht="12.75" customHeight="1">
      <c r="A436" s="385"/>
      <c r="B436" s="11"/>
      <c r="C436" s="1201"/>
      <c r="D436" s="1199"/>
      <c r="E436" s="554"/>
      <c r="F436" s="2362"/>
      <c r="G436" s="2362"/>
      <c r="H436" s="2362"/>
      <c r="I436" s="2362"/>
      <c r="J436" s="2362"/>
      <c r="K436" s="2362"/>
      <c r="L436" s="2362"/>
      <c r="M436" s="2362"/>
      <c r="N436" s="2362"/>
      <c r="O436" s="2362"/>
      <c r="P436" s="2362"/>
      <c r="Q436" s="2362"/>
      <c r="R436" s="2362"/>
      <c r="S436" s="2362"/>
      <c r="T436" s="2362"/>
      <c r="U436" s="2362"/>
      <c r="V436" s="2362"/>
      <c r="W436" s="2362"/>
      <c r="X436" s="2362"/>
      <c r="Y436" s="2362"/>
      <c r="Z436" s="2362"/>
      <c r="AA436" s="2362"/>
      <c r="AB436" s="2362"/>
      <c r="AC436" s="2362"/>
      <c r="AD436" s="2362"/>
      <c r="AE436" s="2362"/>
      <c r="AF436" s="1205"/>
      <c r="AG436" s="1205"/>
      <c r="AH436" s="1205"/>
      <c r="AI436" s="1205"/>
      <c r="AJ436" s="1205"/>
      <c r="AK436" s="1205"/>
      <c r="AL436" s="1206"/>
      <c r="AM436" s="416"/>
      <c r="AN436" s="439"/>
      <c r="AO436" s="23"/>
      <c r="AP436" s="11"/>
    </row>
    <row r="437" spans="1:60" s="398" customFormat="1" ht="12.75" customHeight="1">
      <c r="A437" s="385"/>
      <c r="B437" s="11"/>
      <c r="C437" s="1201"/>
      <c r="D437" s="1199"/>
      <c r="E437" s="554"/>
      <c r="F437" s="2362"/>
      <c r="G437" s="2362"/>
      <c r="H437" s="2362"/>
      <c r="I437" s="2362"/>
      <c r="J437" s="2362"/>
      <c r="K437" s="2362"/>
      <c r="L437" s="2362"/>
      <c r="M437" s="2362"/>
      <c r="N437" s="2362"/>
      <c r="O437" s="2362"/>
      <c r="P437" s="2362"/>
      <c r="Q437" s="2362"/>
      <c r="R437" s="2362"/>
      <c r="S437" s="2362"/>
      <c r="T437" s="2362"/>
      <c r="U437" s="2362"/>
      <c r="V437" s="2362"/>
      <c r="W437" s="2362"/>
      <c r="X437" s="2362"/>
      <c r="Y437" s="2362"/>
      <c r="Z437" s="2362"/>
      <c r="AA437" s="2362"/>
      <c r="AB437" s="2362"/>
      <c r="AC437" s="2362"/>
      <c r="AD437" s="2362"/>
      <c r="AE437" s="2362"/>
      <c r="AF437" s="1205"/>
      <c r="AG437" s="1205"/>
      <c r="AH437" s="1205"/>
      <c r="AI437" s="1205"/>
      <c r="AJ437" s="1205"/>
      <c r="AK437" s="1205"/>
      <c r="AL437" s="1206"/>
      <c r="AM437" s="416"/>
      <c r="AN437" s="439"/>
    </row>
    <row r="438" spans="1:60" s="398" customFormat="1" ht="12.75" customHeight="1">
      <c r="A438" s="385"/>
      <c r="B438" s="11"/>
      <c r="C438" s="1201"/>
      <c r="D438" s="1199"/>
      <c r="E438" s="554"/>
      <c r="F438" s="2362"/>
      <c r="G438" s="2362"/>
      <c r="H438" s="2362"/>
      <c r="I438" s="2362"/>
      <c r="J438" s="2362"/>
      <c r="K438" s="2362"/>
      <c r="L438" s="2362"/>
      <c r="M438" s="2362"/>
      <c r="N438" s="2362"/>
      <c r="O438" s="2362"/>
      <c r="P438" s="2362"/>
      <c r="Q438" s="2362"/>
      <c r="R438" s="2362"/>
      <c r="S438" s="2362"/>
      <c r="T438" s="2362"/>
      <c r="U438" s="2362"/>
      <c r="V438" s="2362"/>
      <c r="W438" s="2362"/>
      <c r="X438" s="2362"/>
      <c r="Y438" s="2362"/>
      <c r="Z438" s="2362"/>
      <c r="AA438" s="2362"/>
      <c r="AB438" s="2362"/>
      <c r="AC438" s="2362"/>
      <c r="AD438" s="2362"/>
      <c r="AE438" s="2362"/>
      <c r="AF438" s="1205"/>
      <c r="AG438" s="1205"/>
      <c r="AH438" s="1205"/>
      <c r="AI438" s="1205"/>
      <c r="AJ438" s="1205"/>
      <c r="AK438" s="1205"/>
      <c r="AL438" s="1206"/>
      <c r="AM438" s="416"/>
      <c r="AN438" s="439"/>
    </row>
    <row r="439" spans="1:60" s="398" customFormat="1" ht="12.75" customHeight="1">
      <c r="A439" s="385"/>
      <c r="B439" s="11"/>
      <c r="C439" s="1201"/>
      <c r="D439" s="1199"/>
      <c r="E439" s="554"/>
      <c r="F439" s="2362"/>
      <c r="G439" s="2362"/>
      <c r="H439" s="2362"/>
      <c r="I439" s="2362"/>
      <c r="J439" s="2362"/>
      <c r="K439" s="2362"/>
      <c r="L439" s="2362"/>
      <c r="M439" s="2362"/>
      <c r="N439" s="2362"/>
      <c r="O439" s="2362"/>
      <c r="P439" s="2362"/>
      <c r="Q439" s="2362"/>
      <c r="R439" s="2362"/>
      <c r="S439" s="2362"/>
      <c r="T439" s="2362"/>
      <c r="U439" s="2362"/>
      <c r="V439" s="2362"/>
      <c r="W439" s="2362"/>
      <c r="X439" s="2362"/>
      <c r="Y439" s="2362"/>
      <c r="Z439" s="2362"/>
      <c r="AA439" s="2362"/>
      <c r="AB439" s="2362"/>
      <c r="AC439" s="2362"/>
      <c r="AD439" s="2362"/>
      <c r="AE439" s="2362"/>
      <c r="AF439" s="1205"/>
      <c r="AG439" s="1205"/>
      <c r="AH439" s="1205"/>
      <c r="AI439" s="1205"/>
      <c r="AJ439" s="1205"/>
      <c r="AK439" s="1205"/>
      <c r="AL439" s="1206"/>
      <c r="AM439" s="416"/>
      <c r="AN439" s="439"/>
    </row>
    <row r="440" spans="1:60" s="398" customFormat="1" ht="12.75" customHeight="1">
      <c r="A440" s="385"/>
      <c r="B440" s="11"/>
      <c r="C440" s="1201"/>
      <c r="D440" s="1199"/>
      <c r="E440" s="554"/>
      <c r="F440" s="2362"/>
      <c r="G440" s="2362"/>
      <c r="H440" s="2362"/>
      <c r="I440" s="2362"/>
      <c r="J440" s="2362"/>
      <c r="K440" s="2362"/>
      <c r="L440" s="2362"/>
      <c r="M440" s="2362"/>
      <c r="N440" s="2362"/>
      <c r="O440" s="2362"/>
      <c r="P440" s="2362"/>
      <c r="Q440" s="2362"/>
      <c r="R440" s="2362"/>
      <c r="S440" s="2362"/>
      <c r="T440" s="2362"/>
      <c r="U440" s="2362"/>
      <c r="V440" s="2362"/>
      <c r="W440" s="2362"/>
      <c r="X440" s="2362"/>
      <c r="Y440" s="2362"/>
      <c r="Z440" s="2362"/>
      <c r="AA440" s="2362"/>
      <c r="AB440" s="2362"/>
      <c r="AC440" s="2362"/>
      <c r="AD440" s="2362"/>
      <c r="AE440" s="2362"/>
      <c r="AF440" s="1205"/>
      <c r="AG440" s="1205"/>
      <c r="AH440" s="1205"/>
      <c r="AI440" s="1205"/>
      <c r="AJ440" s="1205"/>
      <c r="AK440" s="1205"/>
      <c r="AL440" s="1206"/>
      <c r="AM440" s="416"/>
      <c r="AN440" s="439"/>
    </row>
    <row r="441" spans="1:60" s="398" customFormat="1" ht="17.25" customHeight="1">
      <c r="A441" s="385"/>
      <c r="B441" s="11"/>
      <c r="C441" s="1201"/>
      <c r="D441" s="1199"/>
      <c r="E441" s="554"/>
      <c r="F441" s="2362"/>
      <c r="G441" s="2362"/>
      <c r="H441" s="2362"/>
      <c r="I441" s="2362"/>
      <c r="J441" s="2362"/>
      <c r="K441" s="2362"/>
      <c r="L441" s="2362"/>
      <c r="M441" s="2362"/>
      <c r="N441" s="2362"/>
      <c r="O441" s="2362"/>
      <c r="P441" s="2362"/>
      <c r="Q441" s="2362"/>
      <c r="R441" s="2362"/>
      <c r="S441" s="2362"/>
      <c r="T441" s="2362"/>
      <c r="U441" s="2362"/>
      <c r="V441" s="2362"/>
      <c r="W441" s="2362"/>
      <c r="X441" s="2362"/>
      <c r="Y441" s="2362"/>
      <c r="Z441" s="2362"/>
      <c r="AA441" s="2362"/>
      <c r="AB441" s="2362"/>
      <c r="AC441" s="2362"/>
      <c r="AD441" s="2362"/>
      <c r="AE441" s="2362"/>
      <c r="AL441" s="565"/>
      <c r="AM441" s="416"/>
      <c r="AN441" s="439"/>
    </row>
    <row r="442" spans="1:60" s="398" customFormat="1" ht="12.75" customHeight="1">
      <c r="A442" s="385"/>
      <c r="B442" s="11"/>
      <c r="C442" s="2371" t="s">
        <v>810</v>
      </c>
      <c r="D442" s="2372"/>
      <c r="E442" s="554"/>
      <c r="F442" s="438" t="s">
        <v>2358</v>
      </c>
      <c r="G442" s="513"/>
      <c r="H442" s="513"/>
      <c r="I442" s="513"/>
      <c r="J442" s="513"/>
      <c r="K442" s="513"/>
      <c r="L442" s="513"/>
      <c r="M442" s="513"/>
      <c r="N442" s="513"/>
      <c r="O442" s="513"/>
      <c r="P442" s="513"/>
      <c r="Q442" s="513"/>
      <c r="R442" s="513"/>
      <c r="S442" s="513"/>
      <c r="T442" s="513"/>
      <c r="U442" s="513"/>
      <c r="V442" s="513"/>
      <c r="W442" s="513"/>
      <c r="X442" s="513"/>
      <c r="Y442" s="513"/>
      <c r="Z442" s="513"/>
      <c r="AA442" s="513"/>
      <c r="AB442" s="513"/>
      <c r="AC442" s="513"/>
      <c r="AD442" s="513"/>
      <c r="AF442" s="2451" t="s">
        <v>2333</v>
      </c>
      <c r="AG442" s="2451"/>
      <c r="AH442" s="2451"/>
      <c r="AI442" s="2451"/>
      <c r="AJ442" s="2451"/>
      <c r="AK442" s="2451"/>
      <c r="AL442" s="2460"/>
      <c r="AM442" s="416"/>
      <c r="AN442" s="439"/>
    </row>
    <row r="443" spans="1:60" s="398" customFormat="1" ht="12.75" customHeight="1">
      <c r="A443" s="385"/>
      <c r="B443" s="11"/>
      <c r="C443" s="576"/>
      <c r="D443" s="561"/>
      <c r="E443" s="558"/>
      <c r="F443" s="574"/>
      <c r="G443" s="560"/>
      <c r="H443" s="560"/>
      <c r="I443" s="560"/>
      <c r="J443" s="560"/>
      <c r="K443" s="560"/>
      <c r="L443" s="560"/>
      <c r="M443" s="560"/>
      <c r="N443" s="560"/>
      <c r="O443" s="560"/>
      <c r="P443" s="560"/>
      <c r="Q443" s="560"/>
      <c r="R443" s="560"/>
      <c r="S443" s="560"/>
      <c r="T443" s="560"/>
      <c r="U443" s="560"/>
      <c r="V443" s="560"/>
      <c r="W443" s="560"/>
      <c r="X443" s="560"/>
      <c r="Y443" s="560"/>
      <c r="Z443" s="560"/>
      <c r="AA443" s="560"/>
      <c r="AB443" s="560"/>
      <c r="AC443" s="560"/>
      <c r="AD443" s="560"/>
      <c r="AE443" s="561"/>
      <c r="AF443" s="561"/>
      <c r="AG443" s="561"/>
      <c r="AH443" s="561"/>
      <c r="AI443" s="561"/>
      <c r="AJ443" s="561"/>
      <c r="AK443" s="561"/>
      <c r="AL443" s="575"/>
      <c r="AM443" s="416"/>
      <c r="AN443" s="439"/>
    </row>
    <row r="444" spans="1:60" s="398" customFormat="1" ht="12.75" customHeight="1">
      <c r="A444" s="385"/>
      <c r="B444" s="11"/>
      <c r="C444" s="1199"/>
      <c r="D444" s="1199"/>
      <c r="E444" s="554"/>
      <c r="F444" s="555"/>
      <c r="G444" s="445"/>
      <c r="H444" s="445"/>
      <c r="I444" s="445"/>
      <c r="J444" s="445"/>
      <c r="K444" s="445"/>
      <c r="L444" s="445"/>
      <c r="M444" s="445"/>
      <c r="N444" s="445"/>
      <c r="O444" s="445"/>
      <c r="P444" s="445"/>
      <c r="Q444" s="445"/>
      <c r="R444" s="445"/>
      <c r="S444" s="445"/>
      <c r="T444" s="445"/>
      <c r="U444" s="445"/>
      <c r="V444" s="445"/>
      <c r="W444" s="445"/>
      <c r="X444" s="445"/>
      <c r="Y444" s="445"/>
      <c r="Z444" s="445"/>
      <c r="AA444" s="445"/>
      <c r="AB444" s="445"/>
      <c r="AC444" s="445"/>
      <c r="AD444" s="445"/>
      <c r="AE444" s="1197"/>
      <c r="AF444" s="1197"/>
      <c r="AG444" s="1197"/>
      <c r="AH444" s="1197"/>
      <c r="AI444" s="1197"/>
      <c r="AJ444" s="1197"/>
      <c r="AK444" s="1197"/>
      <c r="AL444" s="1197"/>
      <c r="AM444" s="416"/>
      <c r="AN444" s="439"/>
    </row>
    <row r="445" spans="1:60" s="398" customFormat="1" ht="12.75" customHeight="1">
      <c r="A445" s="385"/>
      <c r="B445" s="11"/>
      <c r="C445" s="548"/>
      <c r="D445" s="549"/>
      <c r="E445" s="550" t="s">
        <v>2359</v>
      </c>
      <c r="F445" s="2361" t="s">
        <v>2360</v>
      </c>
      <c r="G445" s="2361"/>
      <c r="H445" s="2361"/>
      <c r="I445" s="2361"/>
      <c r="J445" s="2361"/>
      <c r="K445" s="2361"/>
      <c r="L445" s="2361"/>
      <c r="M445" s="2361"/>
      <c r="N445" s="2361"/>
      <c r="O445" s="2361"/>
      <c r="P445" s="2361"/>
      <c r="Q445" s="2361"/>
      <c r="R445" s="2361"/>
      <c r="S445" s="2361"/>
      <c r="T445" s="2361"/>
      <c r="U445" s="2361"/>
      <c r="V445" s="2361"/>
      <c r="W445" s="2361"/>
      <c r="X445" s="2361"/>
      <c r="Y445" s="2361"/>
      <c r="Z445" s="2361"/>
      <c r="AA445" s="2361"/>
      <c r="AB445" s="2361"/>
      <c r="AC445" s="2361"/>
      <c r="AD445" s="2361"/>
      <c r="AE445" s="2361"/>
      <c r="AF445" s="549"/>
      <c r="AG445" s="549"/>
      <c r="AH445" s="549"/>
      <c r="AI445" s="549"/>
      <c r="AJ445" s="549"/>
      <c r="AK445" s="549"/>
      <c r="AL445" s="578"/>
      <c r="AM445" s="416"/>
      <c r="AN445" s="439"/>
    </row>
    <row r="446" spans="1:60" s="398" customFormat="1" ht="12.75" customHeight="1">
      <c r="A446" s="385"/>
      <c r="B446" s="11"/>
      <c r="C446" s="1201"/>
      <c r="D446" s="1199"/>
      <c r="E446" s="554"/>
      <c r="F446" s="2362"/>
      <c r="G446" s="2362"/>
      <c r="H446" s="2362"/>
      <c r="I446" s="2362"/>
      <c r="J446" s="2362"/>
      <c r="K446" s="2362"/>
      <c r="L446" s="2362"/>
      <c r="M446" s="2362"/>
      <c r="N446" s="2362"/>
      <c r="O446" s="2362"/>
      <c r="P446" s="2362"/>
      <c r="Q446" s="2362"/>
      <c r="R446" s="2362"/>
      <c r="S446" s="2362"/>
      <c r="T446" s="2362"/>
      <c r="U446" s="2362"/>
      <c r="V446" s="2362"/>
      <c r="W446" s="2362"/>
      <c r="X446" s="2362"/>
      <c r="Y446" s="2362"/>
      <c r="Z446" s="2362"/>
      <c r="AA446" s="2362"/>
      <c r="AB446" s="2362"/>
      <c r="AC446" s="2362"/>
      <c r="AD446" s="2362"/>
      <c r="AE446" s="2362"/>
      <c r="AF446" s="1197"/>
      <c r="AG446" s="1197"/>
      <c r="AH446" s="1197"/>
      <c r="AI446" s="1197"/>
      <c r="AJ446" s="1197"/>
      <c r="AK446" s="1197"/>
      <c r="AL446" s="1198"/>
      <c r="AM446" s="416"/>
      <c r="AN446" s="439"/>
    </row>
    <row r="447" spans="1:60" s="398" customFormat="1" ht="12.75" customHeight="1">
      <c r="A447" s="385"/>
      <c r="B447" s="11"/>
      <c r="C447" s="1201"/>
      <c r="D447" s="1199"/>
      <c r="E447" s="554"/>
      <c r="F447" s="2362"/>
      <c r="G447" s="2362"/>
      <c r="H447" s="2362"/>
      <c r="I447" s="2362"/>
      <c r="J447" s="2362"/>
      <c r="K447" s="2362"/>
      <c r="L447" s="2362"/>
      <c r="M447" s="2362"/>
      <c r="N447" s="2362"/>
      <c r="O447" s="2362"/>
      <c r="P447" s="2362"/>
      <c r="Q447" s="2362"/>
      <c r="R447" s="2362"/>
      <c r="S447" s="2362"/>
      <c r="T447" s="2362"/>
      <c r="U447" s="2362"/>
      <c r="V447" s="2362"/>
      <c r="W447" s="2362"/>
      <c r="X447" s="2362"/>
      <c r="Y447" s="2362"/>
      <c r="Z447" s="2362"/>
      <c r="AA447" s="2362"/>
      <c r="AB447" s="2362"/>
      <c r="AC447" s="2362"/>
      <c r="AD447" s="2362"/>
      <c r="AE447" s="2362"/>
      <c r="AF447" s="1197"/>
      <c r="AG447" s="1197"/>
      <c r="AH447" s="1197"/>
      <c r="AI447" s="1197"/>
      <c r="AJ447" s="1197"/>
      <c r="AK447" s="1197"/>
      <c r="AL447" s="1198"/>
      <c r="AM447" s="416"/>
      <c r="AN447" s="439"/>
    </row>
    <row r="448" spans="1:60" s="398" customFormat="1" ht="12.75" customHeight="1">
      <c r="A448" s="385"/>
      <c r="B448" s="11"/>
      <c r="C448" s="1201"/>
      <c r="D448" s="1199"/>
      <c r="E448" s="554"/>
      <c r="F448" s="2362"/>
      <c r="G448" s="2362"/>
      <c r="H448" s="2362"/>
      <c r="I448" s="2362"/>
      <c r="J448" s="2362"/>
      <c r="K448" s="2362"/>
      <c r="L448" s="2362"/>
      <c r="M448" s="2362"/>
      <c r="N448" s="2362"/>
      <c r="O448" s="2362"/>
      <c r="P448" s="2362"/>
      <c r="Q448" s="2362"/>
      <c r="R448" s="2362"/>
      <c r="S448" s="2362"/>
      <c r="T448" s="2362"/>
      <c r="U448" s="2362"/>
      <c r="V448" s="2362"/>
      <c r="W448" s="2362"/>
      <c r="X448" s="2362"/>
      <c r="Y448" s="2362"/>
      <c r="Z448" s="2362"/>
      <c r="AA448" s="2362"/>
      <c r="AB448" s="2362"/>
      <c r="AC448" s="2362"/>
      <c r="AD448" s="2362"/>
      <c r="AE448" s="2362"/>
      <c r="AL448" s="565"/>
      <c r="AM448" s="416"/>
      <c r="AN448" s="439"/>
    </row>
    <row r="449" spans="1:40" s="398" customFormat="1" ht="12.75" customHeight="1">
      <c r="A449" s="385"/>
      <c r="B449" s="11"/>
      <c r="C449" s="2371" t="s">
        <v>810</v>
      </c>
      <c r="D449" s="2372"/>
      <c r="E449" s="554"/>
      <c r="F449" s="555" t="s">
        <v>2361</v>
      </c>
      <c r="G449" s="445"/>
      <c r="H449" s="445"/>
      <c r="I449" s="445"/>
      <c r="J449" s="445"/>
      <c r="K449" s="445"/>
      <c r="L449" s="445"/>
      <c r="M449" s="445"/>
      <c r="N449" s="445"/>
      <c r="O449" s="445"/>
      <c r="P449" s="445"/>
      <c r="Q449" s="445"/>
      <c r="R449" s="445"/>
      <c r="S449" s="445"/>
      <c r="T449" s="445"/>
      <c r="U449" s="445"/>
      <c r="V449" s="445"/>
      <c r="W449" s="445"/>
      <c r="X449" s="445"/>
      <c r="Y449" s="445"/>
      <c r="Z449" s="445"/>
      <c r="AA449" s="445"/>
      <c r="AB449" s="445"/>
      <c r="AC449" s="445"/>
      <c r="AD449" s="445"/>
      <c r="AF449" s="2451" t="s">
        <v>2333</v>
      </c>
      <c r="AG449" s="2451"/>
      <c r="AH449" s="2451"/>
      <c r="AI449" s="2451"/>
      <c r="AJ449" s="2451"/>
      <c r="AK449" s="2451"/>
      <c r="AL449" s="2460"/>
      <c r="AM449" s="416"/>
      <c r="AN449" s="584"/>
    </row>
    <row r="450" spans="1:40" s="398" customFormat="1" ht="12.75" customHeight="1">
      <c r="A450" s="385"/>
      <c r="B450" s="11"/>
      <c r="C450" s="1201"/>
      <c r="D450" s="1199"/>
      <c r="E450" s="554"/>
      <c r="F450" s="555"/>
      <c r="G450" s="445"/>
      <c r="H450" s="445"/>
      <c r="I450" s="445"/>
      <c r="J450" s="445"/>
      <c r="K450" s="445"/>
      <c r="L450" s="445"/>
      <c r="M450" s="445"/>
      <c r="N450" s="445"/>
      <c r="O450" s="445"/>
      <c r="P450" s="445"/>
      <c r="Q450" s="445"/>
      <c r="R450" s="445"/>
      <c r="S450" s="445"/>
      <c r="T450" s="445"/>
      <c r="U450" s="445"/>
      <c r="V450" s="445"/>
      <c r="W450" s="445"/>
      <c r="X450" s="445"/>
      <c r="Y450" s="445"/>
      <c r="Z450" s="445"/>
      <c r="AA450" s="445"/>
      <c r="AB450" s="445"/>
      <c r="AC450" s="445"/>
      <c r="AD450" s="445"/>
      <c r="AE450" s="1197"/>
      <c r="AL450" s="565"/>
      <c r="AM450" s="416"/>
      <c r="AN450" s="584"/>
    </row>
    <row r="451" spans="1:40" s="398" customFormat="1" ht="12.75" customHeight="1">
      <c r="A451" s="385"/>
      <c r="B451" s="11"/>
      <c r="C451" s="573"/>
      <c r="D451" s="566"/>
      <c r="E451" s="567"/>
      <c r="F451" s="561" t="s">
        <v>2340</v>
      </c>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70"/>
      <c r="AF451" s="428"/>
      <c r="AG451" s="570"/>
      <c r="AH451" s="561"/>
      <c r="AI451" s="561"/>
      <c r="AJ451" s="561"/>
      <c r="AK451" s="561"/>
      <c r="AL451" s="575"/>
      <c r="AM451" s="416"/>
      <c r="AN451" s="584"/>
    </row>
    <row r="452" spans="1:40" s="398" customFormat="1" ht="12.75" customHeight="1">
      <c r="A452" s="385"/>
      <c r="B452" s="11"/>
      <c r="C452" s="1199"/>
      <c r="D452" s="1199"/>
      <c r="E452" s="554"/>
      <c r="F452" s="555"/>
      <c r="G452" s="445"/>
      <c r="H452" s="445"/>
      <c r="I452" s="445"/>
      <c r="J452" s="445"/>
      <c r="K452" s="445"/>
      <c r="L452" s="445"/>
      <c r="M452" s="445"/>
      <c r="N452" s="445"/>
      <c r="O452" s="445"/>
      <c r="P452" s="445"/>
      <c r="Q452" s="445"/>
      <c r="R452" s="445"/>
      <c r="S452" s="445"/>
      <c r="T452" s="445"/>
      <c r="U452" s="445"/>
      <c r="V452" s="445"/>
      <c r="W452" s="445"/>
      <c r="X452" s="445"/>
      <c r="Y452" s="445"/>
      <c r="Z452" s="445"/>
      <c r="AA452" s="445"/>
      <c r="AB452" s="445"/>
      <c r="AC452" s="445"/>
      <c r="AD452" s="445"/>
      <c r="AE452" s="1197"/>
      <c r="AM452" s="416"/>
      <c r="AN452" s="584"/>
    </row>
    <row r="453" spans="1:40" s="398" customFormat="1" ht="12.75" customHeight="1">
      <c r="A453" s="385"/>
      <c r="B453" s="11"/>
      <c r="C453" s="2487" t="s">
        <v>810</v>
      </c>
      <c r="D453" s="2488"/>
      <c r="E453" s="550" t="s">
        <v>2362</v>
      </c>
      <c r="F453" s="2361" t="s">
        <v>2363</v>
      </c>
      <c r="G453" s="2361"/>
      <c r="H453" s="2361"/>
      <c r="I453" s="2361"/>
      <c r="J453" s="2361"/>
      <c r="K453" s="2361"/>
      <c r="L453" s="2361"/>
      <c r="M453" s="2361"/>
      <c r="N453" s="2361"/>
      <c r="O453" s="2361"/>
      <c r="P453" s="2361"/>
      <c r="Q453" s="2361"/>
      <c r="R453" s="2361"/>
      <c r="S453" s="2361"/>
      <c r="T453" s="2361"/>
      <c r="U453" s="2361"/>
      <c r="V453" s="2361"/>
      <c r="W453" s="2361"/>
      <c r="X453" s="2361"/>
      <c r="Y453" s="2361"/>
      <c r="Z453" s="2361"/>
      <c r="AA453" s="2361"/>
      <c r="AB453" s="2361"/>
      <c r="AC453" s="2361"/>
      <c r="AD453" s="2361"/>
      <c r="AE453" s="2361"/>
      <c r="AF453" s="2389" t="s">
        <v>2333</v>
      </c>
      <c r="AG453" s="2389"/>
      <c r="AH453" s="2389"/>
      <c r="AI453" s="2389"/>
      <c r="AJ453" s="2389"/>
      <c r="AK453" s="2389"/>
      <c r="AL453" s="2390"/>
      <c r="AM453" s="416"/>
      <c r="AN453" s="584"/>
    </row>
    <row r="454" spans="1:40" s="398" customFormat="1" ht="12.75" customHeight="1">
      <c r="A454" s="385"/>
      <c r="B454" s="11"/>
      <c r="C454" s="1201"/>
      <c r="D454" s="1199"/>
      <c r="E454" s="554"/>
      <c r="F454" s="2362"/>
      <c r="G454" s="2362"/>
      <c r="H454" s="2362"/>
      <c r="I454" s="2362"/>
      <c r="J454" s="2362"/>
      <c r="K454" s="2362"/>
      <c r="L454" s="2362"/>
      <c r="M454" s="2362"/>
      <c r="N454" s="2362"/>
      <c r="O454" s="2362"/>
      <c r="P454" s="2362"/>
      <c r="Q454" s="2362"/>
      <c r="R454" s="2362"/>
      <c r="S454" s="2362"/>
      <c r="T454" s="2362"/>
      <c r="U454" s="2362"/>
      <c r="V454" s="2362"/>
      <c r="W454" s="2362"/>
      <c r="X454" s="2362"/>
      <c r="Y454" s="2362"/>
      <c r="Z454" s="2362"/>
      <c r="AA454" s="2362"/>
      <c r="AB454" s="2362"/>
      <c r="AC454" s="2362"/>
      <c r="AD454" s="2362"/>
      <c r="AE454" s="2362"/>
      <c r="AF454" s="1197"/>
      <c r="AG454" s="1197"/>
      <c r="AH454" s="1197"/>
      <c r="AI454" s="1197"/>
      <c r="AJ454" s="1197"/>
      <c r="AK454" s="1197"/>
      <c r="AL454" s="1198"/>
      <c r="AM454" s="416"/>
      <c r="AN454" s="585"/>
    </row>
    <row r="455" spans="1:40" s="398" customFormat="1" ht="17.7" customHeight="1">
      <c r="A455" s="385"/>
      <c r="B455" s="11"/>
      <c r="C455" s="587"/>
      <c r="D455" s="557"/>
      <c r="E455" s="558"/>
      <c r="F455" s="2363"/>
      <c r="G455" s="2363"/>
      <c r="H455" s="2363"/>
      <c r="I455" s="2363"/>
      <c r="J455" s="2363"/>
      <c r="K455" s="2363"/>
      <c r="L455" s="2363"/>
      <c r="M455" s="2363"/>
      <c r="N455" s="2363"/>
      <c r="O455" s="2363"/>
      <c r="P455" s="2363"/>
      <c r="Q455" s="2363"/>
      <c r="R455" s="2363"/>
      <c r="S455" s="2363"/>
      <c r="T455" s="2363"/>
      <c r="U455" s="2363"/>
      <c r="V455" s="2363"/>
      <c r="W455" s="2363"/>
      <c r="X455" s="2363"/>
      <c r="Y455" s="2363"/>
      <c r="Z455" s="2363"/>
      <c r="AA455" s="2363"/>
      <c r="AB455" s="2363"/>
      <c r="AC455" s="2363"/>
      <c r="AD455" s="2363"/>
      <c r="AE455" s="2363"/>
      <c r="AF455" s="562"/>
      <c r="AG455" s="562"/>
      <c r="AH455" s="562"/>
      <c r="AI455" s="562"/>
      <c r="AJ455" s="562"/>
      <c r="AK455" s="562"/>
      <c r="AL455" s="588"/>
      <c r="AM455" s="416"/>
      <c r="AN455" s="384"/>
    </row>
    <row r="456" spans="1:40" s="398" customFormat="1" ht="12.75" customHeight="1">
      <c r="A456" s="385"/>
      <c r="B456" s="11"/>
      <c r="C456" s="1199"/>
      <c r="D456" s="1199"/>
      <c r="E456" s="554"/>
      <c r="F456" s="555"/>
      <c r="G456" s="445"/>
      <c r="H456" s="445"/>
      <c r="I456" s="445"/>
      <c r="J456" s="445"/>
      <c r="K456" s="445"/>
      <c r="L456" s="445"/>
      <c r="M456" s="445"/>
      <c r="N456" s="445"/>
      <c r="O456" s="445"/>
      <c r="P456" s="445"/>
      <c r="Q456" s="445"/>
      <c r="R456" s="445"/>
      <c r="S456" s="445"/>
      <c r="T456" s="445"/>
      <c r="U456" s="445"/>
      <c r="V456" s="445"/>
      <c r="W456" s="445"/>
      <c r="X456" s="445"/>
      <c r="Y456" s="445"/>
      <c r="Z456" s="445"/>
      <c r="AA456" s="445"/>
      <c r="AB456" s="445"/>
      <c r="AC456" s="445"/>
      <c r="AD456" s="445"/>
      <c r="AE456" s="1197"/>
      <c r="AM456" s="416"/>
      <c r="AN456" s="384"/>
    </row>
    <row r="457" spans="1:40" s="398" customFormat="1" ht="12.75" customHeight="1">
      <c r="A457" s="385"/>
      <c r="B457" s="11"/>
      <c r="C457" s="2371" t="s">
        <v>810</v>
      </c>
      <c r="D457" s="2372"/>
      <c r="E457" s="550" t="s">
        <v>2364</v>
      </c>
      <c r="F457" s="2361" t="s">
        <v>2365</v>
      </c>
      <c r="G457" s="2361"/>
      <c r="H457" s="2361"/>
      <c r="I457" s="2361"/>
      <c r="J457" s="2361"/>
      <c r="K457" s="2361"/>
      <c r="L457" s="2361"/>
      <c r="M457" s="2361"/>
      <c r="N457" s="2361"/>
      <c r="O457" s="2361"/>
      <c r="P457" s="2361"/>
      <c r="Q457" s="2361"/>
      <c r="R457" s="2361"/>
      <c r="S457" s="2361"/>
      <c r="T457" s="2361"/>
      <c r="U457" s="2361"/>
      <c r="V457" s="2361"/>
      <c r="W457" s="2361"/>
      <c r="X457" s="2361"/>
      <c r="Y457" s="2361"/>
      <c r="Z457" s="2361"/>
      <c r="AA457" s="2361"/>
      <c r="AB457" s="2361"/>
      <c r="AC457" s="2361"/>
      <c r="AD457" s="2361"/>
      <c r="AE457" s="2361"/>
      <c r="AF457" s="2389" t="s">
        <v>2333</v>
      </c>
      <c r="AG457" s="2389"/>
      <c r="AH457" s="2389"/>
      <c r="AI457" s="2389"/>
      <c r="AJ457" s="2389"/>
      <c r="AK457" s="2389"/>
      <c r="AL457" s="2390"/>
      <c r="AM457" s="416"/>
      <c r="AN457" s="384"/>
    </row>
    <row r="458" spans="1:40" s="398" customFormat="1" ht="12.75" customHeight="1">
      <c r="A458" s="385"/>
      <c r="B458" s="11"/>
      <c r="C458" s="564"/>
      <c r="D458" s="11"/>
      <c r="E458" s="527"/>
      <c r="F458" s="2362"/>
      <c r="G458" s="2362"/>
      <c r="H458" s="2362"/>
      <c r="I458" s="2362"/>
      <c r="J458" s="2362"/>
      <c r="K458" s="2362"/>
      <c r="L458" s="2362"/>
      <c r="M458" s="2362"/>
      <c r="N458" s="2362"/>
      <c r="O458" s="2362"/>
      <c r="P458" s="2362"/>
      <c r="Q458" s="2362"/>
      <c r="R458" s="2362"/>
      <c r="S458" s="2362"/>
      <c r="T458" s="2362"/>
      <c r="U458" s="2362"/>
      <c r="V458" s="2362"/>
      <c r="W458" s="2362"/>
      <c r="X458" s="2362"/>
      <c r="Y458" s="2362"/>
      <c r="Z458" s="2362"/>
      <c r="AA458" s="2362"/>
      <c r="AB458" s="2362"/>
      <c r="AC458" s="2362"/>
      <c r="AD458" s="2362"/>
      <c r="AE458" s="2362"/>
      <c r="AF458" s="388"/>
      <c r="AG458" s="385"/>
      <c r="AL458" s="565"/>
      <c r="AM458" s="416"/>
      <c r="AN458" s="384"/>
    </row>
    <row r="459" spans="1:40" s="398" customFormat="1" ht="12.75" customHeight="1">
      <c r="A459" s="385"/>
      <c r="B459" s="11"/>
      <c r="C459" s="564"/>
      <c r="D459" s="11"/>
      <c r="E459" s="527"/>
      <c r="F459" s="2362"/>
      <c r="G459" s="2362"/>
      <c r="H459" s="2362"/>
      <c r="I459" s="2362"/>
      <c r="J459" s="2362"/>
      <c r="K459" s="2362"/>
      <c r="L459" s="2362"/>
      <c r="M459" s="2362"/>
      <c r="N459" s="2362"/>
      <c r="O459" s="2362"/>
      <c r="P459" s="2362"/>
      <c r="Q459" s="2362"/>
      <c r="R459" s="2362"/>
      <c r="S459" s="2362"/>
      <c r="T459" s="2362"/>
      <c r="U459" s="2362"/>
      <c r="V459" s="2362"/>
      <c r="W459" s="2362"/>
      <c r="X459" s="2362"/>
      <c r="Y459" s="2362"/>
      <c r="Z459" s="2362"/>
      <c r="AA459" s="2362"/>
      <c r="AB459" s="2362"/>
      <c r="AC459" s="2362"/>
      <c r="AD459" s="2362"/>
      <c r="AE459" s="2362"/>
      <c r="AF459" s="388"/>
      <c r="AG459" s="385"/>
      <c r="AL459" s="565"/>
      <c r="AM459" s="416"/>
      <c r="AN459" s="384"/>
    </row>
    <row r="460" spans="1:40" s="398" customFormat="1" ht="12.75" customHeight="1">
      <c r="A460" s="385"/>
      <c r="B460" s="11"/>
      <c r="C460" s="587"/>
      <c r="D460" s="557"/>
      <c r="E460" s="558"/>
      <c r="F460" s="2363"/>
      <c r="G460" s="2363"/>
      <c r="H460" s="2363"/>
      <c r="I460" s="2363"/>
      <c r="J460" s="2363"/>
      <c r="K460" s="2363"/>
      <c r="L460" s="2363"/>
      <c r="M460" s="2363"/>
      <c r="N460" s="2363"/>
      <c r="O460" s="2363"/>
      <c r="P460" s="2363"/>
      <c r="Q460" s="2363"/>
      <c r="R460" s="2363"/>
      <c r="S460" s="2363"/>
      <c r="T460" s="2363"/>
      <c r="U460" s="2363"/>
      <c r="V460" s="2363"/>
      <c r="W460" s="2363"/>
      <c r="X460" s="2363"/>
      <c r="Y460" s="2363"/>
      <c r="Z460" s="2363"/>
      <c r="AA460" s="2363"/>
      <c r="AB460" s="2363"/>
      <c r="AC460" s="2363"/>
      <c r="AD460" s="2363"/>
      <c r="AE460" s="2363"/>
      <c r="AF460" s="562"/>
      <c r="AG460" s="562"/>
      <c r="AH460" s="562"/>
      <c r="AI460" s="562"/>
      <c r="AJ460" s="562"/>
      <c r="AK460" s="562"/>
      <c r="AL460" s="588"/>
      <c r="AM460" s="416"/>
      <c r="AN460" s="439"/>
    </row>
    <row r="461" spans="1:40" s="398" customFormat="1" ht="12.75" customHeight="1">
      <c r="A461" s="385"/>
      <c r="B461" s="11"/>
      <c r="G461" s="445"/>
      <c r="H461" s="445"/>
      <c r="I461" s="445"/>
      <c r="J461" s="445"/>
      <c r="K461" s="445"/>
      <c r="L461" s="445"/>
      <c r="M461" s="445"/>
      <c r="N461" s="445"/>
      <c r="O461" s="445"/>
      <c r="P461" s="445"/>
      <c r="Q461" s="445"/>
      <c r="R461" s="445"/>
      <c r="S461" s="445"/>
      <c r="T461" s="445"/>
      <c r="U461" s="445"/>
      <c r="V461" s="445"/>
      <c r="W461" s="445"/>
      <c r="X461" s="445"/>
      <c r="Y461" s="445"/>
      <c r="Z461" s="445"/>
      <c r="AA461" s="445"/>
      <c r="AB461" s="445"/>
      <c r="AC461" s="445"/>
      <c r="AD461" s="445"/>
      <c r="AM461" s="416"/>
      <c r="AN461" s="439"/>
    </row>
    <row r="462" spans="1:40" s="398" customFormat="1" ht="12.75" customHeight="1">
      <c r="A462" s="385"/>
      <c r="B462" s="11"/>
      <c r="C462" s="548"/>
      <c r="D462" s="549"/>
      <c r="E462" s="550" t="s">
        <v>2366</v>
      </c>
      <c r="F462" s="2361" t="s">
        <v>2367</v>
      </c>
      <c r="G462" s="2361"/>
      <c r="H462" s="2361"/>
      <c r="I462" s="2361"/>
      <c r="J462" s="2361"/>
      <c r="K462" s="2361"/>
      <c r="L462" s="2361"/>
      <c r="M462" s="2361"/>
      <c r="N462" s="2361"/>
      <c r="O462" s="2361"/>
      <c r="P462" s="2361"/>
      <c r="Q462" s="2361"/>
      <c r="R462" s="2361"/>
      <c r="S462" s="2361"/>
      <c r="T462" s="2361"/>
      <c r="U462" s="2361"/>
      <c r="V462" s="2361"/>
      <c r="W462" s="2361"/>
      <c r="X462" s="2361"/>
      <c r="Y462" s="2361"/>
      <c r="Z462" s="2361"/>
      <c r="AA462" s="2361"/>
      <c r="AB462" s="2361"/>
      <c r="AC462" s="2361"/>
      <c r="AD462" s="2361"/>
      <c r="AE462" s="2361"/>
      <c r="AF462" s="2361"/>
      <c r="AG462" s="577"/>
      <c r="AH462" s="549"/>
      <c r="AI462" s="549"/>
      <c r="AJ462" s="549"/>
      <c r="AK462" s="549"/>
      <c r="AL462" s="578"/>
      <c r="AM462" s="416"/>
      <c r="AN462" s="439"/>
    </row>
    <row r="463" spans="1:40" s="398" customFormat="1" ht="12.75" customHeight="1">
      <c r="A463" s="385"/>
      <c r="B463" s="11"/>
      <c r="C463" s="564"/>
      <c r="D463" s="11"/>
      <c r="E463" s="527"/>
      <c r="F463" s="2362"/>
      <c r="G463" s="2362"/>
      <c r="H463" s="2362"/>
      <c r="I463" s="2362"/>
      <c r="J463" s="2362"/>
      <c r="K463" s="2362"/>
      <c r="L463" s="2362"/>
      <c r="M463" s="2362"/>
      <c r="N463" s="2362"/>
      <c r="O463" s="2362"/>
      <c r="P463" s="2362"/>
      <c r="Q463" s="2362"/>
      <c r="R463" s="2362"/>
      <c r="S463" s="2362"/>
      <c r="T463" s="2362"/>
      <c r="U463" s="2362"/>
      <c r="V463" s="2362"/>
      <c r="W463" s="2362"/>
      <c r="X463" s="2362"/>
      <c r="Y463" s="2362"/>
      <c r="Z463" s="2362"/>
      <c r="AA463" s="2362"/>
      <c r="AB463" s="2362"/>
      <c r="AC463" s="2362"/>
      <c r="AD463" s="2362"/>
      <c r="AE463" s="2362"/>
      <c r="AF463" s="2362"/>
      <c r="AL463" s="565"/>
      <c r="AM463" s="416"/>
      <c r="AN463" s="439"/>
    </row>
    <row r="464" spans="1:40" s="398" customFormat="1" ht="12.75" customHeight="1">
      <c r="A464" s="385"/>
      <c r="B464" s="11"/>
      <c r="C464" s="572"/>
      <c r="F464" s="2362"/>
      <c r="G464" s="2362"/>
      <c r="H464" s="2362"/>
      <c r="I464" s="2362"/>
      <c r="J464" s="2362"/>
      <c r="K464" s="2362"/>
      <c r="L464" s="2362"/>
      <c r="M464" s="2362"/>
      <c r="N464" s="2362"/>
      <c r="O464" s="2362"/>
      <c r="P464" s="2362"/>
      <c r="Q464" s="2362"/>
      <c r="R464" s="2362"/>
      <c r="S464" s="2362"/>
      <c r="T464" s="2362"/>
      <c r="U464" s="2362"/>
      <c r="V464" s="2362"/>
      <c r="W464" s="2362"/>
      <c r="X464" s="2362"/>
      <c r="Y464" s="2362"/>
      <c r="Z464" s="2362"/>
      <c r="AA464" s="2362"/>
      <c r="AB464" s="2362"/>
      <c r="AC464" s="2362"/>
      <c r="AD464" s="2362"/>
      <c r="AE464" s="2362"/>
      <c r="AF464" s="2362"/>
      <c r="AL464" s="565"/>
      <c r="AM464" s="416"/>
      <c r="AN464" s="439"/>
    </row>
    <row r="465" spans="1:58" s="398" customFormat="1" ht="12.75" customHeight="1">
      <c r="A465" s="385"/>
      <c r="B465" s="11"/>
      <c r="C465" s="572"/>
      <c r="F465" s="2362"/>
      <c r="G465" s="2362"/>
      <c r="H465" s="2362"/>
      <c r="I465" s="2362"/>
      <c r="J465" s="2362"/>
      <c r="K465" s="2362"/>
      <c r="L465" s="2362"/>
      <c r="M465" s="2362"/>
      <c r="N465" s="2362"/>
      <c r="O465" s="2362"/>
      <c r="P465" s="2362"/>
      <c r="Q465" s="2362"/>
      <c r="R465" s="2362"/>
      <c r="S465" s="2362"/>
      <c r="T465" s="2362"/>
      <c r="U465" s="2362"/>
      <c r="V465" s="2362"/>
      <c r="W465" s="2362"/>
      <c r="X465" s="2362"/>
      <c r="Y465" s="2362"/>
      <c r="Z465" s="2362"/>
      <c r="AA465" s="2362"/>
      <c r="AB465" s="2362"/>
      <c r="AC465" s="2362"/>
      <c r="AD465" s="2362"/>
      <c r="AE465" s="2362"/>
      <c r="AF465" s="2362"/>
      <c r="AL465" s="565"/>
      <c r="AM465" s="416"/>
      <c r="AN465" s="439"/>
    </row>
    <row r="466" spans="1:58" s="398" customFormat="1" ht="12.75" customHeight="1">
      <c r="A466" s="385"/>
      <c r="B466" s="11"/>
      <c r="C466" s="2371" t="s">
        <v>810</v>
      </c>
      <c r="D466" s="2372"/>
      <c r="E466" s="554"/>
      <c r="F466" s="555" t="s">
        <v>2350</v>
      </c>
      <c r="G466" s="445"/>
      <c r="H466" s="445"/>
      <c r="I466" s="445"/>
      <c r="J466" s="445"/>
      <c r="K466" s="445"/>
      <c r="L466" s="445"/>
      <c r="M466" s="445"/>
      <c r="N466" s="445"/>
      <c r="O466" s="445"/>
      <c r="P466" s="445"/>
      <c r="Q466" s="445"/>
      <c r="R466" s="445"/>
      <c r="S466" s="445"/>
      <c r="T466" s="445"/>
      <c r="U466" s="445"/>
      <c r="V466" s="445"/>
      <c r="W466" s="445"/>
      <c r="X466" s="445"/>
      <c r="Y466" s="445"/>
      <c r="Z466" s="445"/>
      <c r="AA466" s="445"/>
      <c r="AB466" s="445"/>
      <c r="AC466" s="445"/>
      <c r="AD466" s="445"/>
      <c r="AF466" s="2373" t="s">
        <v>2333</v>
      </c>
      <c r="AG466" s="2373"/>
      <c r="AH466" s="2373"/>
      <c r="AI466" s="2373"/>
      <c r="AJ466" s="2373"/>
      <c r="AK466" s="2373"/>
      <c r="AL466" s="2374"/>
      <c r="AM466" s="416"/>
      <c r="AN466" s="439"/>
    </row>
    <row r="467" spans="1:58" s="398" customFormat="1" ht="12.75" customHeight="1">
      <c r="A467" s="385"/>
      <c r="B467" s="11"/>
      <c r="C467" s="573"/>
      <c r="D467" s="566"/>
      <c r="E467" s="567"/>
      <c r="F467" s="561"/>
      <c r="G467" s="561"/>
      <c r="H467" s="561"/>
      <c r="I467" s="561"/>
      <c r="J467" s="561"/>
      <c r="K467" s="561"/>
      <c r="L467" s="561"/>
      <c r="M467" s="561"/>
      <c r="N467" s="561"/>
      <c r="O467" s="561"/>
      <c r="P467" s="561"/>
      <c r="Q467" s="561"/>
      <c r="R467" s="561"/>
      <c r="S467" s="561"/>
      <c r="T467" s="561"/>
      <c r="U467" s="561"/>
      <c r="V467" s="561"/>
      <c r="W467" s="561"/>
      <c r="X467" s="561"/>
      <c r="Y467" s="561"/>
      <c r="Z467" s="561"/>
      <c r="AA467" s="561"/>
      <c r="AB467" s="561"/>
      <c r="AC467" s="561"/>
      <c r="AD467" s="561"/>
      <c r="AE467" s="561"/>
      <c r="AF467" s="561"/>
      <c r="AG467" s="561"/>
      <c r="AH467" s="561"/>
      <c r="AI467" s="561"/>
      <c r="AJ467" s="561"/>
      <c r="AK467" s="561"/>
      <c r="AL467" s="575"/>
      <c r="AN467" s="439"/>
    </row>
    <row r="468" spans="1:58" s="398" customFormat="1" ht="12.75" customHeight="1">
      <c r="A468" s="385"/>
      <c r="B468" s="11"/>
      <c r="C468" s="805"/>
      <c r="D468" s="416"/>
      <c r="F468" s="555"/>
      <c r="G468" s="445"/>
      <c r="H468" s="445"/>
      <c r="I468" s="445"/>
      <c r="J468" s="445"/>
      <c r="K468" s="445"/>
      <c r="L468" s="445"/>
      <c r="M468" s="445"/>
      <c r="N468" s="445"/>
      <c r="O468" s="445"/>
      <c r="P468" s="445"/>
      <c r="Q468" s="445"/>
      <c r="R468" s="445"/>
      <c r="S468" s="445"/>
      <c r="T468" s="445"/>
      <c r="U468" s="445"/>
      <c r="V468" s="445"/>
      <c r="W468" s="445"/>
      <c r="X468" s="445"/>
      <c r="Y468" s="445"/>
      <c r="Z468" s="445"/>
      <c r="AA468" s="445"/>
      <c r="AB468" s="445"/>
      <c r="AC468" s="445"/>
      <c r="AD468" s="445"/>
      <c r="AF468" s="454"/>
      <c r="AG468" s="454"/>
      <c r="AH468" s="454"/>
      <c r="AI468" s="454"/>
      <c r="AJ468" s="454"/>
      <c r="AK468" s="454"/>
      <c r="AL468" s="454"/>
      <c r="AN468" s="439"/>
    </row>
    <row r="469" spans="1:58" s="398" customFormat="1" ht="12.75" customHeight="1">
      <c r="A469" s="442"/>
      <c r="B469" s="680" t="s">
        <v>2368</v>
      </c>
      <c r="D469" s="514"/>
      <c r="E469" s="443"/>
      <c r="F469" s="443"/>
      <c r="G469" s="443"/>
      <c r="H469" s="443"/>
      <c r="I469" s="443"/>
      <c r="J469" s="443"/>
      <c r="K469" s="443"/>
      <c r="L469" s="443"/>
      <c r="M469" s="443"/>
      <c r="N469" s="443"/>
      <c r="O469" s="443"/>
      <c r="P469" s="443"/>
      <c r="Q469" s="443"/>
      <c r="R469" s="443"/>
      <c r="S469" s="443"/>
      <c r="T469" s="443"/>
      <c r="U469" s="443"/>
      <c r="V469" s="443"/>
      <c r="W469" s="443"/>
      <c r="X469" s="443"/>
      <c r="Y469" s="443"/>
      <c r="Z469" s="443"/>
      <c r="AA469" s="443"/>
      <c r="AB469" s="443"/>
      <c r="AC469" s="443"/>
      <c r="AD469" s="443"/>
      <c r="AE469" s="410"/>
      <c r="AF469" s="410"/>
      <c r="AG469" s="410"/>
      <c r="AH469" s="410"/>
      <c r="AI469" s="411"/>
      <c r="AJ469" s="411" t="s">
        <v>2369</v>
      </c>
      <c r="AK469" s="2358">
        <f>IF(Application!D214="N/A",AS358,AS360)</f>
        <v>10</v>
      </c>
      <c r="AL469" s="2359"/>
      <c r="AM469" s="2360"/>
      <c r="AN469" s="439"/>
    </row>
    <row r="470" spans="1:58" s="398" customFormat="1" ht="12.75" customHeight="1" thickBo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c r="AA470" s="590"/>
      <c r="AB470" s="590"/>
      <c r="AC470" s="590"/>
      <c r="AD470" s="590"/>
      <c r="AE470" s="590"/>
      <c r="AF470" s="590"/>
      <c r="AG470" s="590"/>
      <c r="AH470" s="590"/>
      <c r="AI470" s="590"/>
      <c r="AJ470" s="590"/>
      <c r="AK470" s="590"/>
      <c r="AL470" s="590"/>
      <c r="AM470" s="591"/>
      <c r="AN470" s="439"/>
    </row>
    <row r="471" spans="1:58" s="398" customFormat="1" ht="12.75" hidden="1" customHeight="1" thickTop="1">
      <c r="A471" s="49"/>
      <c r="B471" s="417"/>
      <c r="C471" s="418"/>
      <c r="D471" s="418"/>
      <c r="E471" s="418"/>
      <c r="F471" s="418"/>
      <c r="G471" s="418"/>
      <c r="H471" s="418"/>
      <c r="I471" s="1194"/>
      <c r="J471" s="1194"/>
      <c r="K471" s="1194"/>
      <c r="L471" s="1194"/>
      <c r="M471" s="1194"/>
      <c r="N471" s="1194"/>
      <c r="O471" s="1194"/>
      <c r="P471" s="1194"/>
      <c r="Q471" s="1194"/>
      <c r="R471" s="416"/>
      <c r="S471" s="388"/>
      <c r="T471" s="388"/>
      <c r="U471" s="388"/>
      <c r="V471" s="388"/>
      <c r="W471" s="388"/>
      <c r="X471" s="388"/>
      <c r="Y471" s="388"/>
      <c r="Z471" s="388"/>
      <c r="AA471" s="388"/>
      <c r="AB471" s="388"/>
      <c r="AC471" s="388"/>
      <c r="AD471" s="388"/>
      <c r="AE471" s="388"/>
      <c r="AF471" s="416"/>
      <c r="AG471" s="388"/>
      <c r="AH471" s="388"/>
      <c r="AI471" s="388"/>
      <c r="AJ471" s="388"/>
      <c r="AM471" s="11"/>
      <c r="AN471" s="439"/>
      <c r="AO471" s="398" t="s">
        <v>810</v>
      </c>
      <c r="AP471" s="398">
        <v>0</v>
      </c>
      <c r="AT471" s="398" t="s">
        <v>810</v>
      </c>
      <c r="AU471" s="398">
        <v>0</v>
      </c>
      <c r="AV471" s="583"/>
    </row>
    <row r="472" spans="1:58" s="398" customFormat="1" ht="12.75" hidden="1" customHeight="1">
      <c r="A472" s="388" t="s">
        <v>2370</v>
      </c>
      <c r="C472" s="388"/>
      <c r="E472" s="438"/>
      <c r="AE472" s="2373" t="s">
        <v>2371</v>
      </c>
      <c r="AF472" s="2373"/>
      <c r="AG472" s="2373"/>
      <c r="AH472" s="2373"/>
      <c r="AI472" s="2373"/>
      <c r="AJ472" s="2373"/>
      <c r="AK472" s="2373"/>
      <c r="AL472" s="1197"/>
      <c r="AN472" s="439"/>
      <c r="AO472" s="398" t="s">
        <v>2372</v>
      </c>
      <c r="AP472" s="398">
        <v>5</v>
      </c>
      <c r="AT472" s="398" t="s">
        <v>2372</v>
      </c>
      <c r="AU472" s="398">
        <v>5</v>
      </c>
      <c r="AV472" s="583"/>
    </row>
    <row r="473" spans="1:58" s="398" customFormat="1" ht="12.75" hidden="1" customHeight="1">
      <c r="A473" s="388"/>
      <c r="B473" s="385" t="s">
        <v>2373</v>
      </c>
      <c r="C473" s="388"/>
      <c r="E473" s="438"/>
      <c r="AE473" s="1197"/>
      <c r="AF473" s="1197"/>
      <c r="AG473" s="1197"/>
      <c r="AH473" s="1197"/>
      <c r="AI473" s="1197"/>
      <c r="AJ473" s="1197"/>
      <c r="AK473" s="1197"/>
      <c r="AL473" s="1197"/>
      <c r="AN473" s="439"/>
      <c r="AO473" s="398" t="s">
        <v>2374</v>
      </c>
      <c r="AP473" s="398">
        <v>5</v>
      </c>
      <c r="AT473" s="398" t="s">
        <v>2375</v>
      </c>
      <c r="AU473" s="398">
        <v>5</v>
      </c>
      <c r="AV473" s="583"/>
    </row>
    <row r="474" spans="1:58" s="398" customFormat="1" ht="12.75" hidden="1" customHeight="1">
      <c r="A474" s="388"/>
      <c r="B474" s="388" t="s">
        <v>2376</v>
      </c>
      <c r="C474" s="388"/>
      <c r="E474" s="438"/>
      <c r="AE474" s="1197"/>
      <c r="AF474" s="1197"/>
      <c r="AG474" s="1197"/>
      <c r="AH474" s="1197"/>
      <c r="AI474" s="1197"/>
      <c r="AJ474" s="1197"/>
      <c r="AK474" s="1197"/>
      <c r="AL474" s="1197"/>
      <c r="AN474" s="439"/>
      <c r="AO474" s="398" t="s">
        <v>2377</v>
      </c>
      <c r="AP474" s="398">
        <v>5</v>
      </c>
      <c r="AQ474" s="388"/>
      <c r="AR474" s="388"/>
      <c r="AS474" s="586"/>
      <c r="AT474" s="398" t="s">
        <v>2377</v>
      </c>
      <c r="AU474" s="398">
        <v>5</v>
      </c>
      <c r="AV474" s="385"/>
    </row>
    <row r="475" spans="1:58" s="398" customFormat="1" ht="12.75" hidden="1" customHeight="1">
      <c r="A475" s="388"/>
      <c r="B475" s="388" t="s">
        <v>2378</v>
      </c>
      <c r="C475" s="388"/>
      <c r="E475" s="438"/>
      <c r="AE475" s="1197"/>
      <c r="AF475" s="1197"/>
      <c r="AG475" s="1197"/>
      <c r="AH475" s="1197"/>
      <c r="AI475" s="1197"/>
      <c r="AJ475" s="1197"/>
      <c r="AK475" s="1197"/>
      <c r="AL475" s="1197"/>
      <c r="AN475" s="439"/>
      <c r="AO475" s="398" t="s">
        <v>2379</v>
      </c>
      <c r="AP475" s="398">
        <v>5</v>
      </c>
      <c r="AQ475" s="388"/>
      <c r="AR475" s="388"/>
      <c r="AT475" s="398" t="s">
        <v>2379</v>
      </c>
      <c r="AU475" s="398">
        <v>5</v>
      </c>
    </row>
    <row r="476" spans="1:58" s="398" customFormat="1" ht="12.75" hidden="1" customHeight="1">
      <c r="A476" s="388"/>
      <c r="C476" s="388"/>
      <c r="E476" s="438"/>
      <c r="AE476" s="1197"/>
      <c r="AF476" s="1197"/>
      <c r="AG476" s="1197"/>
      <c r="AH476" s="1197"/>
      <c r="AI476" s="1197"/>
      <c r="AJ476" s="1197"/>
      <c r="AK476" s="1197"/>
      <c r="AL476" s="1197"/>
      <c r="AN476" s="439"/>
      <c r="AO476" s="398" t="s">
        <v>2380</v>
      </c>
      <c r="AP476" s="398">
        <v>5</v>
      </c>
      <c r="AQ476" s="388"/>
      <c r="AR476" s="388"/>
      <c r="AT476" s="398" t="s">
        <v>2380</v>
      </c>
      <c r="AU476" s="398">
        <v>5</v>
      </c>
    </row>
    <row r="477" spans="1:58" s="398" customFormat="1" ht="12.75" hidden="1" customHeight="1">
      <c r="A477" s="388"/>
      <c r="C477" s="547" t="s">
        <v>2381</v>
      </c>
      <c r="D477" s="416"/>
      <c r="AE477" s="1197"/>
      <c r="AF477" s="1197"/>
      <c r="AG477" s="438"/>
      <c r="AH477" s="438"/>
      <c r="AI477" s="438"/>
      <c r="AJ477" s="438"/>
      <c r="AK477" s="438"/>
      <c r="AL477" s="438"/>
      <c r="AN477" s="439"/>
      <c r="AO477" s="398" t="s">
        <v>2382</v>
      </c>
      <c r="AP477" s="398">
        <v>5</v>
      </c>
      <c r="AT477" s="398" t="s">
        <v>2382</v>
      </c>
      <c r="AU477" s="398">
        <v>5</v>
      </c>
    </row>
    <row r="478" spans="1:58" s="398" customFormat="1" ht="12.75" hidden="1" customHeight="1">
      <c r="A478" s="388"/>
      <c r="C478" s="2380" t="s">
        <v>810</v>
      </c>
      <c r="D478" s="2381"/>
      <c r="E478" s="592" t="s">
        <v>51</v>
      </c>
      <c r="F478" s="2458" t="s">
        <v>2383</v>
      </c>
      <c r="G478" s="2458"/>
      <c r="H478" s="2458"/>
      <c r="I478" s="2458"/>
      <c r="J478" s="2458"/>
      <c r="K478" s="2458"/>
      <c r="L478" s="2458"/>
      <c r="M478" s="2458"/>
      <c r="N478" s="2458"/>
      <c r="O478" s="2458"/>
      <c r="P478" s="2458"/>
      <c r="Q478" s="2458"/>
      <c r="R478" s="2458"/>
      <c r="S478" s="2458"/>
      <c r="T478" s="2458"/>
      <c r="U478" s="2458"/>
      <c r="V478" s="2458"/>
      <c r="W478" s="2458"/>
      <c r="X478" s="2458"/>
      <c r="Y478" s="2458"/>
      <c r="Z478" s="2458"/>
      <c r="AA478" s="2458"/>
      <c r="AB478" s="2458"/>
      <c r="AC478" s="2458"/>
      <c r="AD478" s="2458"/>
      <c r="AE478" s="2458"/>
      <c r="AF478" s="549"/>
      <c r="AG478" s="549"/>
      <c r="AH478" s="549"/>
      <c r="AI478" s="549"/>
      <c r="AJ478" s="549"/>
      <c r="AK478" s="578"/>
      <c r="AN478" s="439"/>
      <c r="AO478" s="398" t="s">
        <v>2384</v>
      </c>
      <c r="AP478" s="398">
        <v>5</v>
      </c>
      <c r="AS478" s="589"/>
      <c r="AT478" s="398" t="s">
        <v>2385</v>
      </c>
      <c r="AU478" s="398">
        <v>5</v>
      </c>
    </row>
    <row r="479" spans="1:58" s="398" customFormat="1" ht="12.75" hidden="1" customHeight="1">
      <c r="C479" s="593"/>
      <c r="E479" s="594"/>
      <c r="F479" s="2459"/>
      <c r="G479" s="2459"/>
      <c r="H479" s="2459"/>
      <c r="I479" s="2459"/>
      <c r="J479" s="2459"/>
      <c r="K479" s="2459"/>
      <c r="L479" s="2459"/>
      <c r="M479" s="2459"/>
      <c r="N479" s="2459"/>
      <c r="O479" s="2459"/>
      <c r="P479" s="2459"/>
      <c r="Q479" s="2459"/>
      <c r="R479" s="2459"/>
      <c r="S479" s="2459"/>
      <c r="T479" s="2459"/>
      <c r="U479" s="2459"/>
      <c r="V479" s="2459"/>
      <c r="W479" s="2459"/>
      <c r="X479" s="2459"/>
      <c r="Y479" s="2459"/>
      <c r="Z479" s="2459"/>
      <c r="AA479" s="2459"/>
      <c r="AB479" s="2459"/>
      <c r="AC479" s="2459"/>
      <c r="AD479" s="2459"/>
      <c r="AE479" s="2459"/>
      <c r="AG479" s="399"/>
      <c r="AH479" s="399"/>
      <c r="AI479" s="399"/>
      <c r="AJ479" s="399"/>
      <c r="AK479" s="565"/>
      <c r="AN479" s="439"/>
      <c r="AO479" s="398" t="s">
        <v>2386</v>
      </c>
      <c r="AP479" s="398">
        <v>1</v>
      </c>
      <c r="AT479" s="398" t="s">
        <v>2386</v>
      </c>
      <c r="AU479" s="398">
        <v>1</v>
      </c>
    </row>
    <row r="480" spans="1:58" s="398" customFormat="1" ht="12.75" hidden="1" customHeight="1">
      <c r="C480" s="595"/>
      <c r="D480" s="561"/>
      <c r="E480" s="596"/>
      <c r="F480" s="2386" t="s">
        <v>810</v>
      </c>
      <c r="G480" s="2386"/>
      <c r="H480" s="2386"/>
      <c r="I480" s="2386"/>
      <c r="J480" s="2386"/>
      <c r="K480" s="2386"/>
      <c r="L480" s="2386"/>
      <c r="M480" s="2386"/>
      <c r="N480" s="2386"/>
      <c r="O480" s="2386"/>
      <c r="P480" s="2386"/>
      <c r="Q480" s="2386"/>
      <c r="R480" s="2386"/>
      <c r="S480" s="2386"/>
      <c r="T480" s="2386"/>
      <c r="U480" s="2386"/>
      <c r="V480" s="2386"/>
      <c r="W480" s="2386"/>
      <c r="X480" s="2386"/>
      <c r="Y480" s="2386"/>
      <c r="Z480" s="2386"/>
      <c r="AA480" s="597"/>
      <c r="AB480" s="495"/>
      <c r="AC480" s="495"/>
      <c r="AD480" s="561"/>
      <c r="AE480" s="561"/>
      <c r="AF480" s="561"/>
      <c r="AG480" s="598">
        <f>IF($C$478="Yes",(VLOOKUP($F$480,$AT$471:$AU$479,2,FALSE)),0)</f>
        <v>0</v>
      </c>
      <c r="AH480" s="599" t="s">
        <v>2167</v>
      </c>
      <c r="AI480" s="598"/>
      <c r="AJ480" s="598"/>
      <c r="AK480" s="575"/>
      <c r="AN480" s="439"/>
      <c r="AS480" s="586"/>
      <c r="AX480" s="586"/>
      <c r="BB480" s="586" t="s">
        <v>2387</v>
      </c>
      <c r="BF480" s="586" t="s">
        <v>2388</v>
      </c>
    </row>
    <row r="481" spans="1:81" s="398" customFormat="1" ht="12.75" hidden="1" customHeight="1">
      <c r="C481" s="399"/>
      <c r="E481" s="594"/>
      <c r="F481" s="436"/>
      <c r="G481" s="436"/>
      <c r="H481" s="436"/>
      <c r="I481" s="436"/>
      <c r="J481" s="436"/>
      <c r="K481" s="436"/>
      <c r="L481" s="436"/>
      <c r="M481" s="436"/>
      <c r="N481" s="436"/>
      <c r="O481" s="436"/>
      <c r="P481" s="436"/>
      <c r="Q481" s="436"/>
      <c r="R481" s="436"/>
      <c r="S481" s="436"/>
      <c r="T481" s="436"/>
      <c r="U481" s="436"/>
      <c r="V481" s="436"/>
      <c r="W481" s="436"/>
      <c r="X481" s="436"/>
      <c r="Y481" s="436"/>
      <c r="Z481" s="436"/>
      <c r="AA481" s="416"/>
      <c r="AB481" s="399"/>
      <c r="AC481" s="399"/>
      <c r="AG481" s="399"/>
      <c r="AH481" s="399"/>
      <c r="AI481" s="399"/>
      <c r="AJ481" s="399"/>
      <c r="AN481" s="439"/>
      <c r="AO481" s="398" t="s">
        <v>810</v>
      </c>
      <c r="AP481" s="477">
        <v>0</v>
      </c>
      <c r="AT481" s="398" t="s">
        <v>810</v>
      </c>
      <c r="AU481" s="477">
        <v>0</v>
      </c>
      <c r="AW481" s="398" t="s">
        <v>810</v>
      </c>
      <c r="AX481" s="477">
        <v>0</v>
      </c>
      <c r="AY481" s="436"/>
      <c r="BB481" s="398" t="s">
        <v>810</v>
      </c>
      <c r="BC481" s="436">
        <v>0</v>
      </c>
      <c r="BF481" s="398" t="s">
        <v>810</v>
      </c>
      <c r="BG481" s="436">
        <v>0</v>
      </c>
    </row>
    <row r="482" spans="1:81" s="398" customFormat="1" ht="12.75" hidden="1" customHeight="1">
      <c r="C482" s="2387" t="s">
        <v>694</v>
      </c>
      <c r="D482" s="2388"/>
      <c r="E482" s="592" t="s">
        <v>53</v>
      </c>
      <c r="F482" s="600" t="s">
        <v>2389</v>
      </c>
      <c r="G482" s="487"/>
      <c r="H482" s="487"/>
      <c r="I482" s="487"/>
      <c r="J482" s="487"/>
      <c r="K482" s="487"/>
      <c r="L482" s="487"/>
      <c r="M482" s="487"/>
      <c r="N482" s="487"/>
      <c r="O482" s="487"/>
      <c r="P482" s="487"/>
      <c r="Q482" s="487"/>
      <c r="R482" s="487"/>
      <c r="S482" s="487"/>
      <c r="T482" s="487"/>
      <c r="U482" s="487"/>
      <c r="V482" s="487"/>
      <c r="W482" s="487"/>
      <c r="X482" s="487"/>
      <c r="Y482" s="487"/>
      <c r="Z482" s="487"/>
      <c r="AA482" s="487"/>
      <c r="AB482" s="487"/>
      <c r="AC482" s="487"/>
      <c r="AD482" s="549"/>
      <c r="AE482" s="549"/>
      <c r="AF482" s="549"/>
      <c r="AG482" s="487"/>
      <c r="AH482" s="487"/>
      <c r="AI482" s="487"/>
      <c r="AJ482" s="487"/>
      <c r="AK482" s="578"/>
      <c r="AN482" s="439"/>
      <c r="AO482" s="589">
        <v>0.15</v>
      </c>
      <c r="AP482" s="477">
        <v>3</v>
      </c>
      <c r="AT482" s="589">
        <v>7.0000000000000007E-2</v>
      </c>
      <c r="AU482" s="477">
        <v>3</v>
      </c>
      <c r="AW482" s="398" t="s">
        <v>2390</v>
      </c>
      <c r="AX482" s="477">
        <v>3</v>
      </c>
      <c r="AY482" s="436"/>
      <c r="BB482" s="589">
        <v>0.4</v>
      </c>
      <c r="BC482" s="436">
        <v>3</v>
      </c>
      <c r="BF482" s="589">
        <v>0.4</v>
      </c>
      <c r="BG482" s="436">
        <v>4</v>
      </c>
    </row>
    <row r="483" spans="1:81" s="398" customFormat="1" ht="12.75" hidden="1" customHeight="1">
      <c r="C483" s="601" t="s">
        <v>2391</v>
      </c>
      <c r="F483" s="602" t="s">
        <v>2392</v>
      </c>
      <c r="G483" s="399"/>
      <c r="H483" s="399"/>
      <c r="I483" s="399"/>
      <c r="J483" s="399"/>
      <c r="K483" s="399"/>
      <c r="L483" s="399"/>
      <c r="M483" s="399"/>
      <c r="N483" s="399"/>
      <c r="O483" s="399"/>
      <c r="P483" s="399"/>
      <c r="Q483" s="399"/>
      <c r="R483" s="399"/>
      <c r="S483" s="399"/>
      <c r="T483" s="399"/>
      <c r="U483" s="399"/>
      <c r="V483" s="399"/>
      <c r="W483" s="399"/>
      <c r="X483" s="399"/>
      <c r="Y483" s="399"/>
      <c r="Z483" s="399"/>
      <c r="AA483" s="399"/>
      <c r="AB483" s="399"/>
      <c r="AC483" s="1197"/>
      <c r="AG483" s="454"/>
      <c r="AH483" s="454"/>
      <c r="AI483" s="454"/>
      <c r="AJ483" s="454"/>
      <c r="AK483" s="565"/>
      <c r="AN483" s="439"/>
      <c r="AO483" s="589">
        <v>0.2</v>
      </c>
      <c r="AP483" s="477">
        <v>5</v>
      </c>
      <c r="AT483" s="589">
        <v>0.12</v>
      </c>
      <c r="AU483" s="477">
        <v>5</v>
      </c>
      <c r="AW483" s="398" t="s">
        <v>2393</v>
      </c>
      <c r="AX483" s="477">
        <v>5</v>
      </c>
      <c r="AY483" s="436"/>
      <c r="BB483" s="589">
        <v>0.6</v>
      </c>
      <c r="BC483" s="436">
        <v>4</v>
      </c>
      <c r="BF483" s="589">
        <v>0.6</v>
      </c>
      <c r="BG483" s="436">
        <v>5</v>
      </c>
    </row>
    <row r="484" spans="1:81" s="398" customFormat="1" ht="12.75" hidden="1" customHeight="1">
      <c r="C484" s="1201"/>
      <c r="D484" s="1199"/>
      <c r="E484" s="603"/>
      <c r="F484" s="602" t="s">
        <v>2394</v>
      </c>
      <c r="G484" s="602"/>
      <c r="H484" s="602"/>
      <c r="I484" s="602"/>
      <c r="J484" s="602"/>
      <c r="K484" s="602"/>
      <c r="L484" s="602"/>
      <c r="M484" s="602"/>
      <c r="N484" s="602"/>
      <c r="O484" s="602"/>
      <c r="P484" s="602"/>
      <c r="Q484" s="602"/>
      <c r="R484" s="602"/>
      <c r="S484" s="602"/>
      <c r="T484" s="602"/>
      <c r="U484" s="602"/>
      <c r="V484" s="602"/>
      <c r="W484" s="602"/>
      <c r="X484" s="602"/>
      <c r="Y484" s="602"/>
      <c r="Z484" s="602"/>
      <c r="AA484" s="602"/>
      <c r="AB484" s="602"/>
      <c r="AC484" s="604"/>
      <c r="AD484" s="450"/>
      <c r="AE484" s="450"/>
      <c r="AF484" s="450"/>
      <c r="AG484" s="605"/>
      <c r="AH484" s="454"/>
      <c r="AI484" s="454"/>
      <c r="AJ484" s="454"/>
      <c r="AK484" s="565"/>
      <c r="AN484" s="515"/>
      <c r="AO484" s="589"/>
      <c r="AP484" s="436"/>
      <c r="AT484" s="589"/>
      <c r="AU484" s="436"/>
      <c r="AX484" s="589"/>
      <c r="AY484" s="436"/>
      <c r="BB484" s="589">
        <v>0.8</v>
      </c>
      <c r="BC484" s="436">
        <v>5</v>
      </c>
      <c r="BF484" s="589"/>
      <c r="BG484" s="436"/>
    </row>
    <row r="485" spans="1:81" s="438" customFormat="1" ht="12.75" hidden="1" customHeight="1">
      <c r="A485" s="477"/>
      <c r="B485" s="398"/>
      <c r="C485" s="593"/>
      <c r="D485" s="398"/>
      <c r="E485" s="594"/>
      <c r="F485" s="606" t="s">
        <v>2395</v>
      </c>
      <c r="G485" s="398"/>
      <c r="H485" s="398"/>
      <c r="I485" s="602"/>
      <c r="J485" s="602"/>
      <c r="K485" s="602"/>
      <c r="L485" s="602"/>
      <c r="M485" s="602"/>
      <c r="N485" s="602"/>
      <c r="O485" s="602"/>
      <c r="P485" s="602"/>
      <c r="Q485" s="602"/>
      <c r="R485" s="602"/>
      <c r="S485" s="602"/>
      <c r="T485" s="602"/>
      <c r="U485" s="602"/>
      <c r="V485" s="2366" t="s">
        <v>810</v>
      </c>
      <c r="W485" s="2366"/>
      <c r="X485" s="2366"/>
      <c r="Y485" s="602"/>
      <c r="Z485" s="602"/>
      <c r="AA485" s="602"/>
      <c r="AB485" s="602"/>
      <c r="AC485" s="602"/>
      <c r="AD485" s="450"/>
      <c r="AE485" s="450"/>
      <c r="AF485" s="450"/>
      <c r="AG485" s="454">
        <f>IF(AND($C$482="Yes",$V$487="N/A",$V$492="N/A",$V$496="N/A",$V$498="N/A"),(VLOOKUP(V485,$AW$481:$AX$483,2,FALSE)),0)</f>
        <v>0</v>
      </c>
      <c r="AH485" s="1213" t="s">
        <v>2167</v>
      </c>
      <c r="AI485" s="399"/>
      <c r="AJ485" s="399"/>
      <c r="AK485" s="565"/>
      <c r="AL485" s="398"/>
      <c r="AM485" s="398"/>
      <c r="AN485" s="439"/>
      <c r="AT485" s="398" t="s">
        <v>810</v>
      </c>
      <c r="AU485" s="477">
        <v>0</v>
      </c>
      <c r="AV485" s="398"/>
      <c r="AW485" s="398"/>
      <c r="AX485" s="398"/>
      <c r="AY485" s="398"/>
      <c r="AZ485" s="398"/>
      <c r="BA485" s="398"/>
      <c r="BB485" s="589"/>
      <c r="BC485" s="436"/>
      <c r="BD485" s="398"/>
      <c r="BE485" s="398"/>
      <c r="BF485" s="398"/>
      <c r="BG485" s="398"/>
    </row>
    <row r="486" spans="1:81" s="438" customFormat="1" ht="12.75" hidden="1" customHeight="1">
      <c r="A486" s="477"/>
      <c r="B486" s="398"/>
      <c r="C486" s="593"/>
      <c r="D486" s="398"/>
      <c r="E486" s="594"/>
      <c r="F486" s="606"/>
      <c r="G486" s="398"/>
      <c r="H486" s="398"/>
      <c r="I486" s="602"/>
      <c r="J486" s="602"/>
      <c r="K486" s="602"/>
      <c r="L486" s="602"/>
      <c r="M486" s="602"/>
      <c r="N486" s="602"/>
      <c r="O486" s="602"/>
      <c r="P486" s="602"/>
      <c r="Q486" s="602"/>
      <c r="R486" s="602"/>
      <c r="S486" s="602"/>
      <c r="T486" s="602"/>
      <c r="U486" s="602"/>
      <c r="V486" s="602"/>
      <c r="W486" s="602"/>
      <c r="X486" s="602"/>
      <c r="Y486" s="602"/>
      <c r="Z486" s="602"/>
      <c r="AA486" s="602"/>
      <c r="AB486" s="602"/>
      <c r="AC486" s="602"/>
      <c r="AD486" s="450"/>
      <c r="AE486" s="450"/>
      <c r="AF486" s="450"/>
      <c r="AG486" s="454"/>
      <c r="AH486" s="1213"/>
      <c r="AI486" s="399"/>
      <c r="AJ486" s="399"/>
      <c r="AK486" s="565"/>
      <c r="AL486" s="398"/>
      <c r="AM486" s="398"/>
      <c r="AN486" s="439"/>
      <c r="AT486" s="589">
        <v>0.09</v>
      </c>
      <c r="AU486" s="477">
        <v>3</v>
      </c>
      <c r="AV486" s="398"/>
      <c r="AW486" s="398"/>
      <c r="AX486" s="586"/>
      <c r="AY486" s="398"/>
      <c r="AZ486" s="398"/>
      <c r="BA486" s="398"/>
      <c r="BB486" s="398"/>
      <c r="BC486" s="398"/>
      <c r="BD486" s="398"/>
      <c r="BE486" s="398"/>
      <c r="BF486" s="398"/>
      <c r="BG486" s="398"/>
    </row>
    <row r="487" spans="1:81" s="438" customFormat="1" ht="12.75" hidden="1" customHeight="1">
      <c r="A487" s="477"/>
      <c r="B487" s="398"/>
      <c r="C487" s="593"/>
      <c r="D487" s="398"/>
      <c r="E487" s="594"/>
      <c r="F487" s="606" t="s">
        <v>2396</v>
      </c>
      <c r="G487" s="398"/>
      <c r="H487" s="398"/>
      <c r="I487" s="602"/>
      <c r="J487" s="602"/>
      <c r="K487" s="602"/>
      <c r="L487" s="602"/>
      <c r="M487" s="602"/>
      <c r="N487" s="602"/>
      <c r="O487" s="602"/>
      <c r="P487" s="602"/>
      <c r="Q487" s="602"/>
      <c r="R487" s="602"/>
      <c r="S487" s="602"/>
      <c r="T487" s="602"/>
      <c r="U487" s="602"/>
      <c r="V487" s="2366" t="s">
        <v>810</v>
      </c>
      <c r="W487" s="2366"/>
      <c r="X487" s="2366"/>
      <c r="Y487" s="602"/>
      <c r="Z487" s="602"/>
      <c r="AA487" s="602"/>
      <c r="AB487" s="602"/>
      <c r="AC487" s="602"/>
      <c r="AD487" s="450"/>
      <c r="AE487" s="450"/>
      <c r="AF487" s="450"/>
      <c r="AG487" s="454">
        <f>IF(AND($C$482="Yes",$V$485="N/A", $V$492="N/A",$V$496="N/A",$V$498="N/A"),(VLOOKUP(V487,$AT$481:$AU$483,2,FALSE)),0)</f>
        <v>0</v>
      </c>
      <c r="AH487" s="1213" t="s">
        <v>2167</v>
      </c>
      <c r="AI487" s="399"/>
      <c r="AJ487" s="399"/>
      <c r="AK487" s="565"/>
      <c r="AL487" s="398"/>
      <c r="AM487" s="398"/>
      <c r="AN487" s="439"/>
      <c r="AT487" s="589">
        <v>0.15</v>
      </c>
      <c r="AU487" s="477">
        <v>5</v>
      </c>
      <c r="AV487" s="398"/>
      <c r="AW487" s="398"/>
      <c r="AX487" s="398"/>
      <c r="AY487" s="398"/>
      <c r="AZ487" s="398"/>
      <c r="BA487" s="398"/>
      <c r="BB487" s="398"/>
      <c r="BC487" s="398"/>
      <c r="BD487" s="398"/>
      <c r="BE487" s="398"/>
      <c r="BF487" s="398"/>
      <c r="BG487" s="398"/>
    </row>
    <row r="488" spans="1:81" s="398" customFormat="1" ht="12.75" hidden="1" customHeight="1">
      <c r="C488" s="593"/>
      <c r="E488" s="594"/>
      <c r="F488" s="438"/>
      <c r="G488" s="607"/>
      <c r="H488" s="607"/>
      <c r="I488" s="607"/>
      <c r="J488" s="607"/>
      <c r="K488" s="607"/>
      <c r="L488" s="607"/>
      <c r="M488" s="607"/>
      <c r="N488" s="607"/>
      <c r="O488" s="607"/>
      <c r="P488" s="607"/>
      <c r="Q488" s="399"/>
      <c r="R488" s="399"/>
      <c r="S488" s="399"/>
      <c r="T488" s="399"/>
      <c r="U488" s="399"/>
      <c r="V488" s="399"/>
      <c r="W488" s="399"/>
      <c r="X488" s="399"/>
      <c r="Y488" s="399"/>
      <c r="Z488" s="399"/>
      <c r="AA488" s="399"/>
      <c r="AB488" s="399"/>
      <c r="AC488" s="399"/>
      <c r="AG488" s="438"/>
      <c r="AH488" s="438"/>
      <c r="AI488" s="438"/>
      <c r="AJ488" s="438"/>
      <c r="AK488" s="565"/>
      <c r="AN488" s="439"/>
      <c r="AO488" s="398" t="s">
        <v>810</v>
      </c>
      <c r="AP488" s="398">
        <v>0</v>
      </c>
    </row>
    <row r="489" spans="1:81" s="398" customFormat="1" ht="12.75" hidden="1" customHeight="1">
      <c r="C489" s="593"/>
      <c r="E489" s="594"/>
      <c r="F489" s="607" t="s">
        <v>2397</v>
      </c>
      <c r="I489" s="594"/>
      <c r="J489" s="594"/>
      <c r="K489" s="594"/>
      <c r="L489" s="594"/>
      <c r="M489" s="594"/>
      <c r="N489" s="594"/>
      <c r="O489" s="594"/>
      <c r="P489" s="594"/>
      <c r="Q489" s="399"/>
      <c r="R489" s="399"/>
      <c r="S489" s="399"/>
      <c r="T489" s="399"/>
      <c r="U489" s="399"/>
      <c r="V489" s="399"/>
      <c r="W489" s="399"/>
      <c r="X489" s="399"/>
      <c r="Y489" s="399"/>
      <c r="Z489" s="399"/>
      <c r="AA489" s="399"/>
      <c r="AB489" s="399"/>
      <c r="AC489" s="399"/>
      <c r="AJ489" s="399"/>
      <c r="AK489" s="565"/>
      <c r="AN489" s="439"/>
      <c r="AO489" s="398" t="s">
        <v>2398</v>
      </c>
      <c r="AP489" s="477">
        <v>2</v>
      </c>
    </row>
    <row r="490" spans="1:81" s="398" customFormat="1" ht="12.75" hidden="1" customHeight="1">
      <c r="C490" s="593"/>
      <c r="F490" s="450" t="s">
        <v>2399</v>
      </c>
      <c r="M490" s="594"/>
      <c r="N490" s="594"/>
      <c r="O490" s="594"/>
      <c r="P490" s="594"/>
      <c r="Q490" s="399"/>
      <c r="R490" s="399"/>
      <c r="S490" s="399"/>
      <c r="T490" s="399"/>
      <c r="U490" s="399"/>
      <c r="V490" s="399"/>
      <c r="W490" s="399"/>
      <c r="X490" s="399"/>
      <c r="Y490" s="399"/>
      <c r="Z490" s="399"/>
      <c r="AA490" s="399"/>
      <c r="AB490" s="399"/>
      <c r="AC490" s="399"/>
      <c r="AG490" s="454"/>
      <c r="AH490" s="1213"/>
      <c r="AI490" s="399"/>
      <c r="AJ490" s="399"/>
      <c r="AK490" s="565"/>
      <c r="AN490" s="439"/>
      <c r="AO490" s="398" t="s">
        <v>2400</v>
      </c>
      <c r="AP490" s="398">
        <v>2</v>
      </c>
    </row>
    <row r="491" spans="1:81" s="438" customFormat="1" ht="12.75" hidden="1" customHeight="1">
      <c r="A491" s="398"/>
      <c r="B491" s="398"/>
      <c r="C491" s="572"/>
      <c r="D491" s="416"/>
      <c r="E491" s="416"/>
      <c r="F491" s="450" t="s">
        <v>2401</v>
      </c>
      <c r="G491" s="398"/>
      <c r="H491" s="398"/>
      <c r="I491" s="398"/>
      <c r="J491" s="398"/>
      <c r="K491" s="398"/>
      <c r="L491" s="398"/>
      <c r="M491" s="594"/>
      <c r="N491" s="594"/>
      <c r="O491" s="594"/>
      <c r="P491" s="594"/>
      <c r="Q491" s="399"/>
      <c r="R491" s="399"/>
      <c r="S491" s="399"/>
      <c r="T491" s="399"/>
      <c r="U491" s="399"/>
      <c r="V491" s="399"/>
      <c r="W491" s="399"/>
      <c r="X491" s="399"/>
      <c r="Y491" s="399"/>
      <c r="Z491" s="399"/>
      <c r="AA491" s="399"/>
      <c r="AB491" s="399"/>
      <c r="AC491" s="399"/>
      <c r="AD491" s="398"/>
      <c r="AE491" s="398"/>
      <c r="AF491" s="398"/>
      <c r="AG491" s="454"/>
      <c r="AH491" s="1213"/>
      <c r="AI491" s="399"/>
      <c r="AJ491" s="399"/>
      <c r="AK491" s="565"/>
      <c r="AL491" s="398"/>
      <c r="AM491" s="398"/>
      <c r="AN491" s="515"/>
      <c r="AO491" s="398" t="s">
        <v>2402</v>
      </c>
      <c r="AP491" s="398">
        <v>2</v>
      </c>
    </row>
    <row r="492" spans="1:81" s="398" customFormat="1" ht="12.75" hidden="1" customHeight="1">
      <c r="C492" s="608"/>
      <c r="F492" s="606" t="s">
        <v>2403</v>
      </c>
      <c r="M492" s="594"/>
      <c r="N492" s="594"/>
      <c r="O492" s="594"/>
      <c r="P492" s="594"/>
      <c r="Q492" s="399"/>
      <c r="R492" s="399"/>
      <c r="S492" s="399"/>
      <c r="T492" s="399"/>
      <c r="U492" s="399"/>
      <c r="V492" s="2366" t="s">
        <v>810</v>
      </c>
      <c r="W492" s="2366"/>
      <c r="X492" s="2366"/>
      <c r="Y492" s="399"/>
      <c r="Z492" s="399"/>
      <c r="AA492" s="399"/>
      <c r="AB492" s="399"/>
      <c r="AC492" s="399"/>
      <c r="AG492" s="454">
        <f>IF(AND($C$482="Yes",$V$485="N/A",$V$487="N/A", $V$496="N/A",$V$498="N/A"),(VLOOKUP($V$492,$AT$485:$AU$487,2,FALSE)),0)</f>
        <v>0</v>
      </c>
      <c r="AH492" s="1213" t="s">
        <v>2167</v>
      </c>
      <c r="AI492" s="399"/>
      <c r="AJ492" s="399"/>
      <c r="AK492" s="565"/>
      <c r="AN492" s="384"/>
    </row>
    <row r="493" spans="1:81" s="398" customFormat="1" ht="12.75" hidden="1" customHeight="1">
      <c r="C493" s="593"/>
      <c r="M493" s="594"/>
      <c r="N493" s="594"/>
      <c r="O493" s="594"/>
      <c r="P493" s="594"/>
      <c r="Q493" s="399"/>
      <c r="R493" s="399"/>
      <c r="S493" s="399"/>
      <c r="T493" s="399"/>
      <c r="U493" s="399"/>
      <c r="V493" s="399"/>
      <c r="W493" s="399"/>
      <c r="X493" s="399"/>
      <c r="Y493" s="399"/>
      <c r="Z493" s="399"/>
      <c r="AA493" s="399"/>
      <c r="AB493" s="399"/>
      <c r="AC493" s="399"/>
      <c r="AJ493" s="399"/>
      <c r="AK493" s="565"/>
      <c r="AN493" s="609"/>
    </row>
    <row r="494" spans="1:81" s="438" customFormat="1" ht="12.75" hidden="1" customHeight="1">
      <c r="A494" s="398"/>
      <c r="B494" s="398"/>
      <c r="C494" s="610" t="s">
        <v>2404</v>
      </c>
      <c r="D494" s="549"/>
      <c r="E494" s="549"/>
      <c r="F494" s="611" t="s">
        <v>2405</v>
      </c>
      <c r="G494" s="549"/>
      <c r="H494" s="549"/>
      <c r="I494" s="549"/>
      <c r="J494" s="549"/>
      <c r="K494" s="549"/>
      <c r="L494" s="549"/>
      <c r="M494" s="549"/>
      <c r="N494" s="549"/>
      <c r="O494" s="549"/>
      <c r="P494" s="549"/>
      <c r="Q494" s="549"/>
      <c r="R494" s="549"/>
      <c r="S494" s="549"/>
      <c r="T494" s="549"/>
      <c r="U494" s="549"/>
      <c r="V494" s="549"/>
      <c r="W494" s="549"/>
      <c r="X494" s="549"/>
      <c r="Y494" s="549"/>
      <c r="Z494" s="549"/>
      <c r="AA494" s="549"/>
      <c r="AB494" s="549"/>
      <c r="AC494" s="549"/>
      <c r="AD494" s="549"/>
      <c r="AE494" s="549"/>
      <c r="AF494" s="549"/>
      <c r="AG494" s="549"/>
      <c r="AH494" s="549"/>
      <c r="AI494" s="549"/>
      <c r="AJ494" s="549"/>
      <c r="AK494" s="578"/>
      <c r="AL494" s="398"/>
      <c r="AM494" s="398"/>
      <c r="AN494" s="435"/>
      <c r="AO494" s="398" t="s">
        <v>810</v>
      </c>
      <c r="AP494" s="398">
        <v>0</v>
      </c>
      <c r="AQ494" s="388"/>
    </row>
    <row r="495" spans="1:81" s="438" customFormat="1" ht="12.75" hidden="1" customHeight="1">
      <c r="A495" s="398"/>
      <c r="B495" s="398"/>
      <c r="C495" s="612"/>
      <c r="D495" s="2385"/>
      <c r="E495" s="2385"/>
      <c r="F495" s="602" t="s">
        <v>2406</v>
      </c>
      <c r="I495" s="398"/>
      <c r="J495" s="398"/>
      <c r="K495" s="398"/>
      <c r="L495" s="398"/>
      <c r="M495" s="398"/>
      <c r="N495" s="398"/>
      <c r="O495" s="398"/>
      <c r="P495" s="398"/>
      <c r="Q495" s="398"/>
      <c r="R495" s="398"/>
      <c r="S495" s="398"/>
      <c r="T495" s="398"/>
      <c r="U495" s="398"/>
      <c r="Y495" s="398"/>
      <c r="Z495" s="398"/>
      <c r="AA495" s="398"/>
      <c r="AB495" s="398"/>
      <c r="AC495" s="398"/>
      <c r="AD495" s="398"/>
      <c r="AE495" s="398"/>
      <c r="AF495" s="398"/>
      <c r="AK495" s="565"/>
      <c r="AL495" s="398"/>
      <c r="AM495" s="398"/>
      <c r="AN495" s="435"/>
      <c r="AO495" s="398" t="s">
        <v>2407</v>
      </c>
      <c r="AP495" s="477">
        <v>5</v>
      </c>
      <c r="AQ495" s="388"/>
    </row>
    <row r="496" spans="1:81" s="416" customFormat="1" ht="12.75" hidden="1" customHeight="1">
      <c r="A496" s="1195"/>
      <c r="B496" s="398"/>
      <c r="C496" s="593"/>
      <c r="D496" s="398"/>
      <c r="E496" s="398"/>
      <c r="F496" s="613" t="s">
        <v>2395</v>
      </c>
      <c r="G496" s="398"/>
      <c r="H496" s="398"/>
      <c r="I496" s="398"/>
      <c r="J496" s="398"/>
      <c r="K496" s="398"/>
      <c r="L496" s="398"/>
      <c r="M496" s="398"/>
      <c r="N496" s="398"/>
      <c r="O496" s="398"/>
      <c r="P496" s="398"/>
      <c r="Q496" s="398"/>
      <c r="R496" s="398"/>
      <c r="S496" s="398"/>
      <c r="T496" s="398"/>
      <c r="U496" s="398"/>
      <c r="V496" s="2366" t="s">
        <v>810</v>
      </c>
      <c r="W496" s="2366"/>
      <c r="X496" s="2366"/>
      <c r="Y496" s="398"/>
      <c r="Z496" s="398"/>
      <c r="AA496" s="398"/>
      <c r="AB496" s="398"/>
      <c r="AC496" s="398"/>
      <c r="AD496" s="398"/>
      <c r="AE496" s="398"/>
      <c r="AF496" s="398"/>
      <c r="AG496" s="454">
        <f>IF(AND($C$482="Yes",$V$485="N/A",V487="N/A",$V$492="N/A",$V$498="N/A"),(VLOOKUP($V$496,$BB$481:$BC$484,2,FALSE)),0)</f>
        <v>0</v>
      </c>
      <c r="AH496" s="1213" t="s">
        <v>2167</v>
      </c>
      <c r="AI496" s="399"/>
      <c r="AJ496" s="398"/>
      <c r="AK496" s="565"/>
      <c r="AL496" s="398"/>
      <c r="AM496" s="398"/>
      <c r="AN496" s="520"/>
      <c r="AO496" s="398" t="s">
        <v>2408</v>
      </c>
      <c r="AP496" s="398">
        <v>5</v>
      </c>
      <c r="AS496" s="398"/>
      <c r="AT496" s="398"/>
      <c r="AU496" s="398"/>
      <c r="AV496" s="398"/>
      <c r="AW496" s="398"/>
      <c r="AX496" s="398"/>
      <c r="AY496" s="398"/>
      <c r="AZ496" s="398"/>
      <c r="BA496" s="398"/>
      <c r="BB496" s="398"/>
      <c r="BO496" s="398"/>
      <c r="BP496" s="398"/>
      <c r="BQ496" s="398"/>
      <c r="BR496" s="398"/>
      <c r="BS496" s="398"/>
      <c r="BT496" s="398"/>
      <c r="BU496" s="398"/>
      <c r="BV496" s="398"/>
      <c r="BW496" s="398"/>
      <c r="BX496" s="398"/>
      <c r="BY496" s="398"/>
      <c r="BZ496" s="398"/>
      <c r="CA496" s="398"/>
      <c r="CB496" s="398"/>
      <c r="CC496" s="398"/>
    </row>
    <row r="497" spans="1:81" s="416" customFormat="1" ht="12.75" hidden="1" customHeight="1">
      <c r="A497" s="1195"/>
      <c r="B497" s="398"/>
      <c r="C497" s="593"/>
      <c r="D497" s="398"/>
      <c r="E497" s="398"/>
      <c r="I497" s="398"/>
      <c r="J497" s="398"/>
      <c r="K497" s="398"/>
      <c r="L497" s="398"/>
      <c r="M497" s="398"/>
      <c r="N497" s="398"/>
      <c r="O497" s="398"/>
      <c r="P497" s="398"/>
      <c r="Q497" s="398"/>
      <c r="R497" s="398"/>
      <c r="S497" s="398"/>
      <c r="T497" s="398"/>
      <c r="U497" s="398"/>
      <c r="V497" s="398"/>
      <c r="W497" s="398"/>
      <c r="X497" s="398"/>
      <c r="Y497" s="398"/>
      <c r="Z497" s="398"/>
      <c r="AA497" s="398"/>
      <c r="AB497" s="398"/>
      <c r="AC497" s="398"/>
      <c r="AD497" s="398"/>
      <c r="AE497" s="398"/>
      <c r="AF497" s="398"/>
      <c r="AK497" s="565"/>
      <c r="AL497" s="398"/>
      <c r="AM497" s="398"/>
      <c r="AN497" s="520"/>
      <c r="AO497" s="398" t="s">
        <v>2409</v>
      </c>
      <c r="AP497" s="398">
        <v>5</v>
      </c>
      <c r="AS497" s="398"/>
      <c r="AT497" s="398"/>
      <c r="AU497" s="398"/>
      <c r="AV497" s="398"/>
      <c r="AW497" s="398"/>
      <c r="AX497" s="398"/>
      <c r="AY497" s="398"/>
      <c r="AZ497" s="398"/>
      <c r="BA497" s="398"/>
      <c r="BB497" s="398"/>
      <c r="BC497" s="398"/>
      <c r="BD497" s="398"/>
      <c r="BE497" s="398"/>
      <c r="BF497" s="398"/>
      <c r="BG497" s="398"/>
      <c r="BH497" s="398"/>
      <c r="BI497" s="398"/>
      <c r="BJ497" s="398"/>
      <c r="BK497" s="398"/>
      <c r="BL497" s="398"/>
      <c r="BM497" s="398"/>
      <c r="BN497" s="398"/>
      <c r="BO497" s="398"/>
      <c r="BP497" s="398"/>
      <c r="BQ497" s="398"/>
      <c r="BR497" s="398"/>
      <c r="BS497" s="398"/>
      <c r="BT497" s="398"/>
      <c r="BU497" s="398"/>
      <c r="BV497" s="398"/>
      <c r="BW497" s="398"/>
      <c r="BX497" s="398"/>
      <c r="BY497" s="398"/>
      <c r="BZ497" s="398"/>
      <c r="CA497" s="398"/>
      <c r="CB497" s="398"/>
      <c r="CC497" s="398"/>
    </row>
    <row r="498" spans="1:81" s="388" customFormat="1" ht="12.75" hidden="1" customHeight="1">
      <c r="A498" s="1195"/>
      <c r="B498" s="398"/>
      <c r="C498" s="595"/>
      <c r="D498" s="561"/>
      <c r="E498" s="561"/>
      <c r="F498" s="606" t="s">
        <v>2396</v>
      </c>
      <c r="G498" s="597"/>
      <c r="H498" s="597"/>
      <c r="I498" s="561"/>
      <c r="J498" s="561"/>
      <c r="K498" s="561"/>
      <c r="L498" s="561"/>
      <c r="M498" s="561"/>
      <c r="N498" s="561"/>
      <c r="O498" s="561"/>
      <c r="P498" s="561"/>
      <c r="Q498" s="561"/>
      <c r="R498" s="561"/>
      <c r="S498" s="561"/>
      <c r="T498" s="561"/>
      <c r="U498" s="561"/>
      <c r="V498" s="2366" t="s">
        <v>810</v>
      </c>
      <c r="W498" s="2366"/>
      <c r="X498" s="2366"/>
      <c r="Y498" s="561"/>
      <c r="Z498" s="561"/>
      <c r="AA498" s="561"/>
      <c r="AB498" s="561"/>
      <c r="AC498" s="561"/>
      <c r="AD498" s="561"/>
      <c r="AE498" s="561"/>
      <c r="AF498" s="561"/>
      <c r="AG498" s="614">
        <f>IF(AND($C$482="Yes",$V$485="N/A",$V$487="N/A",$V$492="N/A",$V$496="N/A"),(VLOOKUP($V$498,$BF$481:$BG$483,2,FALSE)),0)</f>
        <v>0</v>
      </c>
      <c r="AH498" s="599" t="s">
        <v>2167</v>
      </c>
      <c r="AI498" s="561"/>
      <c r="AJ498" s="561"/>
      <c r="AK498" s="575"/>
      <c r="AL498" s="398"/>
      <c r="AM498" s="398"/>
      <c r="AN498" s="615"/>
      <c r="AP498" s="438"/>
      <c r="AQ498" s="438"/>
      <c r="AR498" s="438"/>
      <c r="AS498" s="438"/>
      <c r="AT498" s="438"/>
      <c r="AU498" s="438"/>
      <c r="AV498" s="438"/>
      <c r="AW498" s="438"/>
      <c r="AX498" s="438"/>
      <c r="AY498" s="438"/>
      <c r="AZ498" s="438"/>
      <c r="BA498" s="438"/>
      <c r="BB498" s="438"/>
      <c r="BC498" s="438"/>
      <c r="BE498" s="438"/>
      <c r="BF498" s="438"/>
      <c r="BG498" s="438"/>
      <c r="BH498" s="438"/>
      <c r="BI498" s="438"/>
      <c r="BJ498" s="438"/>
      <c r="BK498" s="438"/>
      <c r="BL498" s="438"/>
      <c r="BM498" s="438"/>
      <c r="BN498" s="438"/>
      <c r="BO498" s="438"/>
      <c r="BP498" s="438"/>
      <c r="BQ498" s="438"/>
      <c r="BR498" s="438"/>
    </row>
    <row r="499" spans="1:81" s="388" customFormat="1" ht="12.75" hidden="1" customHeight="1">
      <c r="A499" s="1195"/>
      <c r="B499" s="398"/>
      <c r="C499" s="399"/>
      <c r="D499" s="398"/>
      <c r="E499" s="594"/>
      <c r="F499" s="398"/>
      <c r="G499" s="398"/>
      <c r="H499" s="398"/>
      <c r="I499" s="398"/>
      <c r="J499" s="398"/>
      <c r="K499" s="398"/>
      <c r="L499" s="398"/>
      <c r="M499" s="398"/>
      <c r="N499" s="398"/>
      <c r="O499" s="398"/>
      <c r="P499" s="398"/>
      <c r="Q499" s="398"/>
      <c r="R499" s="398"/>
      <c r="S499" s="398"/>
      <c r="T499" s="398"/>
      <c r="U499" s="398"/>
      <c r="V499" s="398"/>
      <c r="W499" s="398"/>
      <c r="X499" s="398"/>
      <c r="Y499" s="398"/>
      <c r="Z499" s="398"/>
      <c r="AA499" s="398"/>
      <c r="AB499" s="398"/>
      <c r="AC499" s="398"/>
      <c r="AD499" s="398"/>
      <c r="AE499" s="398"/>
      <c r="AF499" s="398"/>
      <c r="AG499" s="398"/>
      <c r="AH499" s="398"/>
      <c r="AI499" s="398"/>
      <c r="AJ499" s="398"/>
      <c r="AK499" s="398"/>
      <c r="AL499" s="398"/>
      <c r="AM499" s="398"/>
      <c r="AN499" s="615"/>
      <c r="AO499" s="616"/>
      <c r="AP499" s="398"/>
      <c r="AQ499" s="398"/>
      <c r="AR499" s="398"/>
      <c r="AS499" s="398"/>
      <c r="AT499" s="398"/>
      <c r="AU499" s="617"/>
      <c r="AV499" s="617"/>
      <c r="AW499" s="617"/>
      <c r="AX499" s="617"/>
      <c r="AY499" s="617"/>
      <c r="AZ499" s="617"/>
      <c r="BA499" s="617"/>
      <c r="BB499" s="438"/>
      <c r="BC499" s="438"/>
      <c r="BE499" s="398"/>
      <c r="BF499" s="398"/>
      <c r="BG499" s="398"/>
      <c r="BH499" s="398"/>
      <c r="BI499" s="398"/>
      <c r="BJ499" s="617"/>
      <c r="BK499" s="617"/>
      <c r="BL499" s="617"/>
      <c r="BM499" s="617"/>
      <c r="BN499" s="617"/>
      <c r="BO499" s="617"/>
      <c r="BP499" s="617"/>
      <c r="BQ499" s="438"/>
      <c r="BR499" s="398"/>
    </row>
    <row r="500" spans="1:81" s="388" customFormat="1" ht="12.75" hidden="1" customHeight="1">
      <c r="A500" s="1195"/>
      <c r="B500" s="398"/>
      <c r="C500" s="547" t="s">
        <v>2410</v>
      </c>
      <c r="D500" s="398"/>
      <c r="E500" s="594"/>
      <c r="F500" s="399"/>
      <c r="G500" s="399"/>
      <c r="H500" s="399"/>
      <c r="I500" s="399"/>
      <c r="J500" s="399"/>
      <c r="K500" s="399"/>
      <c r="L500" s="399"/>
      <c r="M500" s="399"/>
      <c r="N500" s="399"/>
      <c r="O500" s="399"/>
      <c r="P500" s="399"/>
      <c r="Q500" s="399"/>
      <c r="R500" s="399"/>
      <c r="S500" s="399"/>
      <c r="T500" s="399"/>
      <c r="U500" s="399"/>
      <c r="V500" s="399"/>
      <c r="W500" s="399"/>
      <c r="X500" s="399"/>
      <c r="Y500" s="399"/>
      <c r="Z500" s="399"/>
      <c r="AA500" s="399"/>
      <c r="AB500" s="399"/>
      <c r="AC500" s="399"/>
      <c r="AD500" s="398"/>
      <c r="AE500" s="398"/>
      <c r="AF500" s="398"/>
      <c r="AG500" s="399"/>
      <c r="AH500" s="399"/>
      <c r="AI500" s="399"/>
      <c r="AJ500" s="399"/>
      <c r="AK500" s="398"/>
      <c r="AL500" s="398"/>
      <c r="AM500" s="398"/>
      <c r="AN500" s="615"/>
      <c r="AO500" s="616"/>
      <c r="AP500" s="398"/>
      <c r="AQ500" s="398"/>
      <c r="AR500" s="398"/>
      <c r="AS500" s="398"/>
      <c r="AT500" s="398"/>
      <c r="AU500" s="617"/>
      <c r="AV500" s="617"/>
      <c r="AW500" s="617"/>
      <c r="AX500" s="617"/>
      <c r="AY500" s="617"/>
      <c r="AZ500" s="617"/>
      <c r="BA500" s="617"/>
      <c r="BB500" s="438"/>
      <c r="BC500" s="438"/>
      <c r="BE500" s="398"/>
      <c r="BF500" s="398"/>
      <c r="BG500" s="398"/>
      <c r="BH500" s="398"/>
      <c r="BI500" s="398"/>
      <c r="BJ500" s="617"/>
      <c r="BK500" s="617"/>
      <c r="BL500" s="617"/>
      <c r="BM500" s="617"/>
      <c r="BN500" s="617"/>
      <c r="BO500" s="617"/>
      <c r="BP500" s="617"/>
      <c r="BQ500" s="438"/>
      <c r="BR500" s="398"/>
    </row>
    <row r="501" spans="1:81" s="416" customFormat="1" ht="12.75" hidden="1" customHeight="1">
      <c r="A501" s="1195"/>
      <c r="B501" s="398"/>
      <c r="C501" s="2380" t="s">
        <v>810</v>
      </c>
      <c r="D501" s="2381"/>
      <c r="E501" s="592" t="s">
        <v>51</v>
      </c>
      <c r="F501" s="2458" t="s">
        <v>2383</v>
      </c>
      <c r="G501" s="2458"/>
      <c r="H501" s="2458"/>
      <c r="I501" s="2458"/>
      <c r="J501" s="2458"/>
      <c r="K501" s="2458"/>
      <c r="L501" s="2458"/>
      <c r="M501" s="2458"/>
      <c r="N501" s="2458"/>
      <c r="O501" s="2458"/>
      <c r="P501" s="2458"/>
      <c r="Q501" s="2458"/>
      <c r="R501" s="2458"/>
      <c r="S501" s="2458"/>
      <c r="T501" s="2458"/>
      <c r="U501" s="2458"/>
      <c r="V501" s="2458"/>
      <c r="W501" s="2458"/>
      <c r="X501" s="2458"/>
      <c r="Y501" s="2458"/>
      <c r="Z501" s="2458"/>
      <c r="AA501" s="2458"/>
      <c r="AB501" s="2458"/>
      <c r="AC501" s="2458"/>
      <c r="AD501" s="2458"/>
      <c r="AE501" s="2458"/>
      <c r="AF501" s="549"/>
      <c r="AG501" s="551"/>
      <c r="AH501" s="551"/>
      <c r="AI501" s="551"/>
      <c r="AJ501" s="551"/>
      <c r="AK501" s="578"/>
      <c r="AL501" s="398"/>
      <c r="AM501" s="398"/>
      <c r="AN501" s="383"/>
      <c r="AO501" s="23"/>
      <c r="AP501" s="398"/>
      <c r="AQ501" s="398"/>
      <c r="AR501" s="398"/>
      <c r="AS501" s="398"/>
      <c r="AT501" s="398"/>
      <c r="AU501" s="618"/>
      <c r="AV501" s="618"/>
      <c r="AW501" s="618"/>
      <c r="AX501" s="618"/>
      <c r="AY501" s="618"/>
      <c r="AZ501" s="618"/>
      <c r="BA501" s="618"/>
      <c r="BB501" s="398"/>
      <c r="BC501" s="398"/>
      <c r="BD501" s="385"/>
      <c r="BE501" s="398"/>
      <c r="BF501" s="398"/>
      <c r="BG501" s="398"/>
      <c r="BH501" s="398"/>
      <c r="BI501" s="398"/>
      <c r="BJ501" s="618"/>
      <c r="BK501" s="618"/>
      <c r="BL501" s="618"/>
      <c r="BM501" s="618"/>
      <c r="BN501" s="618"/>
      <c r="BO501" s="618"/>
      <c r="BP501" s="618"/>
      <c r="BQ501" s="398"/>
      <c r="BR501" s="398"/>
      <c r="BS501" s="385"/>
      <c r="BT501" s="385"/>
      <c r="BU501" s="385"/>
      <c r="BV501" s="385"/>
      <c r="BW501" s="385"/>
      <c r="BX501" s="385"/>
      <c r="BY501" s="385"/>
      <c r="BZ501" s="385"/>
      <c r="CA501" s="385"/>
      <c r="CB501" s="385"/>
      <c r="CC501" s="385"/>
    </row>
    <row r="502" spans="1:81" s="416" customFormat="1" ht="12.75" hidden="1" customHeight="1">
      <c r="A502" s="1195"/>
      <c r="B502" s="398"/>
      <c r="C502" s="593"/>
      <c r="D502" s="398"/>
      <c r="E502" s="594"/>
      <c r="F502" s="2459"/>
      <c r="G502" s="2459"/>
      <c r="H502" s="2459"/>
      <c r="I502" s="2459"/>
      <c r="J502" s="2459"/>
      <c r="K502" s="2459"/>
      <c r="L502" s="2459"/>
      <c r="M502" s="2459"/>
      <c r="N502" s="2459"/>
      <c r="O502" s="2459"/>
      <c r="P502" s="2459"/>
      <c r="Q502" s="2459"/>
      <c r="R502" s="2459"/>
      <c r="S502" s="2459"/>
      <c r="T502" s="2459"/>
      <c r="U502" s="2459"/>
      <c r="V502" s="2459"/>
      <c r="W502" s="2459"/>
      <c r="X502" s="2459"/>
      <c r="Y502" s="2459"/>
      <c r="Z502" s="2459"/>
      <c r="AA502" s="2459"/>
      <c r="AB502" s="2459"/>
      <c r="AC502" s="2459"/>
      <c r="AD502" s="2459"/>
      <c r="AE502" s="2459"/>
      <c r="AF502" s="398"/>
      <c r="AG502" s="399"/>
      <c r="AH502" s="399"/>
      <c r="AI502" s="399"/>
      <c r="AJ502" s="399"/>
      <c r="AK502" s="565"/>
      <c r="AL502" s="398"/>
      <c r="AM502" s="398"/>
      <c r="AN502" s="383"/>
      <c r="AO502" s="23"/>
      <c r="AP502" s="619"/>
      <c r="AQ502" s="619"/>
      <c r="AR502" s="619"/>
      <c r="AS502" s="1195"/>
      <c r="AT502" s="398"/>
      <c r="AU502" s="620"/>
      <c r="AV502" s="620"/>
      <c r="AW502" s="620"/>
      <c r="AX502" s="620"/>
      <c r="AY502" s="620"/>
      <c r="AZ502" s="620"/>
      <c r="BA502" s="620"/>
      <c r="BB502" s="11"/>
      <c r="BC502" s="11"/>
      <c r="BD502" s="385"/>
      <c r="BE502" s="619"/>
      <c r="BF502" s="619"/>
      <c r="BG502" s="619"/>
      <c r="BH502" s="1195"/>
      <c r="BI502" s="398"/>
      <c r="BJ502" s="621"/>
      <c r="BK502" s="620"/>
      <c r="BL502" s="620"/>
      <c r="BM502" s="620"/>
      <c r="BN502" s="620"/>
      <c r="BO502" s="620"/>
      <c r="BP502" s="620"/>
      <c r="BQ502" s="11"/>
      <c r="BR502" s="398"/>
      <c r="BS502" s="385"/>
      <c r="BT502" s="385"/>
      <c r="BU502" s="385"/>
      <c r="BV502" s="385"/>
      <c r="BW502" s="385"/>
      <c r="BX502" s="385"/>
      <c r="BY502" s="385"/>
      <c r="BZ502" s="385"/>
      <c r="CA502" s="385"/>
      <c r="CB502" s="385"/>
      <c r="CC502" s="385"/>
    </row>
    <row r="503" spans="1:81" s="416" customFormat="1" ht="12.75" hidden="1" customHeight="1">
      <c r="A503" s="1195"/>
      <c r="B503" s="398"/>
      <c r="C503" s="595"/>
      <c r="D503" s="561"/>
      <c r="E503" s="596"/>
      <c r="F503" s="2379" t="s">
        <v>810</v>
      </c>
      <c r="G503" s="2379"/>
      <c r="H503" s="2379"/>
      <c r="I503" s="2379"/>
      <c r="J503" s="2379"/>
      <c r="K503" s="2379"/>
      <c r="L503" s="2379"/>
      <c r="M503" s="2379"/>
      <c r="N503" s="2379"/>
      <c r="O503" s="2379"/>
      <c r="P503" s="2379"/>
      <c r="Q503" s="2379"/>
      <c r="R503" s="2379"/>
      <c r="S503" s="2379"/>
      <c r="T503" s="2379"/>
      <c r="U503" s="2379"/>
      <c r="V503" s="2379"/>
      <c r="W503" s="2379"/>
      <c r="X503" s="2379"/>
      <c r="Y503" s="2379"/>
      <c r="Z503" s="2379"/>
      <c r="AA503" s="597"/>
      <c r="AB503" s="495"/>
      <c r="AC503" s="495"/>
      <c r="AD503" s="561"/>
      <c r="AE503" s="561"/>
      <c r="AF503" s="561"/>
      <c r="AG503" s="598">
        <f>IF($C$501="Yes",(VLOOKUP($F$503,$AO$471:$AP$479,2,FALSE)),0)</f>
        <v>0</v>
      </c>
      <c r="AH503" s="599" t="s">
        <v>2167</v>
      </c>
      <c r="AI503" s="598"/>
      <c r="AJ503" s="495"/>
      <c r="AK503" s="575"/>
      <c r="AL503" s="398"/>
      <c r="AM503" s="398"/>
      <c r="AN503" s="383"/>
      <c r="AO503" s="23"/>
      <c r="AP503" s="619"/>
      <c r="AQ503" s="619"/>
      <c r="AR503" s="619"/>
      <c r="AS503" s="1195"/>
      <c r="AT503" s="398"/>
      <c r="AU503" s="620"/>
      <c r="AV503" s="620"/>
      <c r="AW503" s="620"/>
      <c r="AX503" s="620"/>
      <c r="AY503" s="620"/>
      <c r="AZ503" s="620"/>
      <c r="BA503" s="620"/>
      <c r="BB503" s="11"/>
      <c r="BC503" s="11"/>
      <c r="BD503" s="385"/>
      <c r="BE503" s="619"/>
      <c r="BF503" s="619"/>
      <c r="BG503" s="619"/>
      <c r="BH503" s="1195"/>
      <c r="BI503" s="398"/>
      <c r="BJ503" s="621"/>
      <c r="BK503" s="620"/>
      <c r="BL503" s="620"/>
      <c r="BM503" s="620"/>
      <c r="BN503" s="620"/>
      <c r="BO503" s="620"/>
      <c r="BP503" s="620"/>
      <c r="BQ503" s="11"/>
      <c r="BR503" s="398"/>
      <c r="BS503" s="385"/>
      <c r="BT503" s="385"/>
      <c r="BU503" s="385"/>
      <c r="BV503" s="385"/>
      <c r="BW503" s="385"/>
      <c r="BX503" s="385"/>
      <c r="BY503" s="385"/>
      <c r="BZ503" s="385"/>
      <c r="CA503" s="385"/>
      <c r="CB503" s="385"/>
      <c r="CC503" s="385"/>
    </row>
    <row r="504" spans="1:81" s="416" customFormat="1" ht="12.75" hidden="1" customHeight="1">
      <c r="A504" s="1195"/>
      <c r="B504" s="398"/>
      <c r="C504" s="547"/>
      <c r="D504" s="398"/>
      <c r="E504" s="594"/>
      <c r="F504" s="399"/>
      <c r="G504" s="399"/>
      <c r="H504" s="399"/>
      <c r="I504" s="399"/>
      <c r="J504" s="399"/>
      <c r="K504" s="399"/>
      <c r="L504" s="399"/>
      <c r="M504" s="399"/>
      <c r="N504" s="399"/>
      <c r="O504" s="399"/>
      <c r="P504" s="399"/>
      <c r="Q504" s="399"/>
      <c r="R504" s="399"/>
      <c r="S504" s="399"/>
      <c r="T504" s="399"/>
      <c r="U504" s="399"/>
      <c r="V504" s="399"/>
      <c r="W504" s="399"/>
      <c r="X504" s="399"/>
      <c r="Y504" s="399"/>
      <c r="Z504" s="399"/>
      <c r="AA504" s="399"/>
      <c r="AB504" s="399"/>
      <c r="AC504" s="399"/>
      <c r="AD504" s="398"/>
      <c r="AE504" s="398"/>
      <c r="AF504" s="398"/>
      <c r="AG504" s="399"/>
      <c r="AH504" s="399"/>
      <c r="AI504" s="399"/>
      <c r="AJ504" s="399"/>
      <c r="AK504" s="398"/>
      <c r="AL504" s="398"/>
      <c r="AM504" s="398"/>
      <c r="AN504" s="383"/>
      <c r="AO504" s="23"/>
      <c r="AP504" s="619"/>
      <c r="AQ504" s="619"/>
      <c r="AR504" s="619"/>
      <c r="AS504" s="1195"/>
      <c r="AT504" s="398"/>
      <c r="AU504" s="620"/>
      <c r="AV504" s="620"/>
      <c r="AW504" s="620"/>
      <c r="AX504" s="620"/>
      <c r="AY504" s="620"/>
      <c r="AZ504" s="620"/>
      <c r="BA504" s="620"/>
      <c r="BB504" s="11"/>
      <c r="BC504" s="11"/>
      <c r="BD504" s="385"/>
      <c r="BE504" s="619"/>
      <c r="BF504" s="619"/>
      <c r="BG504" s="619"/>
      <c r="BH504" s="1195"/>
      <c r="BI504" s="398"/>
      <c r="BJ504" s="621"/>
      <c r="BK504" s="620"/>
      <c r="BL504" s="620"/>
      <c r="BM504" s="620"/>
      <c r="BN504" s="620"/>
      <c r="BO504" s="620"/>
      <c r="BP504" s="620"/>
      <c r="BQ504" s="11"/>
      <c r="BR504" s="398"/>
      <c r="BS504" s="385"/>
      <c r="BT504" s="385"/>
      <c r="BU504" s="385"/>
      <c r="BV504" s="385"/>
      <c r="BW504" s="385"/>
      <c r="BX504" s="385"/>
      <c r="BY504" s="385"/>
      <c r="BZ504" s="385"/>
      <c r="CA504" s="385"/>
      <c r="CB504" s="385"/>
      <c r="CC504" s="385"/>
    </row>
    <row r="505" spans="1:81" s="416" customFormat="1" ht="12.75" hidden="1" customHeight="1">
      <c r="A505" s="398"/>
      <c r="B505" s="398"/>
      <c r="C505" s="2380" t="s">
        <v>810</v>
      </c>
      <c r="D505" s="2381"/>
      <c r="E505" s="592" t="s">
        <v>53</v>
      </c>
      <c r="F505" s="2382" t="s">
        <v>2411</v>
      </c>
      <c r="G505" s="2382"/>
      <c r="H505" s="2382"/>
      <c r="I505" s="2382"/>
      <c r="J505" s="2382"/>
      <c r="K505" s="2382"/>
      <c r="L505" s="2382"/>
      <c r="M505" s="2382"/>
      <c r="N505" s="2382"/>
      <c r="O505" s="2382"/>
      <c r="P505" s="2382"/>
      <c r="Q505" s="2382"/>
      <c r="R505" s="2382"/>
      <c r="S505" s="2382"/>
      <c r="T505" s="2382"/>
      <c r="U505" s="2382"/>
      <c r="V505" s="2382"/>
      <c r="W505" s="2382"/>
      <c r="X505" s="2382"/>
      <c r="Y505" s="2382"/>
      <c r="Z505" s="2382"/>
      <c r="AA505" s="2382"/>
      <c r="AB505" s="2382"/>
      <c r="AC505" s="2382"/>
      <c r="AD505" s="2382"/>
      <c r="AE505" s="2382"/>
      <c r="AF505" s="549"/>
      <c r="AG505" s="487"/>
      <c r="AH505" s="487"/>
      <c r="AI505" s="487"/>
      <c r="AJ505" s="487"/>
      <c r="AK505" s="578"/>
      <c r="AL505" s="398"/>
      <c r="AM505" s="398"/>
      <c r="AN505" s="383"/>
      <c r="AO505" s="23"/>
      <c r="AP505" s="619"/>
      <c r="AQ505" s="619"/>
      <c r="AR505" s="619"/>
      <c r="AS505" s="1195"/>
      <c r="AT505" s="398"/>
      <c r="AU505" s="620"/>
      <c r="AV505" s="620"/>
      <c r="AW505" s="620"/>
      <c r="AX505" s="620"/>
      <c r="AY505" s="620"/>
      <c r="AZ505" s="620"/>
      <c r="BA505" s="620"/>
      <c r="BB505" s="11"/>
      <c r="BC505" s="11"/>
      <c r="BD505" s="385"/>
      <c r="BE505" s="619"/>
      <c r="BF505" s="619"/>
      <c r="BG505" s="619"/>
      <c r="BH505" s="1195"/>
      <c r="BI505" s="398"/>
      <c r="BJ505" s="621"/>
      <c r="BK505" s="620"/>
      <c r="BL505" s="620"/>
      <c r="BM505" s="620"/>
      <c r="BN505" s="620"/>
      <c r="BO505" s="620"/>
      <c r="BP505" s="620"/>
      <c r="BQ505" s="11"/>
      <c r="BR505" s="398"/>
      <c r="BS505" s="385"/>
      <c r="BT505" s="385"/>
      <c r="BU505" s="385"/>
      <c r="BV505" s="385"/>
      <c r="BW505" s="385"/>
      <c r="BX505" s="385"/>
      <c r="BY505" s="385"/>
      <c r="BZ505" s="385"/>
      <c r="CA505" s="385"/>
      <c r="CB505" s="385"/>
      <c r="CC505" s="385"/>
    </row>
    <row r="506" spans="1:81" s="416" customFormat="1" ht="12.75" hidden="1" customHeight="1">
      <c r="A506" s="398"/>
      <c r="B506" s="398"/>
      <c r="C506" s="593"/>
      <c r="D506" s="398"/>
      <c r="E506" s="594"/>
      <c r="F506" s="2383"/>
      <c r="G506" s="2383"/>
      <c r="H506" s="2383"/>
      <c r="I506" s="2383"/>
      <c r="J506" s="2383"/>
      <c r="K506" s="2383"/>
      <c r="L506" s="2383"/>
      <c r="M506" s="2383"/>
      <c r="N506" s="2383"/>
      <c r="O506" s="2383"/>
      <c r="P506" s="2383"/>
      <c r="Q506" s="2383"/>
      <c r="R506" s="2383"/>
      <c r="S506" s="2383"/>
      <c r="T506" s="2383"/>
      <c r="U506" s="2383"/>
      <c r="V506" s="2383"/>
      <c r="W506" s="2383"/>
      <c r="X506" s="2383"/>
      <c r="Y506" s="2383"/>
      <c r="Z506" s="2383"/>
      <c r="AA506" s="2383"/>
      <c r="AB506" s="2383"/>
      <c r="AC506" s="2383"/>
      <c r="AD506" s="2383"/>
      <c r="AE506" s="2383"/>
      <c r="AF506" s="398"/>
      <c r="AG506" s="399"/>
      <c r="AH506" s="399"/>
      <c r="AI506" s="399"/>
      <c r="AJ506" s="399"/>
      <c r="AK506" s="565"/>
      <c r="AL506" s="398"/>
      <c r="AM506" s="398"/>
      <c r="AN506" s="383"/>
      <c r="AO506" s="23"/>
      <c r="AP506" s="619"/>
      <c r="AQ506" s="619"/>
      <c r="AR506" s="619"/>
      <c r="AS506" s="1195"/>
      <c r="AT506" s="398"/>
      <c r="AU506" s="620"/>
      <c r="AV506" s="620"/>
      <c r="AW506" s="620"/>
      <c r="AX506" s="620"/>
      <c r="AY506" s="620"/>
      <c r="AZ506" s="620"/>
      <c r="BA506" s="620"/>
      <c r="BB506" s="11"/>
      <c r="BC506" s="11"/>
      <c r="BD506" s="385"/>
      <c r="BE506" s="619"/>
      <c r="BF506" s="619"/>
      <c r="BG506" s="619"/>
      <c r="BH506" s="1195"/>
      <c r="BI506" s="398"/>
      <c r="BJ506" s="621"/>
      <c r="BK506" s="620"/>
      <c r="BL506" s="620"/>
      <c r="BM506" s="620"/>
      <c r="BN506" s="620"/>
      <c r="BO506" s="620"/>
      <c r="BP506" s="620"/>
      <c r="BQ506" s="11"/>
      <c r="BR506" s="398"/>
      <c r="BS506" s="385"/>
      <c r="BT506" s="385"/>
      <c r="BU506" s="385"/>
      <c r="BV506" s="385"/>
      <c r="BW506" s="385"/>
      <c r="BX506" s="385"/>
      <c r="BY506" s="385"/>
      <c r="BZ506" s="385"/>
      <c r="CA506" s="385"/>
      <c r="CB506" s="385"/>
      <c r="CC506" s="385"/>
    </row>
    <row r="507" spans="1:81" s="416" customFormat="1" ht="12.75" hidden="1" customHeight="1">
      <c r="A507" s="398"/>
      <c r="B507" s="398"/>
      <c r="C507" s="572"/>
      <c r="D507" s="398"/>
      <c r="E507" s="398"/>
      <c r="F507" s="613" t="s">
        <v>2412</v>
      </c>
      <c r="G507" s="399"/>
      <c r="H507" s="399"/>
      <c r="I507" s="399"/>
      <c r="J507" s="399"/>
      <c r="K507" s="399"/>
      <c r="L507" s="399"/>
      <c r="M507" s="399"/>
      <c r="N507" s="399"/>
      <c r="O507" s="399"/>
      <c r="P507" s="399"/>
      <c r="Q507" s="399"/>
      <c r="R507" s="399"/>
      <c r="S507" s="399"/>
      <c r="T507" s="399"/>
      <c r="U507" s="399"/>
      <c r="V507" s="399"/>
      <c r="W507" s="399"/>
      <c r="X507" s="399"/>
      <c r="Y507" s="399"/>
      <c r="Z507" s="399"/>
      <c r="AA507" s="399"/>
      <c r="AB507" s="399"/>
      <c r="AC507" s="1197"/>
      <c r="AD507" s="398"/>
      <c r="AE507" s="398"/>
      <c r="AF507" s="398"/>
      <c r="AG507" s="454"/>
      <c r="AH507" s="454"/>
      <c r="AI507" s="454"/>
      <c r="AJ507" s="454"/>
      <c r="AK507" s="565"/>
      <c r="AL507" s="398"/>
      <c r="AM507" s="398"/>
      <c r="AN507" s="383"/>
      <c r="AO507" s="385"/>
      <c r="AP507" s="619"/>
      <c r="AQ507" s="619"/>
      <c r="AR507" s="619"/>
      <c r="AS507" s="1195"/>
      <c r="AT507" s="398"/>
      <c r="AU507" s="620"/>
      <c r="AV507" s="620"/>
      <c r="AW507" s="620"/>
      <c r="AX507" s="620"/>
      <c r="AY507" s="620"/>
      <c r="AZ507" s="620"/>
      <c r="BA507" s="620"/>
      <c r="BB507" s="385"/>
      <c r="BC507" s="385"/>
      <c r="BD507" s="385"/>
      <c r="BE507" s="619"/>
      <c r="BF507" s="619"/>
      <c r="BG507" s="619"/>
      <c r="BH507" s="1195"/>
      <c r="BI507" s="398"/>
      <c r="BJ507" s="621"/>
      <c r="BK507" s="620"/>
      <c r="BL507" s="620"/>
      <c r="BM507" s="620"/>
      <c r="BN507" s="620"/>
      <c r="BO507" s="620"/>
      <c r="BP507" s="620"/>
      <c r="BQ507" s="385"/>
      <c r="BR507" s="398"/>
      <c r="BS507" s="385"/>
      <c r="BT507" s="385"/>
      <c r="BU507" s="385"/>
      <c r="BV507" s="385"/>
      <c r="BW507" s="385"/>
      <c r="BX507" s="385"/>
      <c r="BY507" s="385"/>
      <c r="BZ507" s="385"/>
      <c r="CA507" s="385"/>
      <c r="CB507" s="385"/>
      <c r="CC507" s="385"/>
    </row>
    <row r="508" spans="1:81" s="416" customFormat="1" hidden="1">
      <c r="A508" s="398"/>
      <c r="B508" s="398"/>
      <c r="C508" s="595"/>
      <c r="D508" s="561"/>
      <c r="E508" s="596"/>
      <c r="F508" s="2384" t="s">
        <v>810</v>
      </c>
      <c r="G508" s="2384"/>
      <c r="H508" s="2384"/>
      <c r="I508" s="495"/>
      <c r="J508" s="495"/>
      <c r="K508" s="495"/>
      <c r="L508" s="495"/>
      <c r="M508" s="495"/>
      <c r="N508" s="495"/>
      <c r="O508" s="495"/>
      <c r="P508" s="495"/>
      <c r="Q508" s="495"/>
      <c r="R508" s="495"/>
      <c r="S508" s="495"/>
      <c r="T508" s="495"/>
      <c r="U508" s="495"/>
      <c r="V508" s="495"/>
      <c r="W508" s="495"/>
      <c r="X508" s="495"/>
      <c r="Y508" s="495"/>
      <c r="Z508" s="495"/>
      <c r="AA508" s="495"/>
      <c r="AB508" s="495"/>
      <c r="AC508" s="495"/>
      <c r="AD508" s="561"/>
      <c r="AE508" s="561"/>
      <c r="AF508" s="561"/>
      <c r="AG508" s="598">
        <f>IF($C$505="Yes",(VLOOKUP($F$508,$AO$481:$AP$483,2,FALSE)),0)</f>
        <v>0</v>
      </c>
      <c r="AH508" s="599" t="s">
        <v>2167</v>
      </c>
      <c r="AI508" s="495"/>
      <c r="AJ508" s="495"/>
      <c r="AK508" s="575"/>
      <c r="AL508" s="398"/>
      <c r="AM508" s="398"/>
      <c r="AN508" s="383"/>
      <c r="AO508" s="385"/>
      <c r="AP508" s="619"/>
      <c r="AQ508" s="619"/>
      <c r="AR508" s="619"/>
      <c r="AS508" s="618"/>
      <c r="AT508" s="398"/>
      <c r="AU508" s="620"/>
      <c r="AV508" s="620"/>
      <c r="AW508" s="620"/>
      <c r="AX508" s="620"/>
      <c r="AY508" s="620"/>
      <c r="AZ508" s="620"/>
      <c r="BA508" s="620"/>
      <c r="BB508" s="385"/>
      <c r="BC508" s="385"/>
      <c r="BD508" s="385"/>
      <c r="BE508" s="619"/>
      <c r="BF508" s="619"/>
      <c r="BG508" s="619"/>
      <c r="BH508" s="618"/>
      <c r="BI508" s="398"/>
      <c r="BJ508" s="621"/>
      <c r="BK508" s="620"/>
      <c r="BL508" s="620"/>
      <c r="BM508" s="620"/>
      <c r="BN508" s="620"/>
      <c r="BO508" s="620"/>
      <c r="BP508" s="620"/>
      <c r="BQ508" s="385"/>
      <c r="BR508" s="398"/>
      <c r="BS508" s="385"/>
      <c r="BT508" s="385"/>
      <c r="BU508" s="385"/>
      <c r="BV508" s="385"/>
      <c r="BW508" s="385"/>
      <c r="BX508" s="385"/>
      <c r="BY508" s="385"/>
      <c r="BZ508" s="385"/>
      <c r="CA508" s="385"/>
      <c r="CB508" s="385"/>
      <c r="CC508" s="385"/>
    </row>
    <row r="509" spans="1:81" s="416" customFormat="1" hidden="1">
      <c r="A509" s="399"/>
      <c r="B509" s="399"/>
      <c r="C509" s="399"/>
      <c r="D509" s="399"/>
      <c r="E509" s="399"/>
      <c r="F509" s="399"/>
      <c r="G509" s="399"/>
      <c r="H509" s="399"/>
      <c r="I509" s="399"/>
      <c r="J509" s="399"/>
      <c r="K509" s="399"/>
      <c r="L509" s="399"/>
      <c r="M509" s="399"/>
      <c r="N509" s="399"/>
      <c r="O509" s="399"/>
      <c r="P509" s="399"/>
      <c r="Q509" s="399"/>
      <c r="R509" s="399"/>
      <c r="S509" s="399"/>
      <c r="T509" s="399"/>
      <c r="U509" s="399"/>
      <c r="V509" s="399"/>
      <c r="W509" s="399"/>
      <c r="X509" s="399"/>
      <c r="Y509" s="399"/>
      <c r="Z509" s="399"/>
      <c r="AA509" s="399"/>
      <c r="AB509" s="399"/>
      <c r="AC509" s="399"/>
      <c r="AD509" s="399"/>
      <c r="AE509" s="398"/>
      <c r="AF509" s="398"/>
      <c r="AG509" s="454"/>
      <c r="AH509" s="1213"/>
      <c r="AI509" s="399"/>
      <c r="AJ509" s="399"/>
      <c r="AK509" s="398"/>
      <c r="AL509" s="398"/>
      <c r="AM509" s="398"/>
      <c r="AN509" s="383"/>
      <c r="AO509" s="385"/>
      <c r="AP509" s="619"/>
      <c r="AQ509" s="619"/>
      <c r="AR509" s="619"/>
      <c r="AS509" s="618"/>
      <c r="AT509" s="398"/>
      <c r="AU509" s="620"/>
      <c r="AV509" s="620"/>
      <c r="AW509" s="620"/>
      <c r="AX509" s="620"/>
      <c r="AY509" s="620"/>
      <c r="AZ509" s="620"/>
      <c r="BA509" s="620"/>
      <c r="BB509" s="385"/>
      <c r="BC509" s="385"/>
      <c r="BD509" s="385"/>
      <c r="BE509" s="619"/>
      <c r="BF509" s="619"/>
      <c r="BG509" s="619"/>
      <c r="BH509" s="618"/>
      <c r="BI509" s="398"/>
      <c r="BJ509" s="621"/>
      <c r="BK509" s="620"/>
      <c r="BL509" s="620"/>
      <c r="BM509" s="620"/>
      <c r="BN509" s="620"/>
      <c r="BO509" s="620"/>
      <c r="BP509" s="620"/>
      <c r="BQ509" s="385"/>
      <c r="BR509" s="398"/>
      <c r="BS509" s="385"/>
      <c r="BT509" s="385"/>
      <c r="BU509" s="385"/>
      <c r="BV509" s="385"/>
      <c r="BW509" s="385"/>
      <c r="BX509" s="385"/>
      <c r="BY509" s="385"/>
      <c r="BZ509" s="385"/>
      <c r="CA509" s="385"/>
      <c r="CB509" s="385"/>
      <c r="CC509" s="385"/>
    </row>
    <row r="510" spans="1:81" s="416" customFormat="1" hidden="1">
      <c r="A510" s="398"/>
      <c r="B510" s="398"/>
      <c r="C510" s="2380" t="s">
        <v>810</v>
      </c>
      <c r="D510" s="2381"/>
      <c r="E510" s="592" t="s">
        <v>2413</v>
      </c>
      <c r="F510" s="611" t="s">
        <v>2414</v>
      </c>
      <c r="G510" s="487"/>
      <c r="H510" s="487"/>
      <c r="I510" s="487"/>
      <c r="J510" s="487"/>
      <c r="K510" s="487"/>
      <c r="L510" s="487"/>
      <c r="M510" s="487"/>
      <c r="N510" s="487"/>
      <c r="O510" s="487"/>
      <c r="P510" s="487"/>
      <c r="Q510" s="487"/>
      <c r="R510" s="487"/>
      <c r="S510" s="487"/>
      <c r="T510" s="487"/>
      <c r="U510" s="487"/>
      <c r="V510" s="487"/>
      <c r="W510" s="487"/>
      <c r="X510" s="487"/>
      <c r="Y510" s="487"/>
      <c r="Z510" s="487"/>
      <c r="AA510" s="487"/>
      <c r="AB510" s="487"/>
      <c r="AC510" s="622"/>
      <c r="AD510" s="549"/>
      <c r="AE510" s="549"/>
      <c r="AF510" s="549"/>
      <c r="AG510" s="623"/>
      <c r="AH510" s="623"/>
      <c r="AI510" s="623"/>
      <c r="AJ510" s="623"/>
      <c r="AK510" s="578"/>
      <c r="AL510" s="398"/>
      <c r="AM510" s="398"/>
      <c r="AN510" s="383"/>
      <c r="AO510" s="385"/>
      <c r="AP510" s="619"/>
      <c r="AQ510" s="619"/>
      <c r="AR510" s="619"/>
      <c r="AS510" s="618"/>
      <c r="AT510" s="398"/>
      <c r="AU510" s="620"/>
      <c r="AV510" s="620"/>
      <c r="AW510" s="620"/>
      <c r="AX510" s="620"/>
      <c r="AY510" s="620"/>
      <c r="AZ510" s="620"/>
      <c r="BA510" s="620"/>
      <c r="BB510" s="385"/>
      <c r="BC510" s="385"/>
      <c r="BD510" s="385"/>
      <c r="BE510" s="619"/>
      <c r="BF510" s="619"/>
      <c r="BG510" s="619"/>
      <c r="BH510" s="618"/>
      <c r="BI510" s="398"/>
      <c r="BJ510" s="621"/>
      <c r="BK510" s="620"/>
      <c r="BL510" s="620"/>
      <c r="BM510" s="620"/>
      <c r="BN510" s="620"/>
      <c r="BO510" s="620"/>
      <c r="BP510" s="620"/>
      <c r="BQ510" s="385"/>
      <c r="BR510" s="398"/>
      <c r="BS510" s="385"/>
      <c r="BT510" s="385"/>
      <c r="BU510" s="385"/>
      <c r="BV510" s="385"/>
      <c r="BW510" s="385"/>
      <c r="BX510" s="385"/>
      <c r="BY510" s="385"/>
      <c r="BZ510" s="385"/>
      <c r="CA510" s="385"/>
      <c r="CB510" s="385"/>
      <c r="CC510" s="385"/>
    </row>
    <row r="511" spans="1:81" s="416" customFormat="1" hidden="1">
      <c r="A511" s="398"/>
      <c r="B511" s="398"/>
      <c r="C511" s="593"/>
      <c r="D511" s="398"/>
      <c r="E511" s="594"/>
      <c r="F511" s="399"/>
      <c r="G511" s="399"/>
      <c r="H511" s="399"/>
      <c r="I511" s="399"/>
      <c r="J511" s="399"/>
      <c r="K511" s="399"/>
      <c r="L511" s="399"/>
      <c r="M511" s="399"/>
      <c r="N511" s="399"/>
      <c r="O511" s="399"/>
      <c r="P511" s="399"/>
      <c r="Q511" s="399"/>
      <c r="R511" s="399"/>
      <c r="S511" s="399"/>
      <c r="T511" s="399"/>
      <c r="U511" s="399"/>
      <c r="V511" s="399"/>
      <c r="W511" s="399"/>
      <c r="X511" s="399"/>
      <c r="Y511" s="399"/>
      <c r="Z511" s="399"/>
      <c r="AA511" s="399"/>
      <c r="AB511" s="399"/>
      <c r="AC511" s="399"/>
      <c r="AD511" s="398"/>
      <c r="AE511" s="398"/>
      <c r="AF511" s="398"/>
      <c r="AG511" s="399"/>
      <c r="AH511" s="399"/>
      <c r="AI511" s="399"/>
      <c r="AJ511" s="399"/>
      <c r="AK511" s="565"/>
      <c r="AL511" s="398"/>
      <c r="AM511" s="398"/>
      <c r="AN511" s="383"/>
      <c r="AO511" s="385"/>
      <c r="AP511" s="619"/>
      <c r="AQ511" s="619"/>
      <c r="AR511" s="619"/>
      <c r="AS511" s="618"/>
      <c r="AT511" s="398"/>
      <c r="AU511" s="620"/>
      <c r="AV511" s="620"/>
      <c r="AW511" s="620"/>
      <c r="AX511" s="620"/>
      <c r="AY511" s="620"/>
      <c r="AZ511" s="620"/>
      <c r="BA511" s="620"/>
      <c r="BB511" s="385"/>
      <c r="BC511" s="385"/>
      <c r="BD511" s="385"/>
      <c r="BE511" s="619"/>
      <c r="BF511" s="619"/>
      <c r="BG511" s="619"/>
      <c r="BH511" s="618"/>
      <c r="BI511" s="398"/>
      <c r="BJ511" s="621"/>
      <c r="BK511" s="620"/>
      <c r="BL511" s="620"/>
      <c r="BM511" s="620"/>
      <c r="BN511" s="620"/>
      <c r="BO511" s="620"/>
      <c r="BP511" s="620"/>
      <c r="BQ511" s="385"/>
      <c r="BR511" s="11"/>
      <c r="BS511" s="385"/>
      <c r="BT511" s="385"/>
      <c r="BU511" s="385"/>
      <c r="BV511" s="385"/>
      <c r="BW511" s="385"/>
      <c r="BX511" s="385"/>
      <c r="BY511" s="385"/>
      <c r="BZ511" s="385"/>
      <c r="CA511" s="385"/>
      <c r="CB511" s="385"/>
      <c r="CC511" s="385"/>
    </row>
    <row r="512" spans="1:81" s="416" customFormat="1" hidden="1">
      <c r="A512" s="398"/>
      <c r="B512" s="398"/>
      <c r="C512" s="2400"/>
      <c r="D512" s="2385"/>
      <c r="E512" s="603"/>
      <c r="F512" s="399" t="s">
        <v>2415</v>
      </c>
      <c r="G512" s="399"/>
      <c r="H512" s="399"/>
      <c r="I512" s="399"/>
      <c r="J512" s="399"/>
      <c r="K512" s="399"/>
      <c r="L512" s="399"/>
      <c r="M512" s="399"/>
      <c r="N512" s="399"/>
      <c r="O512" s="399"/>
      <c r="P512" s="399"/>
      <c r="Q512" s="399"/>
      <c r="R512" s="399"/>
      <c r="S512" s="399"/>
      <c r="T512" s="399"/>
      <c r="U512" s="399"/>
      <c r="V512" s="399"/>
      <c r="W512" s="399"/>
      <c r="X512" s="399"/>
      <c r="Y512" s="399"/>
      <c r="Z512" s="399"/>
      <c r="AA512" s="399"/>
      <c r="AB512" s="399"/>
      <c r="AC512" s="1197"/>
      <c r="AD512" s="398"/>
      <c r="AE512" s="398"/>
      <c r="AF512" s="398"/>
      <c r="AG512" s="454">
        <f>IF($C$510="Yes",(VLOOKUP($G$513,$AO$488:$AP$491,2,FALSE)),0)</f>
        <v>0</v>
      </c>
      <c r="AH512" s="1213" t="s">
        <v>2167</v>
      </c>
      <c r="AI512" s="399"/>
      <c r="AJ512" s="454"/>
      <c r="AK512" s="565"/>
      <c r="AL512" s="398"/>
      <c r="AM512" s="398"/>
      <c r="AN512" s="383"/>
      <c r="AO512" s="385"/>
      <c r="AP512" s="619"/>
      <c r="AQ512" s="619"/>
      <c r="AR512" s="619"/>
      <c r="AS512" s="618"/>
      <c r="AT512" s="398"/>
      <c r="AU512" s="620"/>
      <c r="AV512" s="620"/>
      <c r="AW512" s="620"/>
      <c r="AX512" s="620"/>
      <c r="AY512" s="620"/>
      <c r="AZ512" s="620"/>
      <c r="BA512" s="620"/>
      <c r="BB512" s="385"/>
      <c r="BC512" s="385"/>
      <c r="BD512" s="385"/>
      <c r="BE512" s="619"/>
      <c r="BF512" s="619"/>
      <c r="BG512" s="619"/>
      <c r="BH512" s="618"/>
      <c r="BI512" s="398"/>
      <c r="BJ512" s="621"/>
      <c r="BK512" s="620"/>
      <c r="BL512" s="620"/>
      <c r="BM512" s="620"/>
      <c r="BN512" s="620"/>
      <c r="BO512" s="620"/>
      <c r="BP512" s="620"/>
      <c r="BQ512" s="385"/>
      <c r="BR512" s="398"/>
      <c r="BS512" s="385"/>
      <c r="BT512" s="385"/>
      <c r="BU512" s="385"/>
      <c r="BV512" s="385"/>
      <c r="BW512" s="385"/>
      <c r="BX512" s="385"/>
      <c r="BY512" s="385"/>
      <c r="BZ512" s="385"/>
      <c r="CA512" s="385"/>
      <c r="CB512" s="385"/>
      <c r="CC512" s="385"/>
    </row>
    <row r="513" spans="1:81" s="416" customFormat="1" hidden="1">
      <c r="A513" s="398"/>
      <c r="B513" s="398"/>
      <c r="C513" s="593"/>
      <c r="D513" s="398"/>
      <c r="E513" s="594"/>
      <c r="F513" s="399"/>
      <c r="G513" s="2401" t="s">
        <v>810</v>
      </c>
      <c r="H513" s="2401"/>
      <c r="I513" s="2401"/>
      <c r="J513" s="2401"/>
      <c r="K513" s="2401"/>
      <c r="L513" s="2401"/>
      <c r="M513" s="2401"/>
      <c r="N513" s="2401"/>
      <c r="O513" s="2401"/>
      <c r="P513" s="2401"/>
      <c r="Q513" s="2401"/>
      <c r="R513" s="2401"/>
      <c r="S513" s="2401"/>
      <c r="T513" s="2401"/>
      <c r="U513" s="2401"/>
      <c r="V513" s="2401"/>
      <c r="W513" s="2401"/>
      <c r="X513" s="2401"/>
      <c r="Y513" s="2401"/>
      <c r="Z513" s="2401"/>
      <c r="AA513" s="2401"/>
      <c r="AB513" s="2401"/>
      <c r="AC513" s="2401"/>
      <c r="AD513" s="2401"/>
      <c r="AE513" s="2401"/>
      <c r="AF513" s="2401"/>
      <c r="AG513" s="398"/>
      <c r="AH513" s="398"/>
      <c r="AI513" s="398"/>
      <c r="AJ513" s="399"/>
      <c r="AK513" s="565"/>
      <c r="AL513" s="398"/>
      <c r="AM513" s="398"/>
      <c r="AN513" s="383"/>
      <c r="AO513" s="385"/>
      <c r="AP513" s="619"/>
      <c r="AQ513" s="619"/>
      <c r="AR513" s="619"/>
      <c r="AS513" s="618"/>
      <c r="AT513" s="398"/>
      <c r="AU513" s="620"/>
      <c r="AV513" s="620"/>
      <c r="AW513" s="620"/>
      <c r="AX513" s="620"/>
      <c r="AY513" s="620"/>
      <c r="AZ513" s="620"/>
      <c r="BA513" s="620"/>
      <c r="BB513" s="385"/>
      <c r="BC513" s="385"/>
      <c r="BD513" s="385"/>
      <c r="BE513" s="619"/>
      <c r="BF513" s="619"/>
      <c r="BG513" s="619"/>
      <c r="BH513" s="618"/>
      <c r="BI513" s="398"/>
      <c r="BJ513" s="621"/>
      <c r="BK513" s="620"/>
      <c r="BL513" s="620"/>
      <c r="BM513" s="620"/>
      <c r="BN513" s="620"/>
      <c r="BO513" s="620"/>
      <c r="BP513" s="620"/>
      <c r="BQ513" s="385"/>
      <c r="BR513" s="398"/>
      <c r="BS513" s="385"/>
      <c r="BT513" s="385"/>
      <c r="BU513" s="385"/>
      <c r="BV513" s="385"/>
      <c r="BW513" s="385"/>
      <c r="BX513" s="385"/>
      <c r="BY513" s="385"/>
      <c r="BZ513" s="385"/>
      <c r="CA513" s="385"/>
      <c r="CB513" s="385"/>
      <c r="CC513" s="385"/>
    </row>
    <row r="514" spans="1:81" s="416" customFormat="1" hidden="1">
      <c r="A514" s="398"/>
      <c r="B514" s="398"/>
      <c r="C514" s="564"/>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8"/>
      <c r="AE514" s="398"/>
      <c r="AF514" s="398"/>
      <c r="AG514" s="11"/>
      <c r="AH514" s="11"/>
      <c r="AI514" s="11"/>
      <c r="AJ514" s="11"/>
      <c r="AK514" s="565"/>
      <c r="AL514" s="398"/>
      <c r="AM514" s="398"/>
      <c r="AN514" s="383"/>
      <c r="AO514" s="385"/>
      <c r="AP514" s="619"/>
      <c r="AQ514" s="619"/>
      <c r="AR514" s="619"/>
      <c r="AS514" s="618"/>
      <c r="AT514" s="398"/>
      <c r="AU514" s="620"/>
      <c r="AV514" s="620"/>
      <c r="AW514" s="620"/>
      <c r="AX514" s="620"/>
      <c r="AY514" s="620"/>
      <c r="AZ514" s="620"/>
      <c r="BA514" s="620"/>
      <c r="BB514" s="385"/>
      <c r="BC514" s="385"/>
      <c r="BD514" s="385"/>
      <c r="BE514" s="619"/>
      <c r="BF514" s="619"/>
      <c r="BG514" s="619"/>
      <c r="BH514" s="618"/>
      <c r="BI514" s="398"/>
      <c r="BJ514" s="621"/>
      <c r="BK514" s="620"/>
      <c r="BL514" s="620"/>
      <c r="BM514" s="620"/>
      <c r="BN514" s="620"/>
      <c r="BO514" s="620"/>
      <c r="BP514" s="620"/>
      <c r="BQ514" s="385"/>
      <c r="BR514" s="398"/>
      <c r="BS514" s="385"/>
      <c r="BT514" s="385"/>
      <c r="BU514" s="385"/>
      <c r="BV514" s="385"/>
      <c r="BW514" s="385"/>
      <c r="BX514" s="385"/>
      <c r="BY514" s="385"/>
      <c r="BZ514" s="385"/>
      <c r="CA514" s="385"/>
      <c r="CB514" s="385"/>
      <c r="CC514" s="385"/>
    </row>
    <row r="515" spans="1:81" s="416" customFormat="1" ht="12.75" hidden="1" customHeight="1">
      <c r="A515" s="11"/>
      <c r="B515" s="398"/>
      <c r="C515" s="2452" t="s">
        <v>810</v>
      </c>
      <c r="D515" s="2453"/>
      <c r="F515" s="399" t="s">
        <v>2416</v>
      </c>
      <c r="G515" s="399"/>
      <c r="H515" s="399"/>
      <c r="I515" s="399"/>
      <c r="J515" s="399"/>
      <c r="K515" s="399"/>
      <c r="L515" s="399"/>
      <c r="M515" s="399"/>
      <c r="N515" s="399"/>
      <c r="O515" s="399"/>
      <c r="P515" s="399"/>
      <c r="Q515" s="399"/>
      <c r="R515" s="399"/>
      <c r="S515" s="399"/>
      <c r="T515" s="399"/>
      <c r="U515" s="399"/>
      <c r="V515" s="399"/>
      <c r="W515" s="399"/>
      <c r="X515" s="399"/>
      <c r="Y515" s="399"/>
      <c r="Z515" s="399"/>
      <c r="AA515" s="399"/>
      <c r="AB515" s="399"/>
      <c r="AC515" s="1197"/>
      <c r="AD515" s="398"/>
      <c r="AE515" s="398"/>
      <c r="AF515" s="398"/>
      <c r="AG515" s="454">
        <f>IF(AND($C$515="Yes",$C$510="Yes"),2,0)</f>
        <v>0</v>
      </c>
      <c r="AH515" s="1213" t="s">
        <v>2167</v>
      </c>
      <c r="AI515" s="399"/>
      <c r="AJ515" s="1205"/>
      <c r="AK515" s="565"/>
      <c r="AL515" s="398"/>
      <c r="AM515" s="398"/>
      <c r="AN515" s="383"/>
      <c r="AO515" s="385"/>
      <c r="AP515" s="619"/>
      <c r="AQ515" s="619"/>
      <c r="AR515" s="619"/>
      <c r="AS515" s="618"/>
      <c r="AT515" s="398"/>
      <c r="AU515" s="620"/>
      <c r="AV515" s="620"/>
      <c r="AW515" s="620"/>
      <c r="AX515" s="620"/>
      <c r="AY515" s="620"/>
      <c r="AZ515" s="620"/>
      <c r="BA515" s="620"/>
      <c r="BB515" s="385"/>
      <c r="BC515" s="385"/>
      <c r="BD515" s="385"/>
      <c r="BE515" s="619"/>
      <c r="BF515" s="619"/>
      <c r="BG515" s="619"/>
      <c r="BH515" s="618"/>
      <c r="BI515" s="398"/>
      <c r="BJ515" s="621"/>
      <c r="BK515" s="620"/>
      <c r="BL515" s="620"/>
      <c r="BM515" s="620"/>
      <c r="BN515" s="620"/>
      <c r="BO515" s="620"/>
      <c r="BP515" s="620"/>
      <c r="BQ515" s="385"/>
      <c r="BR515" s="398"/>
      <c r="BS515" s="385"/>
      <c r="BT515" s="385"/>
      <c r="BU515" s="385"/>
      <c r="BV515" s="385"/>
      <c r="BW515" s="385"/>
      <c r="BX515" s="385"/>
      <c r="BY515" s="385"/>
      <c r="BZ515" s="385"/>
      <c r="CA515" s="385"/>
      <c r="CB515" s="385"/>
      <c r="CC515" s="385"/>
    </row>
    <row r="516" spans="1:81" s="416" customFormat="1" hidden="1">
      <c r="A516" s="11"/>
      <c r="B516" s="398"/>
      <c r="C516" s="612"/>
      <c r="D516" s="1199"/>
      <c r="E516" s="1199"/>
      <c r="F516" s="399"/>
      <c r="G516" s="399" t="s">
        <v>2417</v>
      </c>
      <c r="H516" s="399"/>
      <c r="I516" s="399"/>
      <c r="J516" s="399"/>
      <c r="K516" s="399"/>
      <c r="L516" s="399"/>
      <c r="M516" s="399"/>
      <c r="N516" s="399"/>
      <c r="O516" s="399"/>
      <c r="P516" s="399"/>
      <c r="Q516" s="399"/>
      <c r="R516" s="399"/>
      <c r="S516" s="399"/>
      <c r="T516" s="399"/>
      <c r="U516" s="399"/>
      <c r="V516" s="399"/>
      <c r="W516" s="399"/>
      <c r="X516" s="399"/>
      <c r="Y516" s="399"/>
      <c r="Z516" s="399"/>
      <c r="AA516" s="399"/>
      <c r="AB516" s="399"/>
      <c r="AC516" s="1197"/>
      <c r="AD516" s="398"/>
      <c r="AE516" s="398"/>
      <c r="AF516" s="398"/>
      <c r="AG516" s="1205"/>
      <c r="AH516" s="1205"/>
      <c r="AI516" s="1205"/>
      <c r="AJ516" s="1205"/>
      <c r="AK516" s="565"/>
      <c r="AL516" s="398"/>
      <c r="AM516" s="398"/>
      <c r="AN516" s="439"/>
      <c r="AO516" s="385"/>
      <c r="AP516" s="619"/>
      <c r="AQ516" s="619"/>
      <c r="AR516" s="619"/>
      <c r="AS516" s="618"/>
      <c r="AT516" s="398"/>
      <c r="AU516" s="620"/>
      <c r="AV516" s="620"/>
      <c r="AW516" s="620"/>
      <c r="AX516" s="620"/>
      <c r="AY516" s="620"/>
      <c r="AZ516" s="620"/>
      <c r="BA516" s="620"/>
      <c r="BB516" s="385"/>
      <c r="BC516" s="385"/>
      <c r="BD516" s="385"/>
      <c r="BE516" s="619"/>
      <c r="BF516" s="619"/>
      <c r="BG516" s="619"/>
      <c r="BH516" s="618"/>
      <c r="BI516" s="398"/>
      <c r="BJ516" s="621"/>
      <c r="BK516" s="620"/>
      <c r="BL516" s="620"/>
      <c r="BM516" s="620"/>
      <c r="BN516" s="620"/>
      <c r="BO516" s="620"/>
      <c r="BP516" s="620"/>
      <c r="BQ516" s="385"/>
      <c r="BR516" s="398"/>
      <c r="BS516" s="385"/>
      <c r="BT516" s="385"/>
      <c r="BU516" s="385"/>
      <c r="BV516" s="385"/>
      <c r="BW516" s="385"/>
      <c r="BX516" s="385"/>
      <c r="BY516" s="385"/>
      <c r="BZ516" s="385"/>
      <c r="CA516" s="385"/>
      <c r="CB516" s="385"/>
      <c r="CC516" s="385"/>
    </row>
    <row r="517" spans="1:81" s="398" customFormat="1" ht="12.75" hidden="1" customHeight="1">
      <c r="A517" s="11"/>
      <c r="C517" s="612"/>
      <c r="D517" s="1199"/>
      <c r="E517" s="1199"/>
      <c r="F517" s="399"/>
      <c r="G517" s="399" t="s">
        <v>2418</v>
      </c>
      <c r="H517" s="399"/>
      <c r="I517" s="399"/>
      <c r="J517" s="399"/>
      <c r="K517" s="399"/>
      <c r="L517" s="399"/>
      <c r="M517" s="399"/>
      <c r="N517" s="399"/>
      <c r="O517" s="399"/>
      <c r="P517" s="399"/>
      <c r="Q517" s="399"/>
      <c r="R517" s="399"/>
      <c r="S517" s="399"/>
      <c r="T517" s="399"/>
      <c r="U517" s="399"/>
      <c r="V517" s="399"/>
      <c r="W517" s="399"/>
      <c r="X517" s="399"/>
      <c r="Y517" s="399"/>
      <c r="Z517" s="399"/>
      <c r="AA517" s="399"/>
      <c r="AB517" s="399"/>
      <c r="AC517" s="1197"/>
      <c r="AG517" s="1205"/>
      <c r="AH517" s="1205"/>
      <c r="AI517" s="1205"/>
      <c r="AJ517" s="1205"/>
      <c r="AK517" s="565"/>
      <c r="AN517" s="384"/>
      <c r="AP517" s="385"/>
      <c r="AQ517" s="385"/>
      <c r="AR517" s="385"/>
    </row>
    <row r="518" spans="1:81" s="398" customFormat="1" ht="12.75" hidden="1" customHeight="1">
      <c r="A518" s="477"/>
      <c r="B518" s="11"/>
      <c r="C518" s="624"/>
      <c r="D518" s="11"/>
      <c r="G518" s="452"/>
      <c r="H518" s="452"/>
      <c r="I518" s="452"/>
      <c r="J518" s="452"/>
      <c r="K518" s="452"/>
      <c r="L518" s="452"/>
      <c r="M518" s="452"/>
      <c r="N518" s="452"/>
      <c r="O518" s="452"/>
      <c r="P518" s="452"/>
      <c r="Q518" s="452"/>
      <c r="R518" s="452"/>
      <c r="S518" s="452"/>
      <c r="T518" s="452"/>
      <c r="U518" s="452"/>
      <c r="V518" s="452"/>
      <c r="W518" s="452"/>
      <c r="X518" s="452"/>
      <c r="Y518" s="452"/>
      <c r="Z518" s="452"/>
      <c r="AA518" s="452"/>
      <c r="AB518" s="452"/>
      <c r="AC518" s="452"/>
      <c r="AD518" s="452"/>
      <c r="AE518" s="452"/>
      <c r="AF518" s="452"/>
      <c r="AG518" s="1197"/>
      <c r="AH518" s="1197"/>
      <c r="AI518" s="1197"/>
      <c r="AJ518" s="1197"/>
      <c r="AK518" s="625"/>
      <c r="AL518" s="11"/>
      <c r="AM518" s="11"/>
      <c r="AN518" s="384"/>
      <c r="AO518" s="385"/>
      <c r="AP518" s="385"/>
      <c r="AQ518" s="385"/>
      <c r="AR518" s="385"/>
    </row>
    <row r="519" spans="1:81" s="398" customFormat="1" ht="12.75" hidden="1" customHeight="1">
      <c r="A519" s="477"/>
      <c r="C519" s="2452" t="s">
        <v>810</v>
      </c>
      <c r="D519" s="2453"/>
      <c r="F519" s="626" t="s">
        <v>2419</v>
      </c>
      <c r="G519" s="2362" t="s">
        <v>2420</v>
      </c>
      <c r="H519" s="2362"/>
      <c r="I519" s="2362"/>
      <c r="J519" s="2362"/>
      <c r="K519" s="2362"/>
      <c r="L519" s="2362"/>
      <c r="M519" s="2362"/>
      <c r="N519" s="2362"/>
      <c r="O519" s="2362"/>
      <c r="P519" s="2362"/>
      <c r="Q519" s="2362"/>
      <c r="R519" s="2362"/>
      <c r="S519" s="2362"/>
      <c r="T519" s="2362"/>
      <c r="U519" s="2362"/>
      <c r="V519" s="2362"/>
      <c r="W519" s="2362"/>
      <c r="X519" s="2362"/>
      <c r="Y519" s="2362"/>
      <c r="Z519" s="2362"/>
      <c r="AA519" s="2362"/>
      <c r="AB519" s="2362"/>
      <c r="AC519" s="2362"/>
      <c r="AD519" s="2362"/>
      <c r="AE519" s="2362"/>
      <c r="AF519" s="2362"/>
      <c r="AG519" s="454">
        <f>IF(AND($C$519="Yes",$C$510="Yes"),2,0)</f>
        <v>0</v>
      </c>
      <c r="AH519" s="1213" t="s">
        <v>2167</v>
      </c>
      <c r="AI519" s="399"/>
      <c r="AJ519" s="1205"/>
      <c r="AK519" s="565"/>
      <c r="AN519" s="384"/>
      <c r="AZ519" s="388"/>
      <c r="BC519" s="1200"/>
      <c r="BD519" s="388"/>
      <c r="BE519" s="388"/>
      <c r="BF519" s="388"/>
      <c r="BM519" s="385"/>
      <c r="BN519" s="388"/>
      <c r="BO519" s="385"/>
      <c r="BP519" s="388"/>
      <c r="BQ519" s="388"/>
      <c r="BR519" s="388"/>
      <c r="BS519" s="388"/>
      <c r="BT519" s="388"/>
      <c r="BU519" s="388"/>
      <c r="BV519" s="385"/>
      <c r="BW519" s="385"/>
      <c r="BX519" s="385"/>
      <c r="BY519" s="385"/>
      <c r="BZ519" s="385"/>
      <c r="CA519" s="385"/>
      <c r="CB519" s="385"/>
      <c r="CC519" s="385"/>
    </row>
    <row r="520" spans="1:81" s="398" customFormat="1" ht="12.75" hidden="1" customHeight="1">
      <c r="C520" s="627"/>
      <c r="D520" s="561"/>
      <c r="E520" s="596"/>
      <c r="F520" s="560"/>
      <c r="G520" s="2363"/>
      <c r="H520" s="2363"/>
      <c r="I520" s="2363"/>
      <c r="J520" s="2363"/>
      <c r="K520" s="2363"/>
      <c r="L520" s="2363"/>
      <c r="M520" s="2363"/>
      <c r="N520" s="2363"/>
      <c r="O520" s="2363"/>
      <c r="P520" s="2363"/>
      <c r="Q520" s="2363"/>
      <c r="R520" s="2363"/>
      <c r="S520" s="2363"/>
      <c r="T520" s="2363"/>
      <c r="U520" s="2363"/>
      <c r="V520" s="2363"/>
      <c r="W520" s="2363"/>
      <c r="X520" s="2363"/>
      <c r="Y520" s="2363"/>
      <c r="Z520" s="2363"/>
      <c r="AA520" s="2363"/>
      <c r="AB520" s="2363"/>
      <c r="AC520" s="2363"/>
      <c r="AD520" s="2363"/>
      <c r="AE520" s="2363"/>
      <c r="AF520" s="2363"/>
      <c r="AG520" s="495"/>
      <c r="AH520" s="495"/>
      <c r="AI520" s="495"/>
      <c r="AJ520" s="495"/>
      <c r="AK520" s="575"/>
      <c r="AN520" s="384"/>
      <c r="AZ520" s="388"/>
      <c r="BC520" s="1200"/>
      <c r="BD520" s="388"/>
      <c r="BE520" s="388"/>
      <c r="BF520" s="388"/>
      <c r="BM520" s="437"/>
      <c r="BN520" s="437"/>
      <c r="BO520" s="437"/>
      <c r="BP520" s="437"/>
      <c r="BQ520" s="437"/>
      <c r="BR520" s="437"/>
      <c r="BS520" s="437"/>
      <c r="BT520" s="437"/>
      <c r="BU520" s="437"/>
      <c r="BV520" s="437"/>
      <c r="BW520" s="437"/>
      <c r="BX520" s="437"/>
      <c r="BY520" s="437"/>
      <c r="BZ520" s="437"/>
      <c r="CA520" s="437"/>
      <c r="CB520" s="437"/>
      <c r="CC520" s="437"/>
    </row>
    <row r="521" spans="1:81" s="398" customFormat="1" ht="12.75" hidden="1" customHeight="1">
      <c r="C521" s="385"/>
      <c r="E521" s="594"/>
      <c r="F521" s="445"/>
      <c r="G521" s="1194"/>
      <c r="H521" s="1194"/>
      <c r="I521" s="1194"/>
      <c r="J521" s="1194"/>
      <c r="K521" s="1194"/>
      <c r="L521" s="1194"/>
      <c r="M521" s="1194"/>
      <c r="N521" s="1194"/>
      <c r="O521" s="1194"/>
      <c r="P521" s="1194"/>
      <c r="Q521" s="1194"/>
      <c r="R521" s="1194"/>
      <c r="S521" s="1194"/>
      <c r="T521" s="1194"/>
      <c r="U521" s="1194"/>
      <c r="V521" s="1194"/>
      <c r="W521" s="1194"/>
      <c r="X521" s="1194"/>
      <c r="Y521" s="1194"/>
      <c r="Z521" s="1194"/>
      <c r="AA521" s="1194"/>
      <c r="AB521" s="1194"/>
      <c r="AC521" s="1194"/>
      <c r="AD521" s="1194"/>
      <c r="AE521" s="1194"/>
      <c r="AF521" s="1194"/>
      <c r="AG521" s="399"/>
      <c r="AH521" s="399"/>
      <c r="AI521" s="399"/>
      <c r="AJ521" s="399"/>
      <c r="AN521" s="384"/>
      <c r="AP521" s="388"/>
      <c r="AQ521" s="388"/>
      <c r="AR521" s="388"/>
      <c r="AS521" s="388"/>
      <c r="AT521" s="388"/>
      <c r="AU521" s="388"/>
      <c r="AV521" s="388"/>
      <c r="AW521" s="388"/>
      <c r="AX521" s="388"/>
      <c r="AY521" s="388"/>
      <c r="AZ521" s="388"/>
      <c r="BA521" s="388"/>
      <c r="BB521" s="388"/>
      <c r="BC521" s="388"/>
      <c r="BD521" s="388"/>
      <c r="BE521" s="388"/>
      <c r="BF521" s="388"/>
      <c r="BG521" s="388"/>
      <c r="BH521" s="388"/>
      <c r="BI521" s="1200"/>
      <c r="BJ521" s="628"/>
      <c r="BK521" s="628"/>
      <c r="BM521" s="437"/>
      <c r="BN521" s="437"/>
      <c r="BO521" s="437"/>
      <c r="BP521" s="437"/>
      <c r="BQ521" s="437"/>
      <c r="BR521" s="437"/>
      <c r="BS521" s="437"/>
      <c r="BT521" s="437"/>
      <c r="BU521" s="437"/>
      <c r="BV521" s="437"/>
      <c r="BW521" s="437"/>
      <c r="BX521" s="437"/>
      <c r="BY521" s="437"/>
      <c r="BZ521" s="437"/>
      <c r="CA521" s="437"/>
      <c r="CB521" s="437"/>
      <c r="CC521" s="437"/>
    </row>
    <row r="522" spans="1:81" s="398" customFormat="1" ht="12.75" hidden="1" customHeight="1">
      <c r="C522" s="629" t="s">
        <v>2421</v>
      </c>
      <c r="D522" s="549"/>
      <c r="E522" s="630"/>
      <c r="F522" s="631"/>
      <c r="G522" s="1193"/>
      <c r="H522" s="1193"/>
      <c r="I522" s="1193"/>
      <c r="J522" s="1193"/>
      <c r="K522" s="1193"/>
      <c r="L522" s="1193"/>
      <c r="M522" s="1193"/>
      <c r="N522" s="1193"/>
      <c r="O522" s="1193"/>
      <c r="P522" s="1193"/>
      <c r="Q522" s="1193"/>
      <c r="R522" s="1193"/>
      <c r="S522" s="1193"/>
      <c r="T522" s="1193"/>
      <c r="U522" s="1193"/>
      <c r="V522" s="1193"/>
      <c r="W522" s="1193"/>
      <c r="X522" s="1193"/>
      <c r="Y522" s="1193"/>
      <c r="Z522" s="1193"/>
      <c r="AA522" s="1193"/>
      <c r="AB522" s="1193"/>
      <c r="AC522" s="1193"/>
      <c r="AD522" s="1193"/>
      <c r="AE522" s="1193"/>
      <c r="AF522" s="1193"/>
      <c r="AG522" s="487"/>
      <c r="AH522" s="487"/>
      <c r="AI522" s="487"/>
      <c r="AJ522" s="487"/>
      <c r="AK522" s="578"/>
      <c r="AN522" s="439"/>
      <c r="AP522" s="388"/>
      <c r="AQ522" s="388"/>
      <c r="AR522" s="388"/>
      <c r="AS522" s="388"/>
      <c r="AT522" s="388"/>
      <c r="AU522" s="388"/>
      <c r="AV522" s="388"/>
      <c r="AW522" s="388"/>
      <c r="AX522" s="388"/>
      <c r="AY522" s="388"/>
      <c r="AZ522" s="388"/>
      <c r="BA522" s="388"/>
      <c r="BB522" s="388"/>
      <c r="BC522" s="388"/>
      <c r="BD522" s="388"/>
      <c r="BE522" s="388"/>
      <c r="BF522" s="388"/>
      <c r="BG522" s="388"/>
      <c r="BH522" s="388"/>
      <c r="BI522" s="477"/>
      <c r="BJ522" s="628"/>
      <c r="BK522" s="628"/>
      <c r="BM522" s="437"/>
      <c r="BN522" s="437"/>
      <c r="BO522" s="437"/>
      <c r="BP522" s="437"/>
      <c r="BQ522" s="437"/>
      <c r="BR522" s="437"/>
      <c r="BS522" s="437"/>
      <c r="BT522" s="437"/>
      <c r="BU522" s="437"/>
      <c r="BV522" s="437"/>
      <c r="BW522" s="437"/>
      <c r="BX522" s="437"/>
      <c r="BY522" s="437"/>
      <c r="BZ522" s="437"/>
      <c r="CA522" s="437"/>
      <c r="CB522" s="437"/>
      <c r="CC522" s="437"/>
    </row>
    <row r="523" spans="1:81" s="398" customFormat="1" ht="12.75" hidden="1" customHeight="1">
      <c r="C523" s="2454" t="s">
        <v>810</v>
      </c>
      <c r="D523" s="2455"/>
      <c r="E523" s="632" t="s">
        <v>2422</v>
      </c>
      <c r="F523" s="602" t="s">
        <v>2423</v>
      </c>
      <c r="G523" s="1194"/>
      <c r="H523" s="1194"/>
      <c r="I523" s="1194"/>
      <c r="J523" s="1194"/>
      <c r="K523" s="1194"/>
      <c r="L523" s="1194"/>
      <c r="M523" s="1194"/>
      <c r="N523" s="1194"/>
      <c r="O523" s="1194"/>
      <c r="P523" s="1194"/>
      <c r="Q523" s="1194"/>
      <c r="R523" s="1194"/>
      <c r="S523" s="1194"/>
      <c r="T523" s="1194"/>
      <c r="U523" s="1194"/>
      <c r="V523" s="1194"/>
      <c r="W523" s="1194"/>
      <c r="X523" s="1194"/>
      <c r="Y523" s="1194"/>
      <c r="Z523" s="1194"/>
      <c r="AA523" s="1194"/>
      <c r="AB523" s="1194"/>
      <c r="AC523" s="1194"/>
      <c r="AD523" s="1194"/>
      <c r="AE523" s="1194"/>
      <c r="AF523" s="1194"/>
      <c r="AG523" s="454">
        <f>IF(C$523="Yes",(VLOOKUP(F$524,$AO$494:$AP$497,2,FALSE)),0)</f>
        <v>0</v>
      </c>
      <c r="AH523" s="1213" t="s">
        <v>2167</v>
      </c>
      <c r="AI523" s="399"/>
      <c r="AJ523" s="399"/>
      <c r="AK523" s="565"/>
      <c r="AN523" s="439"/>
      <c r="AP523" s="388"/>
      <c r="AQ523" s="388"/>
      <c r="AR523" s="388"/>
      <c r="AS523" s="388"/>
      <c r="AT523" s="388"/>
      <c r="AU523" s="388"/>
      <c r="AV523" s="388"/>
      <c r="AW523" s="388"/>
      <c r="AX523" s="388"/>
      <c r="AY523" s="388"/>
      <c r="AZ523" s="388"/>
      <c r="BA523" s="388"/>
      <c r="BB523" s="388"/>
      <c r="BC523" s="388"/>
      <c r="BD523" s="388"/>
      <c r="BE523" s="388"/>
      <c r="BF523" s="388"/>
      <c r="BG523" s="388"/>
      <c r="BH523" s="388"/>
      <c r="BI523" s="477"/>
      <c r="BJ523" s="628"/>
      <c r="BK523" s="628"/>
      <c r="BM523" s="385"/>
      <c r="BN523" s="385"/>
      <c r="BO523" s="385"/>
      <c r="BP523" s="385"/>
      <c r="BQ523" s="385"/>
      <c r="BR523" s="385"/>
      <c r="BS523" s="385"/>
      <c r="BT523" s="385"/>
      <c r="BU523" s="385"/>
      <c r="BV523" s="385"/>
      <c r="BW523" s="385"/>
      <c r="BX523" s="385"/>
      <c r="BY523" s="385"/>
      <c r="BZ523" s="385"/>
      <c r="CA523" s="385"/>
      <c r="CB523" s="385"/>
      <c r="CC523" s="385"/>
    </row>
    <row r="524" spans="1:81" s="398" customFormat="1" ht="12.75" hidden="1" customHeight="1">
      <c r="C524" s="553"/>
      <c r="E524" s="594"/>
      <c r="F524" s="2456" t="s">
        <v>810</v>
      </c>
      <c r="G524" s="2456"/>
      <c r="H524" s="2456"/>
      <c r="I524" s="2456"/>
      <c r="J524" s="2456"/>
      <c r="K524" s="2456"/>
      <c r="L524" s="2456"/>
      <c r="M524" s="2456"/>
      <c r="N524" s="2456"/>
      <c r="O524" s="2456"/>
      <c r="P524" s="2456"/>
      <c r="Q524" s="2456"/>
      <c r="R524" s="2456"/>
      <c r="S524" s="2456"/>
      <c r="T524" s="2456"/>
      <c r="U524" s="2456"/>
      <c r="V524" s="2456"/>
      <c r="W524" s="2456"/>
      <c r="X524" s="2456"/>
      <c r="Y524" s="2456"/>
      <c r="Z524" s="2456"/>
      <c r="AA524" s="2456"/>
      <c r="AB524" s="2456"/>
      <c r="AC524" s="2456"/>
      <c r="AD524" s="2456"/>
      <c r="AE524" s="2456"/>
      <c r="AF524" s="2456"/>
      <c r="AG524" s="399"/>
      <c r="AH524" s="399"/>
      <c r="AI524" s="399"/>
      <c r="AJ524" s="399"/>
      <c r="AK524" s="565"/>
      <c r="AN524" s="439"/>
      <c r="BM524" s="385"/>
      <c r="BN524" s="385"/>
      <c r="BO524" s="385"/>
      <c r="BP524" s="385"/>
      <c r="BQ524" s="385"/>
      <c r="BR524" s="385"/>
      <c r="BS524" s="385"/>
      <c r="BT524" s="385"/>
      <c r="BU524" s="385"/>
      <c r="BV524" s="385"/>
      <c r="BW524" s="385"/>
      <c r="BX524" s="385"/>
      <c r="BY524" s="385"/>
      <c r="BZ524" s="385"/>
      <c r="CA524" s="385"/>
      <c r="CB524" s="385"/>
      <c r="CC524" s="385"/>
    </row>
    <row r="525" spans="1:81" s="398" customFormat="1" ht="12.75" hidden="1" customHeight="1">
      <c r="C525" s="627"/>
      <c r="D525" s="561"/>
      <c r="E525" s="596"/>
      <c r="F525" s="2457"/>
      <c r="G525" s="2457"/>
      <c r="H525" s="2457"/>
      <c r="I525" s="2457"/>
      <c r="J525" s="2457"/>
      <c r="K525" s="2457"/>
      <c r="L525" s="2457"/>
      <c r="M525" s="2457"/>
      <c r="N525" s="2457"/>
      <c r="O525" s="2457"/>
      <c r="P525" s="2457"/>
      <c r="Q525" s="2457"/>
      <c r="R525" s="2457"/>
      <c r="S525" s="2457"/>
      <c r="T525" s="2457"/>
      <c r="U525" s="2457"/>
      <c r="V525" s="2457"/>
      <c r="W525" s="2457"/>
      <c r="X525" s="2457"/>
      <c r="Y525" s="2457"/>
      <c r="Z525" s="2457"/>
      <c r="AA525" s="2457"/>
      <c r="AB525" s="2457"/>
      <c r="AC525" s="2457"/>
      <c r="AD525" s="2457"/>
      <c r="AE525" s="2457"/>
      <c r="AF525" s="2457"/>
      <c r="AG525" s="495"/>
      <c r="AH525" s="495"/>
      <c r="AI525" s="495"/>
      <c r="AJ525" s="495"/>
      <c r="AK525" s="575"/>
      <c r="AN525" s="439"/>
      <c r="BM525" s="385"/>
      <c r="BN525" s="385"/>
      <c r="BO525" s="385"/>
      <c r="BP525" s="385"/>
      <c r="BQ525" s="385"/>
      <c r="BR525" s="385"/>
      <c r="BS525" s="385"/>
      <c r="BT525" s="385"/>
      <c r="BU525" s="385"/>
      <c r="BV525" s="385"/>
      <c r="BW525" s="385"/>
      <c r="BX525" s="385"/>
      <c r="BY525" s="385"/>
      <c r="BZ525" s="385"/>
      <c r="CA525" s="385"/>
      <c r="CB525" s="385"/>
      <c r="CC525" s="385"/>
    </row>
    <row r="526" spans="1:81" s="398" customFormat="1" ht="12.75" hidden="1" customHeight="1">
      <c r="A526" s="477"/>
      <c r="C526" s="399"/>
      <c r="E526" s="399"/>
      <c r="F526" s="602"/>
      <c r="G526" s="399"/>
      <c r="H526" s="399"/>
      <c r="I526" s="399"/>
      <c r="J526" s="399"/>
      <c r="K526" s="399"/>
      <c r="L526" s="399"/>
      <c r="M526" s="399"/>
      <c r="N526" s="399"/>
      <c r="O526" s="399"/>
      <c r="P526" s="399"/>
      <c r="Q526" s="399"/>
      <c r="R526" s="399"/>
      <c r="S526" s="399"/>
      <c r="T526" s="399"/>
      <c r="U526" s="399"/>
      <c r="V526" s="399"/>
      <c r="W526" s="399"/>
      <c r="X526" s="399"/>
      <c r="Y526" s="399"/>
      <c r="Z526" s="399"/>
      <c r="AA526" s="399"/>
      <c r="AB526" s="399"/>
      <c r="AC526" s="399"/>
      <c r="AD526" s="456"/>
      <c r="AE526" s="399"/>
      <c r="AF526" s="399"/>
      <c r="AG526" s="399"/>
      <c r="AH526" s="399"/>
      <c r="AN526" s="439"/>
      <c r="BM526" s="385"/>
      <c r="BN526" s="385"/>
      <c r="BO526" s="385"/>
      <c r="BP526" s="385"/>
      <c r="BQ526" s="385"/>
      <c r="BR526" s="385"/>
      <c r="BS526" s="385"/>
      <c r="BT526" s="385"/>
      <c r="BU526" s="385"/>
      <c r="BV526" s="385"/>
      <c r="BW526" s="385"/>
      <c r="BX526" s="385"/>
      <c r="BY526" s="385"/>
      <c r="BZ526" s="385"/>
      <c r="CA526" s="385"/>
      <c r="CB526" s="385"/>
      <c r="CC526" s="385"/>
    </row>
    <row r="527" spans="1:81" s="398" customFormat="1" ht="12.75" hidden="1" customHeight="1">
      <c r="A527" s="477"/>
      <c r="B527" s="398" t="s">
        <v>2424</v>
      </c>
      <c r="C527" s="399"/>
      <c r="E527" s="399"/>
      <c r="F527" s="399"/>
      <c r="G527" s="399"/>
      <c r="H527" s="399"/>
      <c r="I527" s="399"/>
      <c r="J527" s="399"/>
      <c r="K527" s="399"/>
      <c r="L527" s="399"/>
      <c r="M527" s="399"/>
      <c r="N527" s="399"/>
      <c r="O527" s="399"/>
      <c r="P527" s="399"/>
      <c r="Q527" s="399"/>
      <c r="R527" s="399"/>
      <c r="S527" s="399"/>
      <c r="T527" s="399"/>
      <c r="U527" s="399"/>
      <c r="V527" s="399"/>
      <c r="W527" s="399"/>
      <c r="X527" s="399"/>
      <c r="Y527" s="399"/>
      <c r="Z527" s="399"/>
      <c r="AA527" s="399"/>
      <c r="AB527" s="399"/>
      <c r="AC527" s="399"/>
      <c r="AD527" s="456"/>
      <c r="AE527" s="399"/>
      <c r="AF527" s="399"/>
      <c r="AG527" s="399"/>
      <c r="AH527" s="399"/>
      <c r="AN527" s="439"/>
      <c r="AP527" s="617"/>
      <c r="AQ527" s="617"/>
      <c r="AR527" s="617"/>
      <c r="AS527" s="617"/>
      <c r="AT527" s="617"/>
      <c r="AU527" s="617"/>
      <c r="AV527" s="617"/>
      <c r="AW527" s="617"/>
      <c r="AX527" s="617"/>
      <c r="AY527" s="617"/>
      <c r="BM527" s="385"/>
      <c r="BN527" s="385"/>
      <c r="BO527" s="385"/>
      <c r="BP527" s="385"/>
      <c r="BQ527" s="385"/>
      <c r="BR527" s="385"/>
      <c r="BS527" s="385"/>
      <c r="BT527" s="385"/>
      <c r="BU527" s="385"/>
      <c r="BV527" s="385"/>
      <c r="BW527" s="385"/>
      <c r="BX527" s="385"/>
      <c r="BY527" s="385"/>
      <c r="BZ527" s="385"/>
      <c r="CA527" s="385"/>
      <c r="CB527" s="385"/>
      <c r="CC527" s="385"/>
    </row>
    <row r="528" spans="1:81" s="398" customFormat="1" ht="12.75" hidden="1" customHeight="1">
      <c r="A528" s="477"/>
      <c r="B528" s="398" t="s">
        <v>2425</v>
      </c>
      <c r="C528" s="399"/>
      <c r="E528" s="399"/>
      <c r="F528" s="399"/>
      <c r="G528" s="399"/>
      <c r="H528" s="399"/>
      <c r="I528" s="399"/>
      <c r="J528" s="399"/>
      <c r="K528" s="399"/>
      <c r="L528" s="399"/>
      <c r="M528" s="399"/>
      <c r="N528" s="399"/>
      <c r="O528" s="399"/>
      <c r="P528" s="399"/>
      <c r="Q528" s="399"/>
      <c r="R528" s="399"/>
      <c r="S528" s="399"/>
      <c r="T528" s="399"/>
      <c r="U528" s="399"/>
      <c r="V528" s="399"/>
      <c r="W528" s="399"/>
      <c r="X528" s="399"/>
      <c r="Y528" s="399"/>
      <c r="Z528" s="399"/>
      <c r="AA528" s="399"/>
      <c r="AB528" s="399"/>
      <c r="AC528" s="399"/>
      <c r="AD528" s="456"/>
      <c r="AE528" s="399"/>
      <c r="AF528" s="399"/>
      <c r="AG528" s="399"/>
      <c r="AH528" s="399"/>
      <c r="AN528" s="439"/>
      <c r="AP528" s="633"/>
      <c r="AQ528" s="633"/>
      <c r="AR528" s="633"/>
      <c r="AS528" s="633"/>
      <c r="AT528" s="633"/>
      <c r="AU528" s="633"/>
      <c r="AV528" s="633"/>
      <c r="AW528" s="633"/>
      <c r="AX528" s="633"/>
      <c r="AY528" s="633"/>
      <c r="BM528" s="385"/>
      <c r="BN528" s="385"/>
      <c r="BO528" s="385"/>
      <c r="BP528" s="385"/>
      <c r="BQ528" s="385"/>
      <c r="BR528" s="385"/>
      <c r="BS528" s="385"/>
      <c r="BT528" s="385"/>
      <c r="BU528" s="385"/>
      <c r="BV528" s="385"/>
      <c r="BW528" s="385"/>
      <c r="BX528" s="385"/>
      <c r="BY528" s="385"/>
      <c r="BZ528" s="385"/>
      <c r="CA528" s="385"/>
      <c r="CB528" s="385"/>
      <c r="CC528" s="385"/>
    </row>
    <row r="529" spans="1:81" s="398" customFormat="1" ht="12.75" hidden="1" customHeight="1">
      <c r="A529" s="477"/>
      <c r="B529" s="398" t="s">
        <v>2426</v>
      </c>
      <c r="C529" s="399"/>
      <c r="E529" s="399"/>
      <c r="F529" s="399"/>
      <c r="G529" s="399"/>
      <c r="H529" s="399"/>
      <c r="I529" s="399"/>
      <c r="J529" s="399"/>
      <c r="K529" s="399"/>
      <c r="L529" s="399"/>
      <c r="M529" s="399"/>
      <c r="N529" s="399"/>
      <c r="O529" s="399"/>
      <c r="P529" s="399"/>
      <c r="Q529" s="399"/>
      <c r="R529" s="399"/>
      <c r="S529" s="399"/>
      <c r="T529" s="399"/>
      <c r="U529" s="399"/>
      <c r="V529" s="399"/>
      <c r="W529" s="399"/>
      <c r="X529" s="399"/>
      <c r="Y529" s="399"/>
      <c r="Z529" s="399"/>
      <c r="AA529" s="399"/>
      <c r="AB529" s="399"/>
      <c r="AC529" s="399"/>
      <c r="AD529" s="456"/>
      <c r="AE529" s="399"/>
      <c r="AF529" s="399"/>
      <c r="AG529" s="399"/>
      <c r="AH529" s="399"/>
      <c r="AN529" s="439"/>
      <c r="AP529" s="633"/>
      <c r="AQ529" s="633"/>
      <c r="AR529" s="633"/>
      <c r="AS529" s="633"/>
      <c r="AT529" s="633"/>
      <c r="AU529" s="633"/>
      <c r="AV529" s="633"/>
      <c r="AW529" s="633"/>
      <c r="AX529" s="633"/>
      <c r="AY529" s="633"/>
      <c r="BM529" s="385"/>
      <c r="BN529" s="385"/>
      <c r="BO529" s="385"/>
      <c r="BP529" s="385"/>
      <c r="BQ529" s="385"/>
      <c r="BR529" s="385"/>
      <c r="BS529" s="385"/>
      <c r="BT529" s="385"/>
      <c r="BU529" s="385"/>
      <c r="BV529" s="385"/>
      <c r="BW529" s="385"/>
      <c r="BX529" s="385"/>
      <c r="BY529" s="385"/>
      <c r="BZ529" s="385"/>
      <c r="CA529" s="385"/>
      <c r="CB529" s="385"/>
      <c r="CC529" s="385"/>
    </row>
    <row r="530" spans="1:81" s="398" customFormat="1" ht="12.75" hidden="1" customHeight="1">
      <c r="A530" s="477"/>
      <c r="B530" s="398" t="s">
        <v>2427</v>
      </c>
      <c r="C530" s="399"/>
      <c r="E530" s="399"/>
      <c r="F530" s="399"/>
      <c r="G530" s="399"/>
      <c r="H530" s="399"/>
      <c r="I530" s="399"/>
      <c r="J530" s="399"/>
      <c r="K530" s="399"/>
      <c r="L530" s="399"/>
      <c r="M530" s="399"/>
      <c r="N530" s="399"/>
      <c r="O530" s="399"/>
      <c r="P530" s="399"/>
      <c r="Q530" s="399"/>
      <c r="R530" s="399"/>
      <c r="S530" s="399"/>
      <c r="T530" s="399"/>
      <c r="U530" s="399"/>
      <c r="V530" s="399"/>
      <c r="W530" s="399"/>
      <c r="X530" s="399"/>
      <c r="Y530" s="399"/>
      <c r="Z530" s="399"/>
      <c r="AA530" s="399"/>
      <c r="AB530" s="399"/>
      <c r="AC530" s="399"/>
      <c r="AD530" s="456"/>
      <c r="AE530" s="399"/>
      <c r="AF530" s="399"/>
      <c r="AG530" s="399"/>
      <c r="AH530" s="399"/>
      <c r="AN530" s="439"/>
      <c r="AP530" s="633"/>
      <c r="AQ530" s="633"/>
      <c r="AR530" s="633"/>
      <c r="AS530" s="633"/>
      <c r="AT530" s="633"/>
      <c r="AU530" s="633"/>
      <c r="AV530" s="633"/>
      <c r="AW530" s="633"/>
      <c r="AX530" s="633"/>
      <c r="AY530" s="633"/>
      <c r="BM530" s="385"/>
      <c r="BN530" s="385"/>
      <c r="BO530" s="385"/>
      <c r="BP530" s="385"/>
      <c r="BQ530" s="385"/>
      <c r="BR530" s="385"/>
      <c r="BS530" s="385"/>
      <c r="BT530" s="385"/>
      <c r="BU530" s="385"/>
      <c r="BV530" s="385"/>
      <c r="BW530" s="385"/>
      <c r="BX530" s="385"/>
      <c r="BY530" s="385"/>
      <c r="BZ530" s="385"/>
      <c r="CA530" s="385"/>
      <c r="CB530" s="385"/>
      <c r="CC530" s="385"/>
    </row>
    <row r="531" spans="1:81" s="398" customFormat="1" ht="12.75" hidden="1" customHeight="1">
      <c r="A531" s="477"/>
      <c r="B531" s="398" t="s">
        <v>2428</v>
      </c>
      <c r="C531" s="399"/>
      <c r="E531" s="399"/>
      <c r="F531" s="399"/>
      <c r="G531" s="399"/>
      <c r="H531" s="399"/>
      <c r="I531" s="399"/>
      <c r="J531" s="399"/>
      <c r="K531" s="399"/>
      <c r="L531" s="399"/>
      <c r="M531" s="399"/>
      <c r="N531" s="399"/>
      <c r="O531" s="399"/>
      <c r="P531" s="399"/>
      <c r="Q531" s="399"/>
      <c r="R531" s="399"/>
      <c r="S531" s="399"/>
      <c r="T531" s="399"/>
      <c r="U531" s="399"/>
      <c r="V531" s="399"/>
      <c r="W531" s="399"/>
      <c r="X531" s="399"/>
      <c r="Y531" s="399"/>
      <c r="Z531" s="399"/>
      <c r="AA531" s="399"/>
      <c r="AB531" s="399"/>
      <c r="AC531" s="399"/>
      <c r="AD531" s="456"/>
      <c r="AE531" s="399"/>
      <c r="AF531" s="399"/>
      <c r="AG531" s="399"/>
      <c r="AH531" s="399"/>
      <c r="AN531" s="439"/>
      <c r="AP531" s="633"/>
      <c r="AQ531" s="633"/>
      <c r="AR531" s="633"/>
      <c r="AS531" s="633"/>
      <c r="AT531" s="633"/>
      <c r="AU531" s="633"/>
      <c r="AV531" s="633"/>
      <c r="AW531" s="633"/>
      <c r="AX531" s="633"/>
      <c r="AY531" s="633"/>
      <c r="BM531" s="385"/>
      <c r="BN531" s="385"/>
      <c r="BO531" s="385"/>
      <c r="BP531" s="385"/>
      <c r="BQ531" s="385"/>
      <c r="BR531" s="385"/>
      <c r="BS531" s="385"/>
      <c r="BT531" s="385"/>
      <c r="BU531" s="385"/>
      <c r="BV531" s="385"/>
      <c r="BW531" s="385"/>
      <c r="BX531" s="385"/>
      <c r="BY531" s="385"/>
      <c r="BZ531" s="385"/>
      <c r="CA531" s="385"/>
      <c r="CB531" s="385"/>
      <c r="CC531" s="385"/>
    </row>
    <row r="532" spans="1:81" s="398" customFormat="1" ht="12.75" hidden="1" customHeight="1">
      <c r="A532" s="477"/>
      <c r="B532" s="398" t="s">
        <v>2429</v>
      </c>
      <c r="C532" s="399"/>
      <c r="E532" s="399"/>
      <c r="F532" s="399"/>
      <c r="G532" s="399"/>
      <c r="H532" s="399"/>
      <c r="I532" s="399"/>
      <c r="J532" s="399"/>
      <c r="K532" s="399"/>
      <c r="L532" s="399"/>
      <c r="M532" s="399"/>
      <c r="N532" s="399"/>
      <c r="O532" s="399"/>
      <c r="P532" s="399"/>
      <c r="Q532" s="399"/>
      <c r="R532" s="399"/>
      <c r="S532" s="399"/>
      <c r="T532" s="399"/>
      <c r="U532" s="399"/>
      <c r="V532" s="399"/>
      <c r="W532" s="399"/>
      <c r="X532" s="399"/>
      <c r="Y532" s="399"/>
      <c r="Z532" s="399"/>
      <c r="AA532" s="399"/>
      <c r="AB532" s="399"/>
      <c r="AC532" s="399"/>
      <c r="AD532" s="456"/>
      <c r="AE532" s="399"/>
      <c r="AF532" s="399"/>
      <c r="AG532" s="399"/>
      <c r="AH532" s="399"/>
      <c r="AN532" s="439"/>
      <c r="AP532" s="633"/>
      <c r="AQ532" s="633"/>
      <c r="AR532" s="633"/>
      <c r="AS532" s="633"/>
      <c r="AT532" s="633"/>
      <c r="AU532" s="633"/>
      <c r="AV532" s="633"/>
      <c r="AW532" s="633"/>
      <c r="AX532" s="633"/>
      <c r="AY532" s="633"/>
      <c r="BM532" s="385"/>
      <c r="BN532" s="385"/>
      <c r="BO532" s="385"/>
      <c r="BP532" s="385"/>
      <c r="BQ532" s="385"/>
      <c r="BR532" s="385"/>
      <c r="BS532" s="385"/>
      <c r="BT532" s="385"/>
      <c r="BU532" s="385"/>
      <c r="BV532" s="385"/>
      <c r="BW532" s="385"/>
      <c r="BX532" s="385"/>
      <c r="BY532" s="385"/>
      <c r="BZ532" s="385"/>
      <c r="CA532" s="385"/>
      <c r="CB532" s="385"/>
      <c r="CC532" s="385"/>
    </row>
    <row r="533" spans="1:81" s="398" customFormat="1" ht="12.75" hidden="1" customHeight="1">
      <c r="A533" s="477"/>
      <c r="B533" s="398" t="s">
        <v>2430</v>
      </c>
      <c r="C533" s="399"/>
      <c r="E533" s="399"/>
      <c r="F533" s="399"/>
      <c r="G533" s="399"/>
      <c r="H533" s="399"/>
      <c r="I533" s="399"/>
      <c r="J533" s="399"/>
      <c r="K533" s="399"/>
      <c r="L533" s="399"/>
      <c r="M533" s="399"/>
      <c r="N533" s="399"/>
      <c r="O533" s="399"/>
      <c r="P533" s="399"/>
      <c r="Q533" s="399"/>
      <c r="R533" s="399"/>
      <c r="S533" s="399"/>
      <c r="T533" s="399"/>
      <c r="U533" s="399"/>
      <c r="V533" s="399"/>
      <c r="W533" s="399"/>
      <c r="X533" s="399"/>
      <c r="Y533" s="399"/>
      <c r="Z533" s="399"/>
      <c r="AA533" s="399"/>
      <c r="AB533" s="399"/>
      <c r="AC533" s="399"/>
      <c r="AD533" s="456"/>
      <c r="AE533" s="399"/>
      <c r="AF533" s="399"/>
      <c r="AG533" s="399"/>
      <c r="AH533" s="399"/>
      <c r="AN533" s="439"/>
    </row>
    <row r="534" spans="1:81" s="398" customFormat="1" ht="12.75" hidden="1" customHeight="1">
      <c r="A534" s="634"/>
      <c r="C534" s="399"/>
      <c r="E534" s="399"/>
      <c r="F534" s="399"/>
      <c r="G534" s="399"/>
      <c r="H534" s="399"/>
      <c r="I534" s="399"/>
      <c r="J534" s="399"/>
      <c r="K534" s="399"/>
      <c r="L534" s="399"/>
      <c r="M534" s="399"/>
      <c r="N534" s="399"/>
      <c r="O534" s="399"/>
      <c r="P534" s="399"/>
      <c r="Q534" s="399"/>
      <c r="R534" s="399"/>
      <c r="S534" s="399"/>
      <c r="T534" s="399"/>
      <c r="U534" s="399"/>
      <c r="V534" s="399"/>
      <c r="W534" s="399"/>
      <c r="X534" s="399"/>
      <c r="Y534" s="399"/>
      <c r="Z534" s="399"/>
      <c r="AA534" s="399"/>
      <c r="AB534" s="399"/>
      <c r="AC534" s="399"/>
      <c r="AD534" s="456"/>
      <c r="AE534" s="399"/>
      <c r="AF534" s="399"/>
      <c r="AG534" s="399"/>
      <c r="AH534" s="399"/>
      <c r="AN534" s="439"/>
    </row>
    <row r="535" spans="1:81" s="398" customFormat="1" ht="12.75" hidden="1" customHeight="1">
      <c r="A535" s="447"/>
      <c r="B535" s="501"/>
      <c r="C535" s="501"/>
      <c r="D535" s="501"/>
      <c r="E535" s="501"/>
      <c r="F535" s="501"/>
      <c r="G535" s="501"/>
      <c r="H535" s="501"/>
      <c r="I535" s="501"/>
      <c r="J535" s="501"/>
      <c r="K535" s="501"/>
      <c r="L535" s="501"/>
      <c r="M535" s="501"/>
      <c r="N535" s="501"/>
      <c r="O535" s="501"/>
      <c r="P535" s="501"/>
      <c r="Q535" s="501"/>
      <c r="R535" s="501"/>
      <c r="S535" s="501"/>
      <c r="T535" s="501"/>
      <c r="U535" s="501"/>
      <c r="V535" s="501"/>
      <c r="W535" s="501"/>
      <c r="X535" s="501"/>
      <c r="Y535" s="501"/>
      <c r="Z535" s="501"/>
      <c r="AA535" s="501"/>
      <c r="AB535" s="501"/>
      <c r="AC535" s="502"/>
      <c r="AD535" s="501"/>
      <c r="AE535" s="501"/>
      <c r="AF535" s="501"/>
      <c r="AG535" s="501"/>
      <c r="AH535" s="410"/>
      <c r="AI535" s="411"/>
      <c r="AJ535" s="411" t="s">
        <v>2431</v>
      </c>
      <c r="AK535" s="2358">
        <f>SUM(AG479:AG524)</f>
        <v>0</v>
      </c>
      <c r="AL535" s="2359"/>
      <c r="AM535" s="2360"/>
      <c r="AN535" s="439"/>
      <c r="AP535" s="385"/>
      <c r="AQ535" s="385"/>
      <c r="AR535" s="385"/>
      <c r="AS535" s="385"/>
      <c r="AT535" s="385"/>
      <c r="AU535" s="385"/>
      <c r="AV535" s="385"/>
      <c r="AW535" s="385"/>
      <c r="AX535" s="385"/>
      <c r="AY535" s="385"/>
      <c r="AZ535" s="385"/>
    </row>
    <row r="536" spans="1:81" s="398" customFormat="1" ht="12.75" hidden="1" customHeight="1">
      <c r="B536" s="399"/>
      <c r="C536" s="399"/>
      <c r="D536" s="399"/>
      <c r="E536" s="399"/>
      <c r="F536" s="399"/>
      <c r="G536" s="399"/>
      <c r="H536" s="399"/>
      <c r="I536" s="399"/>
      <c r="J536" s="399"/>
      <c r="K536" s="399"/>
      <c r="L536" s="399"/>
      <c r="M536" s="399"/>
      <c r="N536" s="399"/>
      <c r="O536" s="399"/>
      <c r="P536" s="399"/>
      <c r="Q536" s="399"/>
      <c r="R536" s="399"/>
      <c r="S536" s="399"/>
      <c r="T536" s="399"/>
      <c r="U536" s="399"/>
      <c r="V536" s="399"/>
      <c r="W536" s="399"/>
      <c r="X536" s="399"/>
      <c r="Y536" s="399"/>
      <c r="Z536" s="399"/>
      <c r="AA536" s="399"/>
      <c r="AB536" s="399"/>
      <c r="AC536" s="456"/>
      <c r="AD536" s="399"/>
      <c r="AE536" s="399"/>
      <c r="AF536" s="399"/>
      <c r="AG536" s="399"/>
      <c r="AI536" s="1200"/>
      <c r="AJ536" s="1200"/>
      <c r="AK536" s="437"/>
      <c r="AL536" s="437"/>
      <c r="AM536" s="437"/>
      <c r="AN536" s="439"/>
      <c r="AP536" s="385"/>
      <c r="AQ536" s="385"/>
      <c r="AR536" s="385"/>
      <c r="AS536" s="385"/>
      <c r="AT536" s="385"/>
      <c r="AU536" s="385"/>
      <c r="AV536" s="385"/>
      <c r="AW536" s="385"/>
      <c r="AX536" s="385"/>
      <c r="AY536" s="385"/>
      <c r="AZ536" s="385"/>
    </row>
    <row r="537" spans="1:81" ht="13.8" thickTop="1"/>
    <row r="538" spans="1:81" s="398" customFormat="1" ht="12.75" customHeight="1">
      <c r="A538" s="388" t="s">
        <v>2432</v>
      </c>
      <c r="B538" s="388" t="s">
        <v>2433</v>
      </c>
      <c r="C538" s="399"/>
      <c r="D538" s="399"/>
      <c r="E538" s="399"/>
      <c r="F538" s="399"/>
      <c r="G538" s="399"/>
      <c r="H538" s="399"/>
      <c r="I538" s="399"/>
      <c r="J538" s="399"/>
      <c r="K538" s="399"/>
      <c r="L538" s="399"/>
      <c r="M538" s="399"/>
      <c r="N538" s="399"/>
      <c r="O538" s="399"/>
      <c r="P538" s="399"/>
      <c r="Q538" s="399"/>
      <c r="R538" s="399"/>
      <c r="S538" s="399"/>
      <c r="T538" s="399"/>
      <c r="U538" s="399"/>
      <c r="V538" s="399"/>
      <c r="W538" s="399"/>
      <c r="X538" s="399"/>
      <c r="Y538" s="399"/>
      <c r="Z538" s="399"/>
      <c r="AA538" s="399"/>
      <c r="AB538" s="399"/>
      <c r="AC538" s="456"/>
      <c r="AD538" s="399"/>
      <c r="AE538" s="2391" t="s">
        <v>2434</v>
      </c>
      <c r="AF538" s="2391"/>
      <c r="AG538" s="2391"/>
      <c r="AH538" s="2391"/>
      <c r="AI538" s="2391"/>
      <c r="AJ538" s="2391"/>
      <c r="AK538" s="2391"/>
      <c r="AL538" s="437"/>
      <c r="AM538" s="437"/>
      <c r="AN538" s="439"/>
    </row>
    <row r="539" spans="1:81" s="398" customFormat="1" ht="12.75" customHeight="1">
      <c r="A539" s="388"/>
      <c r="B539" s="388" t="s">
        <v>2163</v>
      </c>
      <c r="C539" s="399"/>
      <c r="D539" s="399"/>
      <c r="E539" s="399"/>
      <c r="F539" s="399"/>
      <c r="G539" s="399"/>
      <c r="H539" s="399"/>
      <c r="I539" s="399"/>
      <c r="J539" s="399"/>
      <c r="K539" s="399"/>
      <c r="L539" s="399"/>
      <c r="M539" s="399"/>
      <c r="N539" s="399"/>
      <c r="O539" s="399"/>
      <c r="P539" s="399"/>
      <c r="Q539" s="399"/>
      <c r="R539" s="399"/>
      <c r="S539" s="399"/>
      <c r="T539" s="399"/>
      <c r="U539" s="399"/>
      <c r="V539" s="399"/>
      <c r="W539" s="399"/>
      <c r="X539" s="399"/>
      <c r="Y539" s="399"/>
      <c r="Z539" s="399"/>
      <c r="AA539" s="399"/>
      <c r="AB539" s="399"/>
      <c r="AC539" s="456"/>
      <c r="AD539" s="399"/>
      <c r="AE539" s="1200"/>
      <c r="AF539" s="1200"/>
      <c r="AG539" s="1200"/>
      <c r="AH539" s="1200"/>
      <c r="AI539" s="1200"/>
      <c r="AJ539" s="1200"/>
      <c r="AK539" s="1200"/>
      <c r="AL539" s="437"/>
      <c r="AM539" s="437"/>
      <c r="AN539" s="439"/>
    </row>
    <row r="540" spans="1:81" s="398" customFormat="1" ht="12.75" customHeight="1">
      <c r="A540" s="388"/>
      <c r="B540" s="388"/>
      <c r="C540" s="399"/>
      <c r="D540" s="399"/>
      <c r="E540" s="399"/>
      <c r="F540" s="399"/>
      <c r="G540" s="399"/>
      <c r="H540" s="399"/>
      <c r="I540" s="399"/>
      <c r="J540" s="399"/>
      <c r="K540" s="399"/>
      <c r="L540" s="399"/>
      <c r="M540" s="399"/>
      <c r="N540" s="399"/>
      <c r="O540" s="399"/>
      <c r="P540" s="399"/>
      <c r="Q540" s="399"/>
      <c r="R540" s="399"/>
      <c r="S540" s="399"/>
      <c r="T540" s="399"/>
      <c r="U540" s="399"/>
      <c r="V540" s="399"/>
      <c r="W540" s="399"/>
      <c r="X540" s="399"/>
      <c r="Y540" s="399"/>
      <c r="Z540" s="399"/>
      <c r="AA540" s="399"/>
      <c r="AB540" s="399"/>
      <c r="AC540" s="456"/>
      <c r="AD540" s="399"/>
      <c r="AE540" s="1200"/>
      <c r="AF540" s="1200"/>
      <c r="AG540" s="1200"/>
      <c r="AH540" s="1200"/>
      <c r="AI540" s="1200"/>
      <c r="AJ540" s="1200"/>
      <c r="AK540" s="1200"/>
      <c r="AL540" s="437"/>
      <c r="AM540" s="437"/>
      <c r="AN540" s="439"/>
    </row>
    <row r="541" spans="1:81" s="398" customFormat="1" ht="12.75" customHeight="1">
      <c r="A541" s="388"/>
      <c r="B541" s="388"/>
      <c r="C541" s="2372" t="s">
        <v>810</v>
      </c>
      <c r="D541" s="2372"/>
      <c r="E541" s="399"/>
      <c r="F541" s="2394" t="s">
        <v>2435</v>
      </c>
      <c r="G541" s="2395"/>
      <c r="H541" s="2395"/>
      <c r="I541" s="2395"/>
      <c r="J541" s="2395"/>
      <c r="K541" s="2395"/>
      <c r="L541" s="2395"/>
      <c r="M541" s="2395"/>
      <c r="N541" s="2395"/>
      <c r="O541" s="2395"/>
      <c r="P541" s="2395"/>
      <c r="Q541" s="2395"/>
      <c r="R541" s="2395"/>
      <c r="S541" s="2395"/>
      <c r="T541" s="2395"/>
      <c r="U541" s="2395"/>
      <c r="V541" s="2395"/>
      <c r="W541" s="2395"/>
      <c r="X541" s="2395"/>
      <c r="Y541" s="2395"/>
      <c r="Z541" s="2395"/>
      <c r="AA541" s="2395"/>
      <c r="AB541" s="2395"/>
      <c r="AC541" s="2395"/>
      <c r="AD541" s="2395"/>
      <c r="AE541" s="2395"/>
      <c r="AF541" s="2395"/>
      <c r="AG541" s="2395"/>
      <c r="AH541" s="2395"/>
      <c r="AI541" s="2395"/>
      <c r="AJ541" s="2395"/>
      <c r="AK541" s="2395"/>
      <c r="AL541" s="2396"/>
      <c r="AM541" s="437"/>
      <c r="AN541" s="439"/>
    </row>
    <row r="542" spans="1:81" s="398" customFormat="1" ht="12.75" customHeight="1">
      <c r="A542" s="388"/>
      <c r="B542" s="388"/>
      <c r="C542" s="399"/>
      <c r="D542" s="399"/>
      <c r="E542" s="399"/>
      <c r="F542" s="2397"/>
      <c r="G542" s="2398"/>
      <c r="H542" s="2398"/>
      <c r="I542" s="2398"/>
      <c r="J542" s="2398"/>
      <c r="K542" s="2398"/>
      <c r="L542" s="2398"/>
      <c r="M542" s="2398"/>
      <c r="N542" s="2398"/>
      <c r="O542" s="2398"/>
      <c r="P542" s="2398"/>
      <c r="Q542" s="2398"/>
      <c r="R542" s="2398"/>
      <c r="S542" s="2398"/>
      <c r="T542" s="2398"/>
      <c r="U542" s="2398"/>
      <c r="V542" s="2398"/>
      <c r="W542" s="2398"/>
      <c r="X542" s="2398"/>
      <c r="Y542" s="2398"/>
      <c r="Z542" s="2398"/>
      <c r="AA542" s="2398"/>
      <c r="AB542" s="2398"/>
      <c r="AC542" s="2398"/>
      <c r="AD542" s="2398"/>
      <c r="AE542" s="2398"/>
      <c r="AF542" s="2398"/>
      <c r="AG542" s="2398"/>
      <c r="AH542" s="2398"/>
      <c r="AI542" s="2398"/>
      <c r="AJ542" s="2398"/>
      <c r="AK542" s="2398"/>
      <c r="AL542" s="2399"/>
      <c r="AM542" s="437"/>
      <c r="AN542" s="439"/>
    </row>
    <row r="543" spans="1:81" s="398" customFormat="1" ht="12.75" customHeight="1">
      <c r="A543" s="388"/>
      <c r="B543" s="388"/>
      <c r="C543" s="399"/>
      <c r="D543" s="399"/>
      <c r="E543" s="399"/>
      <c r="F543" s="635"/>
      <c r="G543" s="635"/>
      <c r="H543" s="635"/>
      <c r="I543" s="635"/>
      <c r="J543" s="635"/>
      <c r="K543" s="635"/>
      <c r="L543" s="635"/>
      <c r="M543" s="635"/>
      <c r="N543" s="635"/>
      <c r="O543" s="635"/>
      <c r="P543" s="635"/>
      <c r="Q543" s="635"/>
      <c r="R543" s="635"/>
      <c r="S543" s="635"/>
      <c r="T543" s="635"/>
      <c r="U543" s="635"/>
      <c r="V543" s="635"/>
      <c r="W543" s="635"/>
      <c r="X543" s="635"/>
      <c r="Y543" s="635"/>
      <c r="Z543" s="635"/>
      <c r="AA543" s="635"/>
      <c r="AB543" s="635"/>
      <c r="AC543" s="635"/>
      <c r="AD543" s="635"/>
      <c r="AE543" s="635"/>
      <c r="AF543" s="635"/>
      <c r="AG543" s="635"/>
      <c r="AH543" s="635"/>
      <c r="AI543" s="635"/>
      <c r="AJ543" s="635"/>
      <c r="AK543" s="635"/>
      <c r="AL543" s="635"/>
      <c r="AM543" s="437"/>
      <c r="AN543" s="439"/>
    </row>
    <row r="544" spans="1:81" s="398" customFormat="1" ht="12.75" customHeight="1">
      <c r="A544" s="388"/>
      <c r="B544" s="636"/>
      <c r="C544" s="2372" t="s">
        <v>694</v>
      </c>
      <c r="D544" s="2372"/>
      <c r="E544" s="636"/>
      <c r="F544" s="482" t="s">
        <v>2436</v>
      </c>
      <c r="G544" s="637"/>
      <c r="H544" s="638"/>
      <c r="I544" s="638"/>
      <c r="J544" s="638"/>
      <c r="K544" s="638"/>
      <c r="L544" s="638"/>
      <c r="M544" s="638"/>
      <c r="N544" s="638"/>
      <c r="O544" s="638"/>
      <c r="P544" s="638"/>
      <c r="Q544" s="638"/>
      <c r="R544" s="638"/>
      <c r="S544" s="638"/>
      <c r="T544" s="638"/>
      <c r="U544" s="638"/>
      <c r="V544" s="638"/>
      <c r="W544" s="638"/>
      <c r="X544" s="638"/>
      <c r="Y544" s="638"/>
      <c r="Z544" s="638"/>
      <c r="AA544" s="638"/>
      <c r="AB544" s="638"/>
      <c r="AC544" s="638"/>
      <c r="AD544" s="638"/>
      <c r="AE544" s="638"/>
      <c r="AF544" s="638"/>
      <c r="AG544" s="638"/>
      <c r="AH544" s="638"/>
      <c r="AI544" s="638"/>
      <c r="AJ544" s="638"/>
      <c r="AK544" s="639"/>
      <c r="AL544" s="640"/>
      <c r="AM544" s="437"/>
      <c r="AN544" s="439"/>
    </row>
    <row r="545" spans="1:49" s="398" customFormat="1" ht="12.75" customHeight="1">
      <c r="B545" s="636"/>
      <c r="C545" s="636"/>
      <c r="D545" s="636"/>
      <c r="E545" s="636"/>
      <c r="F545" s="2350" t="s">
        <v>2437</v>
      </c>
      <c r="G545" s="2351"/>
      <c r="H545" s="2351"/>
      <c r="I545" s="2351"/>
      <c r="J545" s="2351"/>
      <c r="K545" s="2351"/>
      <c r="L545" s="2351"/>
      <c r="M545" s="2351"/>
      <c r="N545" s="2351"/>
      <c r="O545" s="2351"/>
      <c r="P545" s="2351"/>
      <c r="Q545" s="2351"/>
      <c r="R545" s="2351"/>
      <c r="S545" s="2351"/>
      <c r="T545" s="2351"/>
      <c r="U545" s="2351"/>
      <c r="V545" s="2351"/>
      <c r="W545" s="2351"/>
      <c r="X545" s="2351"/>
      <c r="Y545" s="2351"/>
      <c r="Z545" s="2351"/>
      <c r="AA545" s="2351"/>
      <c r="AB545" s="2351"/>
      <c r="AC545" s="2351"/>
      <c r="AD545" s="2351"/>
      <c r="AE545" s="2351"/>
      <c r="AF545" s="2351"/>
      <c r="AG545" s="2351"/>
      <c r="AH545" s="2351"/>
      <c r="AI545" s="2351"/>
      <c r="AJ545" s="2351"/>
      <c r="AK545" s="2351"/>
      <c r="AL545" s="2352"/>
      <c r="AM545" s="437"/>
      <c r="AN545" s="439"/>
      <c r="AS545" s="692"/>
      <c r="AT545" s="692"/>
      <c r="AU545" s="692"/>
      <c r="AV545" s="692"/>
      <c r="AW545" s="692"/>
    </row>
    <row r="546" spans="1:49" s="398" customFormat="1" ht="12.75" customHeight="1">
      <c r="B546" s="636"/>
      <c r="C546" s="636"/>
      <c r="D546" s="636"/>
      <c r="E546" s="636"/>
      <c r="F546" s="2350"/>
      <c r="G546" s="2351"/>
      <c r="H546" s="2351"/>
      <c r="I546" s="2351"/>
      <c r="J546" s="2351"/>
      <c r="K546" s="2351"/>
      <c r="L546" s="2351"/>
      <c r="M546" s="2351"/>
      <c r="N546" s="2351"/>
      <c r="O546" s="2351"/>
      <c r="P546" s="2351"/>
      <c r="Q546" s="2351"/>
      <c r="R546" s="2351"/>
      <c r="S546" s="2351"/>
      <c r="T546" s="2351"/>
      <c r="U546" s="2351"/>
      <c r="V546" s="2351"/>
      <c r="W546" s="2351"/>
      <c r="X546" s="2351"/>
      <c r="Y546" s="2351"/>
      <c r="Z546" s="2351"/>
      <c r="AA546" s="2351"/>
      <c r="AB546" s="2351"/>
      <c r="AC546" s="2351"/>
      <c r="AD546" s="2351"/>
      <c r="AE546" s="2351"/>
      <c r="AF546" s="2351"/>
      <c r="AG546" s="2351"/>
      <c r="AH546" s="2351"/>
      <c r="AI546" s="2351"/>
      <c r="AJ546" s="2351"/>
      <c r="AK546" s="2351"/>
      <c r="AL546" s="2352"/>
      <c r="AM546" s="437"/>
      <c r="AN546" s="439"/>
    </row>
    <row r="547" spans="1:49" s="398" customFormat="1" ht="12.75" customHeight="1">
      <c r="B547" s="636"/>
      <c r="C547" s="636"/>
      <c r="D547" s="636"/>
      <c r="E547" s="636"/>
      <c r="F547" s="641" t="s">
        <v>2438</v>
      </c>
      <c r="G547" s="456"/>
      <c r="H547" s="456"/>
      <c r="I547" s="456"/>
      <c r="J547" s="456"/>
      <c r="K547" s="456"/>
      <c r="L547" s="456"/>
      <c r="M547" s="456"/>
      <c r="N547" s="456"/>
      <c r="O547" s="456"/>
      <c r="P547" s="456"/>
      <c r="Q547" s="456"/>
      <c r="R547" s="456"/>
      <c r="S547" s="456"/>
      <c r="T547" s="456"/>
      <c r="U547" s="456"/>
      <c r="V547" s="456"/>
      <c r="W547" s="456"/>
      <c r="X547" s="456"/>
      <c r="Y547" s="456"/>
      <c r="Z547" s="456"/>
      <c r="AA547" s="456"/>
      <c r="AB547" s="456"/>
      <c r="AC547" s="456"/>
      <c r="AD547" s="456"/>
      <c r="AE547" s="456"/>
      <c r="AF547" s="456"/>
      <c r="AG547" s="456"/>
      <c r="AH547" s="456"/>
      <c r="AI547" s="456"/>
      <c r="AJ547" s="456"/>
      <c r="AK547" s="456"/>
      <c r="AL547" s="642"/>
      <c r="AM547" s="437"/>
      <c r="AN547" s="439"/>
    </row>
    <row r="548" spans="1:49" s="398" customFormat="1" ht="12.75" customHeight="1">
      <c r="B548" s="636"/>
      <c r="C548" s="636"/>
      <c r="D548" s="636"/>
      <c r="E548" s="636"/>
      <c r="F548" s="2350" t="s">
        <v>2439</v>
      </c>
      <c r="G548" s="2351"/>
      <c r="H548" s="2351"/>
      <c r="I548" s="2351"/>
      <c r="J548" s="2351"/>
      <c r="K548" s="2351"/>
      <c r="L548" s="2351"/>
      <c r="M548" s="2351"/>
      <c r="N548" s="2351"/>
      <c r="O548" s="2351"/>
      <c r="P548" s="2351"/>
      <c r="Q548" s="2351"/>
      <c r="R548" s="2351"/>
      <c r="S548" s="2351"/>
      <c r="T548" s="2351"/>
      <c r="U548" s="2351"/>
      <c r="V548" s="2351"/>
      <c r="W548" s="2351"/>
      <c r="X548" s="2351"/>
      <c r="Y548" s="2351"/>
      <c r="Z548" s="2351"/>
      <c r="AA548" s="2351"/>
      <c r="AB548" s="2351"/>
      <c r="AC548" s="2351"/>
      <c r="AD548" s="2351"/>
      <c r="AE548" s="2351"/>
      <c r="AF548" s="2351"/>
      <c r="AG548" s="2351"/>
      <c r="AH548" s="2351"/>
      <c r="AI548" s="2351"/>
      <c r="AJ548" s="2351"/>
      <c r="AK548" s="2351"/>
      <c r="AL548" s="643"/>
      <c r="AM548" s="437"/>
      <c r="AN548" s="439"/>
    </row>
    <row r="549" spans="1:49" s="398" customFormat="1" ht="12.75" customHeight="1">
      <c r="B549" s="636"/>
      <c r="C549" s="636"/>
      <c r="D549" s="636"/>
      <c r="E549" s="636"/>
      <c r="F549" s="2353"/>
      <c r="G549" s="2354"/>
      <c r="H549" s="2354"/>
      <c r="I549" s="2354"/>
      <c r="J549" s="2354"/>
      <c r="K549" s="2354"/>
      <c r="L549" s="2354"/>
      <c r="M549" s="2354"/>
      <c r="N549" s="2354"/>
      <c r="O549" s="2354"/>
      <c r="P549" s="2354"/>
      <c r="Q549" s="2354"/>
      <c r="R549" s="2354"/>
      <c r="S549" s="2354"/>
      <c r="T549" s="2354"/>
      <c r="U549" s="2354"/>
      <c r="V549" s="2354"/>
      <c r="W549" s="2354"/>
      <c r="X549" s="2354"/>
      <c r="Y549" s="2354"/>
      <c r="Z549" s="2354"/>
      <c r="AA549" s="2354"/>
      <c r="AB549" s="2354"/>
      <c r="AC549" s="2354"/>
      <c r="AD549" s="2354"/>
      <c r="AE549" s="2354"/>
      <c r="AF549" s="2354"/>
      <c r="AG549" s="2354"/>
      <c r="AH549" s="2354"/>
      <c r="AI549" s="2354"/>
      <c r="AJ549" s="2354"/>
      <c r="AK549" s="2354"/>
      <c r="AL549" s="644"/>
      <c r="AM549" s="437"/>
      <c r="AN549" s="439"/>
    </row>
    <row r="550" spans="1:49" s="398" customFormat="1" ht="12.75" customHeight="1">
      <c r="B550" s="636"/>
      <c r="C550" s="636"/>
      <c r="D550" s="636"/>
      <c r="E550" s="636"/>
      <c r="F550" s="481"/>
      <c r="G550" s="481"/>
      <c r="H550" s="481"/>
      <c r="I550" s="481"/>
      <c r="J550" s="481"/>
      <c r="K550" s="481"/>
      <c r="L550" s="481"/>
      <c r="M550" s="481"/>
      <c r="N550" s="481"/>
      <c r="O550" s="481"/>
      <c r="P550" s="481"/>
      <c r="Q550" s="481"/>
      <c r="R550" s="481"/>
      <c r="S550" s="481"/>
      <c r="T550" s="481"/>
      <c r="U550" s="481"/>
      <c r="V550" s="481"/>
      <c r="W550" s="481"/>
      <c r="X550" s="481"/>
      <c r="Y550" s="481"/>
      <c r="Z550" s="481"/>
      <c r="AA550" s="481"/>
      <c r="AB550" s="481"/>
      <c r="AC550" s="481"/>
      <c r="AD550" s="481"/>
      <c r="AE550" s="481"/>
      <c r="AF550" s="481"/>
      <c r="AG550" s="481"/>
      <c r="AH550" s="481"/>
      <c r="AI550" s="481"/>
      <c r="AJ550" s="481"/>
      <c r="AK550" s="481"/>
      <c r="AL550" s="437"/>
      <c r="AM550" s="437"/>
      <c r="AN550" s="439"/>
      <c r="AP550" s="2349">
        <f>Application!AJ992</f>
        <v>76903760</v>
      </c>
      <c r="AQ550" s="2349"/>
      <c r="AR550" s="2349"/>
      <c r="AS550" s="398" t="s">
        <v>2440</v>
      </c>
    </row>
    <row r="551" spans="1:49" s="398" customFormat="1" ht="12.75" customHeight="1">
      <c r="A551" s="350"/>
      <c r="B551" s="1130" t="s">
        <v>2441</v>
      </c>
      <c r="C551" s="463"/>
      <c r="D551" s="463"/>
      <c r="E551" s="463"/>
      <c r="F551" s="11"/>
      <c r="G551" s="464"/>
      <c r="H551" s="464"/>
      <c r="I551" s="464"/>
      <c r="J551" s="464"/>
      <c r="K551" s="464"/>
      <c r="L551" s="464"/>
      <c r="M551" s="464"/>
      <c r="N551" s="464"/>
      <c r="O551" s="464"/>
      <c r="P551" s="464"/>
      <c r="Q551" s="464"/>
      <c r="R551" s="11"/>
      <c r="S551" s="11"/>
      <c r="T551" s="11"/>
      <c r="U551" s="11"/>
      <c r="V551" s="11"/>
      <c r="W551" s="11"/>
      <c r="X551" s="464"/>
      <c r="Y551" s="464"/>
      <c r="Z551" s="464"/>
      <c r="AA551" s="462"/>
      <c r="AB551" s="462"/>
      <c r="AC551" s="462"/>
      <c r="AD551" s="462"/>
      <c r="AE551" s="11"/>
      <c r="AF551" s="2355">
        <f>'Sources and Uses Budget'!S107+'Sources and Uses Budget'!T107</f>
        <v>73990303</v>
      </c>
      <c r="AG551" s="2355"/>
      <c r="AH551" s="2355"/>
      <c r="AI551" s="2355"/>
      <c r="AJ551" s="2355"/>
      <c r="AK551" s="437"/>
      <c r="AL551" s="437"/>
      <c r="AM551" s="437"/>
      <c r="AN551" s="439"/>
    </row>
    <row r="552" spans="1:49" s="398" customFormat="1" ht="12.75" customHeight="1">
      <c r="A552" s="465"/>
      <c r="B552" s="465" t="s">
        <v>2442</v>
      </c>
      <c r="C552" s="464"/>
      <c r="D552" s="464"/>
      <c r="E552" s="466"/>
      <c r="F552" s="466"/>
      <c r="G552" s="466"/>
      <c r="H552" s="466"/>
      <c r="I552" s="466"/>
      <c r="J552" s="466"/>
      <c r="K552" s="466"/>
      <c r="L552" s="464"/>
      <c r="M552" s="466"/>
      <c r="N552" s="466"/>
      <c r="O552" s="466"/>
      <c r="P552" s="466"/>
      <c r="Q552" s="466"/>
      <c r="R552" s="11"/>
      <c r="S552" s="11"/>
      <c r="T552" s="11"/>
      <c r="U552" s="11"/>
      <c r="V552" s="11"/>
      <c r="W552" s="11"/>
      <c r="X552" s="464"/>
      <c r="Y552" s="464"/>
      <c r="Z552" s="464"/>
      <c r="AA552" s="462"/>
      <c r="AB552" s="462"/>
      <c r="AC552" s="462"/>
      <c r="AD552" s="462"/>
      <c r="AE552" s="11"/>
      <c r="AF552" s="2356">
        <f>IFERROR(AP559,0)</f>
        <v>110994189.8</v>
      </c>
      <c r="AG552" s="2356"/>
      <c r="AH552" s="2356"/>
      <c r="AI552" s="2356"/>
      <c r="AJ552" s="2356"/>
      <c r="AK552" s="437"/>
      <c r="AL552" s="437"/>
      <c r="AM552" s="437"/>
      <c r="AN552" s="439"/>
      <c r="AP552" s="2349">
        <f>Application!AJ1045</f>
        <v>8459413.5999999996</v>
      </c>
      <c r="AQ552" s="2349"/>
      <c r="AR552" s="2349"/>
      <c r="AS552" s="398" t="s">
        <v>1706</v>
      </c>
    </row>
    <row r="553" spans="1:49" s="398" customFormat="1" ht="12.75" customHeight="1">
      <c r="A553" s="464"/>
      <c r="B553" s="464" t="s">
        <v>1634</v>
      </c>
      <c r="C553" s="464"/>
      <c r="D553" s="464"/>
      <c r="E553" s="464"/>
      <c r="F553" s="464"/>
      <c r="G553" s="464"/>
      <c r="H553" s="464"/>
      <c r="I553" s="464"/>
      <c r="J553" s="464"/>
      <c r="K553" s="464"/>
      <c r="L553" s="464"/>
      <c r="M553" s="464"/>
      <c r="N553" s="464"/>
      <c r="O553" s="464"/>
      <c r="P553" s="464"/>
      <c r="Q553" s="464"/>
      <c r="R553" s="11"/>
      <c r="S553" s="11"/>
      <c r="T553" s="11"/>
      <c r="U553" s="11"/>
      <c r="V553" s="11"/>
      <c r="W553" s="11"/>
      <c r="X553" s="464"/>
      <c r="Y553" s="464"/>
      <c r="Z553" s="464"/>
      <c r="AA553" s="462"/>
      <c r="AB553" s="462"/>
      <c r="AC553" s="462"/>
      <c r="AD553" s="462"/>
      <c r="AE553" s="11"/>
      <c r="AF553" s="2357">
        <f>IFERROR(ROUNDDOWN(IF(C544="YES",((1-(AF551/AF552))*2),(1-(AF551/AF552))),2),0)</f>
        <v>0.66</v>
      </c>
      <c r="AG553" s="2357"/>
      <c r="AH553" s="2357"/>
      <c r="AI553" s="2357"/>
      <c r="AJ553" s="2357"/>
      <c r="AK553" s="437"/>
      <c r="AL553" s="437"/>
      <c r="AM553" s="437"/>
      <c r="AN553" s="439"/>
      <c r="AP553" s="2345">
        <f>Application!AJ1049</f>
        <v>16918827.199999999</v>
      </c>
      <c r="AQ553" s="2345"/>
      <c r="AR553" s="2345"/>
      <c r="AS553" s="398" t="s">
        <v>1716</v>
      </c>
    </row>
    <row r="554" spans="1:49" s="398" customFormat="1" ht="12.75" customHeight="1">
      <c r="A554" s="464"/>
      <c r="B554" s="464"/>
      <c r="C554" s="464"/>
      <c r="D554" s="464"/>
      <c r="E554" s="464"/>
      <c r="F554" s="464"/>
      <c r="G554" s="464"/>
      <c r="H554" s="464"/>
      <c r="I554" s="464"/>
      <c r="J554" s="464"/>
      <c r="K554" s="464"/>
      <c r="L554" s="464"/>
      <c r="M554" s="464"/>
      <c r="N554" s="464"/>
      <c r="O554" s="464"/>
      <c r="P554" s="464"/>
      <c r="Q554" s="464"/>
      <c r="R554" s="11"/>
      <c r="S554" s="11"/>
      <c r="T554" s="11"/>
      <c r="U554" s="11"/>
      <c r="V554" s="11"/>
      <c r="W554" s="11"/>
      <c r="X554" s="464"/>
      <c r="Y554" s="464"/>
      <c r="Z554" s="464"/>
      <c r="AA554" s="462"/>
      <c r="AB554" s="462"/>
      <c r="AC554" s="462"/>
      <c r="AD554" s="462"/>
      <c r="AE554" s="11"/>
      <c r="AF554" s="645"/>
      <c r="AG554" s="645"/>
      <c r="AH554" s="645"/>
      <c r="AI554" s="645"/>
      <c r="AJ554" s="645"/>
      <c r="AK554" s="437"/>
      <c r="AL554" s="437"/>
      <c r="AM554" s="437"/>
      <c r="AN554" s="439"/>
      <c r="AP554" s="2364">
        <f>IF(((AP552+AP553)/AP550)&gt;0.8,0.8,((AP552+AP553)/AP550))</f>
        <v>0.32999999999999996</v>
      </c>
      <c r="AQ554" s="2364"/>
      <c r="AR554" s="2364"/>
      <c r="AS554" s="398" t="s">
        <v>2443</v>
      </c>
    </row>
    <row r="555" spans="1:49" s="398" customFormat="1" ht="12.75" customHeight="1">
      <c r="A555" s="464"/>
      <c r="B555" s="2431" t="s">
        <v>2444</v>
      </c>
      <c r="C555" s="2432"/>
      <c r="D555" s="2432"/>
      <c r="E555" s="2432"/>
      <c r="F555" s="2432"/>
      <c r="G555" s="2432"/>
      <c r="H555" s="2432"/>
      <c r="I555" s="2432"/>
      <c r="J555" s="2432"/>
      <c r="K555" s="2432"/>
      <c r="L555" s="2432"/>
      <c r="M555" s="2432"/>
      <c r="N555" s="2432"/>
      <c r="O555" s="2432"/>
      <c r="P555" s="2432"/>
      <c r="Q555" s="2432"/>
      <c r="R555" s="2432"/>
      <c r="S555" s="2432"/>
      <c r="T555" s="2432"/>
      <c r="U555" s="2432"/>
      <c r="V555" s="2432"/>
      <c r="W555" s="2432"/>
      <c r="X555" s="2432"/>
      <c r="Y555" s="2432"/>
      <c r="Z555" s="2432"/>
      <c r="AA555" s="2432"/>
      <c r="AB555" s="2432"/>
      <c r="AC555" s="2432"/>
      <c r="AD555" s="2432"/>
      <c r="AE555" s="2432"/>
      <c r="AF555" s="2432"/>
      <c r="AG555" s="2432"/>
      <c r="AH555" s="2432"/>
      <c r="AI555" s="2432"/>
      <c r="AJ555" s="2433"/>
      <c r="AK555" s="437"/>
      <c r="AL555" s="437"/>
      <c r="AM555" s="437"/>
      <c r="AN555" s="439"/>
    </row>
    <row r="556" spans="1:49" s="398" customFormat="1" ht="12.75" customHeight="1">
      <c r="A556" s="464"/>
      <c r="B556" s="2434"/>
      <c r="C556" s="2435"/>
      <c r="D556" s="2435"/>
      <c r="E556" s="2435"/>
      <c r="F556" s="2435"/>
      <c r="G556" s="2435"/>
      <c r="H556" s="2435"/>
      <c r="I556" s="2435"/>
      <c r="J556" s="2435"/>
      <c r="K556" s="2435"/>
      <c r="L556" s="2435"/>
      <c r="M556" s="2435"/>
      <c r="N556" s="2435"/>
      <c r="O556" s="2435"/>
      <c r="P556" s="2435"/>
      <c r="Q556" s="2435"/>
      <c r="R556" s="2435"/>
      <c r="S556" s="2435"/>
      <c r="T556" s="2435"/>
      <c r="U556" s="2435"/>
      <c r="V556" s="2435"/>
      <c r="W556" s="2435"/>
      <c r="X556" s="2435"/>
      <c r="Y556" s="2435"/>
      <c r="Z556" s="2435"/>
      <c r="AA556" s="2435"/>
      <c r="AB556" s="2435"/>
      <c r="AC556" s="2435"/>
      <c r="AD556" s="2435"/>
      <c r="AE556" s="2435"/>
      <c r="AF556" s="2435"/>
      <c r="AG556" s="2435"/>
      <c r="AH556" s="2435"/>
      <c r="AI556" s="2435"/>
      <c r="AJ556" s="2436"/>
      <c r="AK556" s="437"/>
      <c r="AL556" s="437"/>
      <c r="AM556" s="437"/>
      <c r="AN556" s="439"/>
      <c r="AP556" s="2349">
        <f>AP557-AP552-AP553</f>
        <v>85615949</v>
      </c>
      <c r="AQ556" s="2365"/>
      <c r="AR556" s="2365"/>
      <c r="AS556" s="398" t="s">
        <v>2445</v>
      </c>
    </row>
    <row r="557" spans="1:49" s="398" customFormat="1" ht="12.75" customHeight="1">
      <c r="A557" s="464"/>
      <c r="B557" s="2437"/>
      <c r="C557" s="2438"/>
      <c r="D557" s="2438"/>
      <c r="E557" s="2438"/>
      <c r="F557" s="2438"/>
      <c r="G557" s="2438"/>
      <c r="H557" s="2438"/>
      <c r="I557" s="2438"/>
      <c r="J557" s="2438"/>
      <c r="K557" s="2438"/>
      <c r="L557" s="2438"/>
      <c r="M557" s="2438"/>
      <c r="N557" s="2438"/>
      <c r="O557" s="2438"/>
      <c r="P557" s="2438"/>
      <c r="Q557" s="2438"/>
      <c r="R557" s="2438"/>
      <c r="S557" s="2438"/>
      <c r="T557" s="2438"/>
      <c r="U557" s="2438"/>
      <c r="V557" s="2438"/>
      <c r="W557" s="2438"/>
      <c r="X557" s="2438"/>
      <c r="Y557" s="2438"/>
      <c r="Z557" s="2438"/>
      <c r="AA557" s="2438"/>
      <c r="AB557" s="2438"/>
      <c r="AC557" s="2438"/>
      <c r="AD557" s="2438"/>
      <c r="AE557" s="2438"/>
      <c r="AF557" s="2438"/>
      <c r="AG557" s="2438"/>
      <c r="AH557" s="2438"/>
      <c r="AI557" s="2438"/>
      <c r="AJ557" s="2439"/>
      <c r="AK557" s="437"/>
      <c r="AL557" s="437"/>
      <c r="AM557" s="437"/>
      <c r="AN557" s="439"/>
      <c r="AP557" s="2349">
        <f>Application!AJ1053</f>
        <v>110994189.8</v>
      </c>
      <c r="AQ557" s="2349"/>
      <c r="AR557" s="2349"/>
      <c r="AS557" s="398" t="s">
        <v>2446</v>
      </c>
    </row>
    <row r="558" spans="1:49" s="398" customFormat="1" ht="12.75" customHeight="1">
      <c r="B558" s="399"/>
      <c r="C558" s="399"/>
      <c r="D558" s="399"/>
      <c r="E558" s="399"/>
      <c r="F558" s="399"/>
      <c r="G558" s="399"/>
      <c r="H558" s="399"/>
      <c r="I558" s="399"/>
      <c r="J558" s="399"/>
      <c r="K558" s="399"/>
      <c r="L558" s="399"/>
      <c r="M558" s="399"/>
      <c r="N558" s="399"/>
      <c r="O558" s="399"/>
      <c r="P558" s="399"/>
      <c r="Q558" s="399"/>
      <c r="R558" s="399"/>
      <c r="S558" s="399"/>
      <c r="T558" s="399"/>
      <c r="U558" s="399"/>
      <c r="V558" s="399"/>
      <c r="W558" s="399"/>
      <c r="X558" s="399"/>
      <c r="Y558" s="399"/>
      <c r="Z558" s="399"/>
      <c r="AA558" s="399"/>
      <c r="AB558" s="399"/>
      <c r="AC558" s="456"/>
      <c r="AD558" s="399"/>
      <c r="AI558" s="1200"/>
      <c r="AJ558" s="1200"/>
      <c r="AK558" s="437"/>
      <c r="AL558" s="437"/>
      <c r="AM558" s="437"/>
      <c r="AN558" s="439"/>
    </row>
    <row r="559" spans="1:49" s="398" customFormat="1" ht="12.75" customHeight="1">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c r="AA559" s="468"/>
      <c r="AB559" s="468"/>
      <c r="AC559" s="468"/>
      <c r="AD559" s="468"/>
      <c r="AE559" s="468"/>
      <c r="AF559" s="468"/>
      <c r="AG559" s="468"/>
      <c r="AH559" s="469"/>
      <c r="AI559" s="411"/>
      <c r="AJ559" s="411" t="s">
        <v>2447</v>
      </c>
      <c r="AK559" s="2440">
        <f>IFERROR(IF(AND(C541="N/A",C544="N/A"),0,IF(AF553=0,0,IF((AF553*100)&gt;12,12,(AF553*100)))),0)</f>
        <v>12</v>
      </c>
      <c r="AL559" s="2440"/>
      <c r="AM559" s="2441"/>
      <c r="AN559" s="439"/>
      <c r="AP559" s="2334">
        <f>AP556+(AP550*AP554)</f>
        <v>110994189.8</v>
      </c>
      <c r="AQ559" s="2335"/>
      <c r="AR559" s="2336"/>
    </row>
    <row r="560" spans="1:49" s="398" customFormat="1" ht="12.75" customHeight="1" thickBo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c r="AA560" s="590"/>
      <c r="AB560" s="590"/>
      <c r="AC560" s="590"/>
      <c r="AD560" s="590"/>
      <c r="AE560" s="590"/>
      <c r="AF560" s="590"/>
      <c r="AG560" s="590"/>
      <c r="AH560" s="590"/>
      <c r="AI560" s="590"/>
      <c r="AJ560" s="590"/>
      <c r="AK560" s="590"/>
      <c r="AL560" s="590"/>
      <c r="AM560" s="591"/>
      <c r="AN560" s="439"/>
    </row>
    <row r="561" spans="1:42" s="398" customFormat="1" ht="12.75" customHeight="1" thickTop="1">
      <c r="A561" s="503"/>
      <c r="B561" s="504"/>
      <c r="C561" s="503"/>
      <c r="D561" s="504"/>
      <c r="E561" s="504"/>
      <c r="F561" s="504"/>
      <c r="G561" s="504"/>
      <c r="H561" s="504"/>
      <c r="I561" s="504"/>
      <c r="J561" s="504"/>
      <c r="K561" s="504"/>
      <c r="L561" s="504"/>
      <c r="M561" s="504"/>
      <c r="N561" s="504"/>
      <c r="O561" s="504"/>
      <c r="P561" s="504"/>
      <c r="Q561" s="504"/>
      <c r="R561" s="504"/>
      <c r="S561" s="504"/>
      <c r="T561" s="504"/>
      <c r="U561" s="504"/>
      <c r="V561" s="504"/>
      <c r="W561" s="504"/>
      <c r="X561" s="504"/>
      <c r="Y561" s="504"/>
      <c r="Z561" s="504"/>
      <c r="AA561" s="504"/>
      <c r="AB561" s="504"/>
      <c r="AC561" s="505"/>
      <c r="AD561" s="505"/>
      <c r="AE561" s="505"/>
      <c r="AF561" s="504"/>
      <c r="AG561" s="504"/>
      <c r="AH561" s="504"/>
      <c r="AI561" s="504"/>
      <c r="AJ561" s="504"/>
      <c r="AK561" s="504"/>
      <c r="AL561" s="504"/>
      <c r="AM561" s="506"/>
      <c r="AN561" s="439"/>
    </row>
    <row r="562" spans="1:42" s="398" customFormat="1" ht="12.75" customHeight="1">
      <c r="A562" s="387" t="s">
        <v>2448</v>
      </c>
      <c r="C562" s="387"/>
      <c r="D562" s="445"/>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5"/>
      <c r="AA562" s="445"/>
      <c r="AB562" s="445"/>
      <c r="AC562" s="445"/>
      <c r="AD562" s="445"/>
      <c r="AE562" s="2391" t="s">
        <v>2147</v>
      </c>
      <c r="AF562" s="2391"/>
      <c r="AG562" s="2391"/>
      <c r="AH562" s="2391"/>
      <c r="AI562" s="2391"/>
      <c r="AJ562" s="2391"/>
      <c r="AK562" s="2391"/>
      <c r="AL562" s="1197"/>
      <c r="AM562" s="445"/>
      <c r="AN562" s="439"/>
    </row>
    <row r="563" spans="1:42" s="398" customFormat="1" ht="12.75" customHeight="1">
      <c r="C563" s="445"/>
      <c r="D563" s="445"/>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5"/>
      <c r="AA563" s="445"/>
      <c r="AB563" s="445"/>
      <c r="AC563" s="445"/>
      <c r="AD563" s="445"/>
      <c r="AE563" s="445"/>
      <c r="AF563" s="445"/>
      <c r="AG563" s="445"/>
      <c r="AH563" s="445"/>
      <c r="AI563" s="445"/>
      <c r="AJ563" s="445"/>
      <c r="AK563" s="445"/>
      <c r="AL563" s="445"/>
      <c r="AM563" s="445"/>
      <c r="AN563" s="439"/>
    </row>
    <row r="564" spans="1:42" s="398" customFormat="1" ht="12.75" customHeight="1">
      <c r="A564" s="445"/>
      <c r="B564" s="2351" t="s">
        <v>2449</v>
      </c>
      <c r="C564" s="2351"/>
      <c r="D564" s="2351"/>
      <c r="E564" s="2351"/>
      <c r="F564" s="2351"/>
      <c r="G564" s="2351"/>
      <c r="H564" s="2351"/>
      <c r="I564" s="2351"/>
      <c r="J564" s="2351"/>
      <c r="K564" s="2351"/>
      <c r="L564" s="2351"/>
      <c r="M564" s="2351"/>
      <c r="N564" s="2351"/>
      <c r="O564" s="2351"/>
      <c r="P564" s="2351"/>
      <c r="Q564" s="2351"/>
      <c r="R564" s="2351"/>
      <c r="S564" s="2351"/>
      <c r="T564" s="2351"/>
      <c r="U564" s="2351"/>
      <c r="V564" s="2351"/>
      <c r="W564" s="2351"/>
      <c r="X564" s="2351"/>
      <c r="Y564" s="2351"/>
      <c r="Z564" s="2351"/>
      <c r="AA564" s="2351"/>
      <c r="AB564" s="2351"/>
      <c r="AC564" s="2351"/>
      <c r="AD564" s="2351"/>
      <c r="AE564" s="2351"/>
      <c r="AF564" s="2351"/>
      <c r="AG564" s="2351"/>
      <c r="AH564" s="2351"/>
      <c r="AI564" s="2351"/>
      <c r="AJ564" s="2351"/>
      <c r="AK564" s="481"/>
      <c r="AL564" s="1194"/>
      <c r="AM564" s="445"/>
      <c r="AN564" s="439"/>
    </row>
    <row r="565" spans="1:42" s="398" customFormat="1" ht="12.75" customHeight="1">
      <c r="A565" s="445"/>
      <c r="B565" s="2351"/>
      <c r="C565" s="2351"/>
      <c r="D565" s="2351"/>
      <c r="E565" s="2351"/>
      <c r="F565" s="2351"/>
      <c r="G565" s="2351"/>
      <c r="H565" s="2351"/>
      <c r="I565" s="2351"/>
      <c r="J565" s="2351"/>
      <c r="K565" s="2351"/>
      <c r="L565" s="2351"/>
      <c r="M565" s="2351"/>
      <c r="N565" s="2351"/>
      <c r="O565" s="2351"/>
      <c r="P565" s="2351"/>
      <c r="Q565" s="2351"/>
      <c r="R565" s="2351"/>
      <c r="S565" s="2351"/>
      <c r="T565" s="2351"/>
      <c r="U565" s="2351"/>
      <c r="V565" s="2351"/>
      <c r="W565" s="2351"/>
      <c r="X565" s="2351"/>
      <c r="Y565" s="2351"/>
      <c r="Z565" s="2351"/>
      <c r="AA565" s="2351"/>
      <c r="AB565" s="2351"/>
      <c r="AC565" s="2351"/>
      <c r="AD565" s="2351"/>
      <c r="AE565" s="2351"/>
      <c r="AF565" s="2351"/>
      <c r="AG565" s="2351"/>
      <c r="AH565" s="2351"/>
      <c r="AI565" s="2351"/>
      <c r="AJ565" s="2351"/>
      <c r="AK565" s="481"/>
      <c r="AL565" s="1194"/>
      <c r="AM565" s="445"/>
      <c r="AN565" s="439"/>
    </row>
    <row r="566" spans="1:42" s="398" customFormat="1" ht="12.75" customHeight="1">
      <c r="A566" s="445"/>
      <c r="B566" s="2351"/>
      <c r="C566" s="2351"/>
      <c r="D566" s="2351"/>
      <c r="E566" s="2351"/>
      <c r="F566" s="2351"/>
      <c r="G566" s="2351"/>
      <c r="H566" s="2351"/>
      <c r="I566" s="2351"/>
      <c r="J566" s="2351"/>
      <c r="K566" s="2351"/>
      <c r="L566" s="2351"/>
      <c r="M566" s="2351"/>
      <c r="N566" s="2351"/>
      <c r="O566" s="2351"/>
      <c r="P566" s="2351"/>
      <c r="Q566" s="2351"/>
      <c r="R566" s="2351"/>
      <c r="S566" s="2351"/>
      <c r="T566" s="2351"/>
      <c r="U566" s="2351"/>
      <c r="V566" s="2351"/>
      <c r="W566" s="2351"/>
      <c r="X566" s="2351"/>
      <c r="Y566" s="2351"/>
      <c r="Z566" s="2351"/>
      <c r="AA566" s="2351"/>
      <c r="AB566" s="2351"/>
      <c r="AC566" s="2351"/>
      <c r="AD566" s="2351"/>
      <c r="AE566" s="2351"/>
      <c r="AF566" s="2351"/>
      <c r="AG566" s="2351"/>
      <c r="AH566" s="2351"/>
      <c r="AI566" s="2351"/>
      <c r="AJ566" s="2351"/>
      <c r="AK566" s="481"/>
      <c r="AL566" s="1194"/>
      <c r="AM566" s="445"/>
      <c r="AN566" s="439"/>
    </row>
    <row r="567" spans="1:42" s="398" customFormat="1" ht="12.75" customHeight="1">
      <c r="A567" s="445"/>
      <c r="B567" s="2351"/>
      <c r="C567" s="2351"/>
      <c r="D567" s="2351"/>
      <c r="E567" s="2351"/>
      <c r="F567" s="2351"/>
      <c r="G567" s="2351"/>
      <c r="H567" s="2351"/>
      <c r="I567" s="2351"/>
      <c r="J567" s="2351"/>
      <c r="K567" s="2351"/>
      <c r="L567" s="2351"/>
      <c r="M567" s="2351"/>
      <c r="N567" s="2351"/>
      <c r="O567" s="2351"/>
      <c r="P567" s="2351"/>
      <c r="Q567" s="2351"/>
      <c r="R567" s="2351"/>
      <c r="S567" s="2351"/>
      <c r="T567" s="2351"/>
      <c r="U567" s="2351"/>
      <c r="V567" s="2351"/>
      <c r="W567" s="2351"/>
      <c r="X567" s="2351"/>
      <c r="Y567" s="2351"/>
      <c r="Z567" s="2351"/>
      <c r="AA567" s="2351"/>
      <c r="AB567" s="2351"/>
      <c r="AC567" s="2351"/>
      <c r="AD567" s="2351"/>
      <c r="AE567" s="2351"/>
      <c r="AF567" s="2351"/>
      <c r="AG567" s="2351"/>
      <c r="AH567" s="2351"/>
      <c r="AI567" s="2351"/>
      <c r="AJ567" s="2351"/>
      <c r="AK567" s="481"/>
      <c r="AL567" s="1194"/>
      <c r="AM567" s="445"/>
      <c r="AN567" s="439"/>
    </row>
    <row r="568" spans="1:42" s="398" customFormat="1" ht="12.75" customHeight="1">
      <c r="A568" s="445"/>
      <c r="B568" s="2351"/>
      <c r="C568" s="2351"/>
      <c r="D568" s="2351"/>
      <c r="E568" s="2351"/>
      <c r="F568" s="2351"/>
      <c r="G568" s="2351"/>
      <c r="H568" s="2351"/>
      <c r="I568" s="2351"/>
      <c r="J568" s="2351"/>
      <c r="K568" s="2351"/>
      <c r="L568" s="2351"/>
      <c r="M568" s="2351"/>
      <c r="N568" s="2351"/>
      <c r="O568" s="2351"/>
      <c r="P568" s="2351"/>
      <c r="Q568" s="2351"/>
      <c r="R568" s="2351"/>
      <c r="S568" s="2351"/>
      <c r="T568" s="2351"/>
      <c r="U568" s="2351"/>
      <c r="V568" s="2351"/>
      <c r="W568" s="2351"/>
      <c r="X568" s="2351"/>
      <c r="Y568" s="2351"/>
      <c r="Z568" s="2351"/>
      <c r="AA568" s="2351"/>
      <c r="AB568" s="2351"/>
      <c r="AC568" s="2351"/>
      <c r="AD568" s="2351"/>
      <c r="AE568" s="2351"/>
      <c r="AF568" s="2351"/>
      <c r="AG568" s="2351"/>
      <c r="AH568" s="2351"/>
      <c r="AI568" s="2351"/>
      <c r="AJ568" s="2351"/>
      <c r="AK568" s="481"/>
      <c r="AL568" s="1194"/>
      <c r="AM568" s="445"/>
      <c r="AN568" s="439"/>
    </row>
    <row r="569" spans="1:42" s="398" customFormat="1" ht="12.75" customHeight="1">
      <c r="A569" s="445"/>
      <c r="B569" s="2351"/>
      <c r="C569" s="2351"/>
      <c r="D569" s="2351"/>
      <c r="E569" s="2351"/>
      <c r="F569" s="2351"/>
      <c r="G569" s="2351"/>
      <c r="H569" s="2351"/>
      <c r="I569" s="2351"/>
      <c r="J569" s="2351"/>
      <c r="K569" s="2351"/>
      <c r="L569" s="2351"/>
      <c r="M569" s="2351"/>
      <c r="N569" s="2351"/>
      <c r="O569" s="2351"/>
      <c r="P569" s="2351"/>
      <c r="Q569" s="2351"/>
      <c r="R569" s="2351"/>
      <c r="S569" s="2351"/>
      <c r="T569" s="2351"/>
      <c r="U569" s="2351"/>
      <c r="V569" s="2351"/>
      <c r="W569" s="2351"/>
      <c r="X569" s="2351"/>
      <c r="Y569" s="2351"/>
      <c r="Z569" s="2351"/>
      <c r="AA569" s="2351"/>
      <c r="AB569" s="2351"/>
      <c r="AC569" s="2351"/>
      <c r="AD569" s="2351"/>
      <c r="AE569" s="2351"/>
      <c r="AF569" s="2351"/>
      <c r="AG569" s="2351"/>
      <c r="AH569" s="2351"/>
      <c r="AI569" s="2351"/>
      <c r="AJ569" s="2351"/>
      <c r="AK569" s="481"/>
      <c r="AL569" s="1194"/>
      <c r="AM569" s="445"/>
      <c r="AN569" s="439"/>
    </row>
    <row r="570" spans="1:42" s="398" customFormat="1" ht="12.75" customHeight="1">
      <c r="A570" s="445"/>
      <c r="B570" s="2351"/>
      <c r="C570" s="2351"/>
      <c r="D570" s="2351"/>
      <c r="E570" s="2351"/>
      <c r="F570" s="2351"/>
      <c r="G570" s="2351"/>
      <c r="H570" s="2351"/>
      <c r="I570" s="2351"/>
      <c r="J570" s="2351"/>
      <c r="K570" s="2351"/>
      <c r="L570" s="2351"/>
      <c r="M570" s="2351"/>
      <c r="N570" s="2351"/>
      <c r="O570" s="2351"/>
      <c r="P570" s="2351"/>
      <c r="Q570" s="2351"/>
      <c r="R570" s="2351"/>
      <c r="S570" s="2351"/>
      <c r="T570" s="2351"/>
      <c r="U570" s="2351"/>
      <c r="V570" s="2351"/>
      <c r="W570" s="2351"/>
      <c r="X570" s="2351"/>
      <c r="Y570" s="2351"/>
      <c r="Z570" s="2351"/>
      <c r="AA570" s="2351"/>
      <c r="AB570" s="2351"/>
      <c r="AC570" s="2351"/>
      <c r="AD570" s="2351"/>
      <c r="AE570" s="2351"/>
      <c r="AF570" s="2351"/>
      <c r="AG570" s="2351"/>
      <c r="AH570" s="2351"/>
      <c r="AI570" s="2351"/>
      <c r="AJ570" s="2351"/>
      <c r="AK570" s="481"/>
      <c r="AL570" s="1194"/>
      <c r="AM570" s="445"/>
      <c r="AN570" s="439"/>
    </row>
    <row r="571" spans="1:42" ht="12.75" customHeight="1">
      <c r="A571" s="445"/>
      <c r="B571" s="2351"/>
      <c r="C571" s="2351"/>
      <c r="D571" s="2351"/>
      <c r="E571" s="2351"/>
      <c r="F571" s="2351"/>
      <c r="G571" s="2351"/>
      <c r="H571" s="2351"/>
      <c r="I571" s="2351"/>
      <c r="J571" s="2351"/>
      <c r="K571" s="2351"/>
      <c r="L571" s="2351"/>
      <c r="M571" s="2351"/>
      <c r="N571" s="2351"/>
      <c r="O571" s="2351"/>
      <c r="P571" s="2351"/>
      <c r="Q571" s="2351"/>
      <c r="R571" s="2351"/>
      <c r="S571" s="2351"/>
      <c r="T571" s="2351"/>
      <c r="U571" s="2351"/>
      <c r="V571" s="2351"/>
      <c r="W571" s="2351"/>
      <c r="X571" s="2351"/>
      <c r="Y571" s="2351"/>
      <c r="Z571" s="2351"/>
      <c r="AA571" s="2351"/>
      <c r="AB571" s="2351"/>
      <c r="AC571" s="2351"/>
      <c r="AD571" s="2351"/>
      <c r="AE571" s="2351"/>
      <c r="AF571" s="2351"/>
      <c r="AG571" s="2351"/>
      <c r="AH571" s="2351"/>
      <c r="AI571" s="2351"/>
      <c r="AJ571" s="2351"/>
      <c r="AK571" s="481"/>
      <c r="AL571" s="1194"/>
      <c r="AM571" s="445"/>
    </row>
    <row r="572" spans="1:42" s="398" customFormat="1" ht="12.75" customHeight="1">
      <c r="B572" s="2351"/>
      <c r="C572" s="2351"/>
      <c r="D572" s="2351"/>
      <c r="E572" s="2351"/>
      <c r="F572" s="2351"/>
      <c r="G572" s="2351"/>
      <c r="H572" s="2351"/>
      <c r="I572" s="2351"/>
      <c r="J572" s="2351"/>
      <c r="K572" s="2351"/>
      <c r="L572" s="2351"/>
      <c r="M572" s="2351"/>
      <c r="N572" s="2351"/>
      <c r="O572" s="2351"/>
      <c r="P572" s="2351"/>
      <c r="Q572" s="2351"/>
      <c r="R572" s="2351"/>
      <c r="S572" s="2351"/>
      <c r="T572" s="2351"/>
      <c r="U572" s="2351"/>
      <c r="V572" s="2351"/>
      <c r="W572" s="2351"/>
      <c r="X572" s="2351"/>
      <c r="Y572" s="2351"/>
      <c r="Z572" s="2351"/>
      <c r="AA572" s="2351"/>
      <c r="AB572" s="2351"/>
      <c r="AC572" s="2351"/>
      <c r="AD572" s="2351"/>
      <c r="AE572" s="2351"/>
      <c r="AF572" s="2351"/>
      <c r="AG572" s="2351"/>
      <c r="AH572" s="2351"/>
      <c r="AI572" s="2351"/>
      <c r="AJ572" s="2351"/>
      <c r="AK572" s="481"/>
      <c r="AL572" s="1194"/>
      <c r="AN572" s="439"/>
    </row>
    <row r="573" spans="1:42" s="398" customFormat="1" ht="12.75" customHeight="1">
      <c r="B573" s="481"/>
      <c r="C573" s="481"/>
      <c r="D573" s="481"/>
      <c r="E573" s="481"/>
      <c r="F573" s="481"/>
      <c r="G573" s="481"/>
      <c r="H573" s="481"/>
      <c r="I573" s="481"/>
      <c r="J573" s="481"/>
      <c r="K573" s="481"/>
      <c r="L573" s="481"/>
      <c r="M573" s="481"/>
      <c r="N573" s="481"/>
      <c r="O573" s="481"/>
      <c r="P573" s="481"/>
      <c r="Q573" s="481"/>
      <c r="R573" s="481"/>
      <c r="S573" s="481"/>
      <c r="T573" s="481"/>
      <c r="U573" s="481"/>
      <c r="V573" s="481"/>
      <c r="W573" s="481"/>
      <c r="X573" s="481"/>
      <c r="Y573" s="481"/>
      <c r="Z573" s="481"/>
      <c r="AA573" s="481"/>
      <c r="AB573" s="481"/>
      <c r="AC573" s="481"/>
      <c r="AD573" s="481"/>
      <c r="AE573" s="481"/>
      <c r="AF573" s="481"/>
      <c r="AG573" s="481"/>
      <c r="AH573" s="481"/>
      <c r="AI573" s="481"/>
      <c r="AJ573" s="481"/>
      <c r="AK573" s="481"/>
      <c r="AL573" s="1194"/>
      <c r="AN573" s="439"/>
    </row>
    <row r="574" spans="1:42" s="398" customFormat="1" ht="12.75" customHeight="1">
      <c r="B574" s="500" t="s">
        <v>2450</v>
      </c>
      <c r="C574" s="508"/>
      <c r="D574" s="1194"/>
      <c r="E574" s="1194"/>
      <c r="F574" s="1194"/>
      <c r="G574" s="1194"/>
      <c r="H574" s="1194"/>
      <c r="I574" s="1194"/>
      <c r="J574" s="1194"/>
      <c r="K574" s="1194"/>
      <c r="L574" s="1194"/>
      <c r="M574" s="1194"/>
      <c r="N574" s="1194"/>
      <c r="O574" s="1194"/>
      <c r="P574" s="1194"/>
      <c r="Q574" s="1194"/>
      <c r="R574" s="1194"/>
      <c r="S574" s="1194"/>
      <c r="T574" s="1194"/>
      <c r="U574" s="1194"/>
      <c r="V574" s="1194"/>
      <c r="W574" s="1194"/>
      <c r="X574" s="1194"/>
      <c r="Y574" s="1194"/>
      <c r="Z574" s="1194"/>
      <c r="AA574" s="1194"/>
      <c r="AB574" s="1194"/>
      <c r="AC574" s="1194"/>
      <c r="AD574" s="1194"/>
      <c r="AE574" s="1194"/>
      <c r="AF574" s="1194"/>
      <c r="AG574" s="1194"/>
      <c r="AH574" s="1194"/>
      <c r="AI574" s="1194"/>
      <c r="AN574" s="439"/>
      <c r="AP574" s="398" t="s">
        <v>810</v>
      </c>
    </row>
    <row r="575" spans="1:42" s="398" customFormat="1" ht="12.75" customHeight="1">
      <c r="B575" s="385"/>
      <c r="C575" s="508"/>
      <c r="D575" s="1194"/>
      <c r="E575" s="1194"/>
      <c r="F575" s="1194"/>
      <c r="G575" s="1194"/>
      <c r="H575" s="1194"/>
      <c r="I575" s="1194"/>
      <c r="J575" s="1194"/>
      <c r="K575" s="1194"/>
      <c r="L575" s="1194"/>
      <c r="M575" s="1194"/>
      <c r="N575" s="1194"/>
      <c r="O575" s="1194"/>
      <c r="P575" s="1194"/>
      <c r="Q575" s="1194"/>
      <c r="R575" s="1194"/>
      <c r="S575" s="1194"/>
      <c r="T575" s="1194"/>
      <c r="U575" s="1194"/>
      <c r="V575" s="1194"/>
      <c r="W575" s="1194"/>
      <c r="X575" s="1194"/>
      <c r="Y575" s="1194"/>
      <c r="Z575" s="1194"/>
      <c r="AA575" s="1194"/>
      <c r="AB575" s="1194"/>
      <c r="AC575" s="1194"/>
      <c r="AD575" s="1194"/>
      <c r="AE575" s="1194"/>
      <c r="AF575" s="1194"/>
      <c r="AG575" s="1194"/>
      <c r="AH575" s="1194"/>
      <c r="AI575" s="1194"/>
      <c r="AN575" s="439"/>
      <c r="AP575" s="398" t="s">
        <v>694</v>
      </c>
    </row>
    <row r="576" spans="1:42" s="398" customFormat="1" ht="12.75" customHeight="1">
      <c r="C576" s="388" t="s">
        <v>2451</v>
      </c>
      <c r="D576" s="509"/>
      <c r="E576" s="1194"/>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194"/>
      <c r="AI576" s="1194"/>
      <c r="AN576" s="439"/>
    </row>
    <row r="577" spans="1:42" s="398" customFormat="1" ht="12.75" customHeight="1">
      <c r="B577" s="385"/>
      <c r="C577" s="385"/>
      <c r="D577" s="1213"/>
      <c r="E577" s="1191"/>
      <c r="F577" s="1191"/>
      <c r="G577" s="1191"/>
      <c r="H577" s="1191"/>
      <c r="I577" s="1191"/>
      <c r="J577" s="1191"/>
      <c r="K577" s="1191"/>
      <c r="L577" s="1191"/>
      <c r="M577" s="1191"/>
      <c r="N577" s="1191"/>
      <c r="O577" s="1191"/>
      <c r="P577" s="1191"/>
      <c r="Q577" s="1191"/>
      <c r="R577" s="1191"/>
      <c r="S577" s="1191"/>
      <c r="T577" s="1191"/>
      <c r="U577" s="1191"/>
      <c r="V577" s="1191"/>
      <c r="W577" s="1191"/>
      <c r="X577" s="1191"/>
      <c r="Y577" s="1191"/>
      <c r="Z577" s="1191"/>
      <c r="AA577" s="1191"/>
      <c r="AB577" s="1191"/>
      <c r="AC577" s="1191"/>
      <c r="AD577" s="1191"/>
      <c r="AE577" s="1191"/>
      <c r="AF577" s="385"/>
      <c r="AG577" s="385"/>
      <c r="AH577" s="385"/>
      <c r="AI577" s="385"/>
      <c r="AJ577" s="385"/>
      <c r="AK577" s="385"/>
      <c r="AL577" s="385"/>
      <c r="AN577" s="439"/>
    </row>
    <row r="578" spans="1:42" s="398" customFormat="1" ht="12.75" customHeight="1">
      <c r="B578" s="385"/>
      <c r="C578" s="385"/>
      <c r="D578" s="500" t="s">
        <v>22</v>
      </c>
      <c r="E578" s="663" t="s">
        <v>2452</v>
      </c>
      <c r="F578" s="481"/>
      <c r="G578" s="481"/>
      <c r="H578" s="481"/>
      <c r="I578" s="481"/>
      <c r="J578" s="481"/>
      <c r="K578" s="481"/>
      <c r="L578" s="481"/>
      <c r="M578" s="481"/>
      <c r="N578" s="481"/>
      <c r="O578" s="481"/>
      <c r="P578" s="481"/>
      <c r="Q578" s="481"/>
      <c r="R578" s="481"/>
      <c r="S578" s="481"/>
      <c r="T578" s="481"/>
      <c r="U578" s="481"/>
      <c r="V578" s="481"/>
      <c r="W578" s="481"/>
      <c r="X578" s="481"/>
      <c r="Y578" s="481"/>
      <c r="Z578" s="481"/>
      <c r="AA578" s="481"/>
      <c r="AB578" s="481"/>
      <c r="AC578" s="385"/>
      <c r="AD578" s="385"/>
      <c r="AE578" s="385"/>
      <c r="AF578" s="2451" t="s">
        <v>2191</v>
      </c>
      <c r="AG578" s="2451"/>
      <c r="AH578" s="2451"/>
      <c r="AI578" s="2451"/>
      <c r="AJ578" s="2451"/>
      <c r="AK578" s="2451"/>
      <c r="AL578" s="2451"/>
      <c r="AN578" s="439"/>
    </row>
    <row r="579" spans="1:42" s="398" customFormat="1" ht="12.75" customHeight="1">
      <c r="B579" s="385"/>
      <c r="C579" s="456"/>
      <c r="D579" s="500"/>
      <c r="E579" s="663" t="s">
        <v>2453</v>
      </c>
      <c r="F579" s="481"/>
      <c r="G579" s="481"/>
      <c r="H579" s="481"/>
      <c r="I579" s="481"/>
      <c r="J579" s="481"/>
      <c r="K579" s="481"/>
      <c r="L579" s="481"/>
      <c r="M579" s="481"/>
      <c r="N579" s="481"/>
      <c r="O579" s="481"/>
      <c r="P579" s="481"/>
      <c r="Q579" s="481"/>
      <c r="R579" s="481"/>
      <c r="S579" s="481"/>
      <c r="T579" s="481"/>
      <c r="U579" s="481"/>
      <c r="V579" s="481"/>
      <c r="W579" s="481"/>
      <c r="X579" s="481"/>
      <c r="Y579" s="481"/>
      <c r="Z579" s="481"/>
      <c r="AA579" s="481"/>
      <c r="AB579" s="481"/>
      <c r="AC579" s="385"/>
      <c r="AD579" s="385"/>
      <c r="AE579" s="456"/>
      <c r="AF579" s="456"/>
      <c r="AG579" s="456"/>
      <c r="AH579" s="456"/>
      <c r="AI579" s="456"/>
      <c r="AJ579" s="456"/>
      <c r="AK579" s="456"/>
      <c r="AL579" s="456"/>
      <c r="AN579" s="439"/>
    </row>
    <row r="580" spans="1:42" s="398" customFormat="1" ht="12.75" customHeight="1">
      <c r="B580" s="385"/>
      <c r="C580" s="456"/>
      <c r="D580" s="500"/>
      <c r="E580" s="663" t="s">
        <v>2454</v>
      </c>
      <c r="F580" s="481"/>
      <c r="G580" s="481"/>
      <c r="H580" s="481"/>
      <c r="I580" s="481"/>
      <c r="J580" s="481"/>
      <c r="K580" s="481"/>
      <c r="L580" s="481"/>
      <c r="M580" s="481"/>
      <c r="N580" s="481"/>
      <c r="O580" s="481"/>
      <c r="P580" s="481"/>
      <c r="Q580" s="481"/>
      <c r="R580" s="481"/>
      <c r="S580" s="481"/>
      <c r="T580" s="481"/>
      <c r="U580" s="481"/>
      <c r="V580" s="481"/>
      <c r="W580" s="481"/>
      <c r="X580" s="481"/>
      <c r="Y580" s="481"/>
      <c r="Z580" s="481"/>
      <c r="AA580" s="481"/>
      <c r="AB580" s="481"/>
      <c r="AC580" s="385"/>
      <c r="AD580" s="385"/>
      <c r="AE580" s="456"/>
      <c r="AF580" s="456"/>
      <c r="AG580" s="456"/>
      <c r="AH580" s="456"/>
      <c r="AI580" s="456"/>
      <c r="AJ580" s="456"/>
      <c r="AK580" s="456"/>
      <c r="AL580" s="456"/>
      <c r="AN580" s="439"/>
    </row>
    <row r="581" spans="1:42" s="398" customFormat="1" ht="12.75" customHeight="1">
      <c r="B581" s="385"/>
      <c r="C581" s="456"/>
      <c r="D581" s="500"/>
      <c r="E581" s="663" t="s">
        <v>2455</v>
      </c>
      <c r="F581" s="481"/>
      <c r="G581" s="481"/>
      <c r="H581" s="481"/>
      <c r="I581" s="481"/>
      <c r="J581" s="481"/>
      <c r="K581" s="481"/>
      <c r="L581" s="481"/>
      <c r="M581" s="481"/>
      <c r="N581" s="481"/>
      <c r="O581" s="481"/>
      <c r="P581" s="481"/>
      <c r="Q581" s="481"/>
      <c r="R581" s="481"/>
      <c r="S581" s="481"/>
      <c r="T581" s="481"/>
      <c r="U581" s="481"/>
      <c r="V581" s="481"/>
      <c r="W581" s="481"/>
      <c r="X581" s="481"/>
      <c r="Y581" s="481"/>
      <c r="Z581" s="481"/>
      <c r="AA581" s="481"/>
      <c r="AB581" s="481"/>
      <c r="AC581" s="385"/>
      <c r="AD581" s="385"/>
      <c r="AE581" s="456"/>
      <c r="AF581" s="456"/>
      <c r="AG581" s="456"/>
      <c r="AH581" s="456"/>
      <c r="AI581" s="456"/>
      <c r="AJ581" s="456"/>
      <c r="AK581" s="456"/>
      <c r="AL581" s="456"/>
      <c r="AN581" s="439"/>
    </row>
    <row r="582" spans="1:42" s="398" customFormat="1" ht="12.75" customHeight="1">
      <c r="B582" s="385"/>
      <c r="C582" s="456"/>
      <c r="D582" s="500"/>
      <c r="E582" s="663" t="s">
        <v>2456</v>
      </c>
      <c r="F582" s="481"/>
      <c r="G582" s="481"/>
      <c r="H582" s="481"/>
      <c r="I582" s="481"/>
      <c r="J582" s="481"/>
      <c r="K582" s="481"/>
      <c r="L582" s="481"/>
      <c r="M582" s="481"/>
      <c r="N582" s="481"/>
      <c r="O582" s="481"/>
      <c r="P582" s="481"/>
      <c r="Q582" s="481"/>
      <c r="R582" s="481"/>
      <c r="S582" s="481"/>
      <c r="T582" s="481"/>
      <c r="U582" s="481"/>
      <c r="V582" s="481"/>
      <c r="W582" s="481"/>
      <c r="X582" s="481"/>
      <c r="Y582" s="481"/>
      <c r="Z582" s="481"/>
      <c r="AA582" s="481"/>
      <c r="AB582" s="481"/>
      <c r="AC582" s="385"/>
      <c r="AD582" s="385"/>
      <c r="AE582" s="456"/>
      <c r="AF582" s="456"/>
      <c r="AG582" s="456"/>
      <c r="AH582" s="456"/>
      <c r="AI582" s="456"/>
      <c r="AJ582" s="456"/>
      <c r="AK582" s="456"/>
      <c r="AL582" s="456"/>
      <c r="AN582" s="439"/>
      <c r="AO582" s="17" t="s">
        <v>2457</v>
      </c>
      <c r="AP582" s="398" t="b">
        <f>IF(Application!AF418&gt;=25,TRUE,FALSE)</f>
        <v>1</v>
      </c>
    </row>
    <row r="583" spans="1:42" s="398" customFormat="1" ht="12.75" customHeight="1">
      <c r="B583" s="385"/>
      <c r="C583" s="456"/>
      <c r="D583" s="500"/>
      <c r="E583" s="663" t="s">
        <v>2458</v>
      </c>
      <c r="F583" s="481"/>
      <c r="G583" s="481"/>
      <c r="H583" s="481"/>
      <c r="I583" s="481"/>
      <c r="J583" s="481"/>
      <c r="K583" s="481"/>
      <c r="L583" s="481"/>
      <c r="M583" s="481"/>
      <c r="N583" s="481"/>
      <c r="O583" s="481"/>
      <c r="P583" s="481"/>
      <c r="Q583" s="481"/>
      <c r="R583" s="481"/>
      <c r="S583" s="481"/>
      <c r="T583" s="481"/>
      <c r="U583" s="481"/>
      <c r="V583" s="481"/>
      <c r="W583" s="481"/>
      <c r="X583" s="481"/>
      <c r="Y583" s="481"/>
      <c r="Z583" s="481"/>
      <c r="AA583" s="481"/>
      <c r="AB583" s="481"/>
      <c r="AC583" s="385"/>
      <c r="AD583" s="385"/>
      <c r="AE583" s="456"/>
      <c r="AF583" s="456"/>
      <c r="AG583" s="456"/>
      <c r="AH583" s="456"/>
      <c r="AI583" s="456"/>
      <c r="AJ583" s="456"/>
      <c r="AK583" s="456"/>
      <c r="AL583" s="456"/>
      <c r="AN583" s="439"/>
      <c r="AO583" s="17" t="s">
        <v>781</v>
      </c>
      <c r="AP583" s="398" t="b">
        <f>Application!T199="Yes"</f>
        <v>0</v>
      </c>
    </row>
    <row r="584" spans="1:42" s="398" customFormat="1" ht="12.75" customHeight="1">
      <c r="B584" s="385"/>
      <c r="C584" s="456"/>
      <c r="D584" s="500"/>
      <c r="E584" s="663"/>
      <c r="F584" s="481"/>
      <c r="G584" s="481"/>
      <c r="H584" s="481"/>
      <c r="I584" s="481"/>
      <c r="J584" s="481"/>
      <c r="K584" s="481"/>
      <c r="L584" s="481"/>
      <c r="M584" s="481"/>
      <c r="N584" s="481"/>
      <c r="O584" s="481"/>
      <c r="P584" s="481"/>
      <c r="Q584" s="481"/>
      <c r="R584" s="481"/>
      <c r="S584" s="481"/>
      <c r="T584" s="481"/>
      <c r="U584" s="481"/>
      <c r="V584" s="481"/>
      <c r="W584" s="481"/>
      <c r="X584" s="481"/>
      <c r="Y584" s="481"/>
      <c r="Z584" s="481"/>
      <c r="AA584" s="481"/>
      <c r="AB584" s="481"/>
      <c r="AC584" s="385"/>
      <c r="AD584" s="385"/>
      <c r="AE584" s="456"/>
      <c r="AF584" s="385"/>
      <c r="AG584" s="385"/>
      <c r="AH584" s="385"/>
      <c r="AI584" s="385"/>
      <c r="AJ584" s="385"/>
      <c r="AK584" s="385"/>
      <c r="AL584" s="385"/>
      <c r="AN584" s="439"/>
    </row>
    <row r="585" spans="1:42" s="398" customFormat="1" ht="12.75" customHeight="1">
      <c r="A585" s="477"/>
      <c r="B585" s="385"/>
      <c r="C585" s="735"/>
      <c r="D585" s="500" t="s">
        <v>27</v>
      </c>
      <c r="E585" s="663" t="s">
        <v>2459</v>
      </c>
      <c r="F585" s="736"/>
      <c r="G585" s="736"/>
      <c r="H585" s="736"/>
      <c r="I585" s="736"/>
      <c r="J585" s="736"/>
      <c r="K585" s="736"/>
      <c r="L585" s="736"/>
      <c r="M585" s="736"/>
      <c r="N585" s="736"/>
      <c r="O585" s="736"/>
      <c r="P585" s="736"/>
      <c r="Q585" s="736"/>
      <c r="R585" s="736"/>
      <c r="S585" s="736"/>
      <c r="T585" s="736"/>
      <c r="U585" s="736"/>
      <c r="V585" s="736"/>
      <c r="W585" s="736"/>
      <c r="X585" s="736"/>
      <c r="Y585" s="736"/>
      <c r="Z585" s="736"/>
      <c r="AA585" s="736"/>
      <c r="AB585" s="736"/>
      <c r="AC585" s="385"/>
      <c r="AD585" s="385"/>
      <c r="AE585" s="385"/>
      <c r="AF585" s="2451" t="s">
        <v>2460</v>
      </c>
      <c r="AG585" s="2451"/>
      <c r="AH585" s="2451"/>
      <c r="AI585" s="2451"/>
      <c r="AJ585" s="2451"/>
      <c r="AK585" s="2451"/>
      <c r="AL585" s="2451"/>
      <c r="AN585" s="439"/>
    </row>
    <row r="586" spans="1:42" s="398" customFormat="1" ht="12.75" customHeight="1">
      <c r="B586" s="385"/>
      <c r="C586" s="737"/>
      <c r="D586" s="500"/>
      <c r="E586" s="663" t="s">
        <v>2461</v>
      </c>
      <c r="F586" s="736"/>
      <c r="G586" s="736"/>
      <c r="H586" s="736"/>
      <c r="I586" s="736"/>
      <c r="J586" s="736"/>
      <c r="K586" s="736"/>
      <c r="L586" s="736"/>
      <c r="M586" s="736"/>
      <c r="N586" s="736"/>
      <c r="O586" s="736"/>
      <c r="P586" s="736"/>
      <c r="Q586" s="736"/>
      <c r="R586" s="736"/>
      <c r="S586" s="736"/>
      <c r="T586" s="736"/>
      <c r="U586" s="736"/>
      <c r="V586" s="736"/>
      <c r="W586" s="736"/>
      <c r="X586" s="736"/>
      <c r="Y586" s="736"/>
      <c r="Z586" s="736"/>
      <c r="AA586" s="736"/>
      <c r="AB586" s="736"/>
      <c r="AC586" s="385"/>
      <c r="AD586" s="385"/>
      <c r="AE586" s="385"/>
      <c r="AF586" s="385"/>
      <c r="AG586" s="385"/>
      <c r="AH586" s="385"/>
      <c r="AI586" s="385"/>
      <c r="AJ586" s="385"/>
      <c r="AK586" s="385"/>
      <c r="AL586" s="385"/>
      <c r="AN586" s="439"/>
      <c r="AO586" s="398" t="s">
        <v>810</v>
      </c>
      <c r="AP586" s="510">
        <v>0</v>
      </c>
    </row>
    <row r="587" spans="1:42" s="398" customFormat="1" ht="12.75" customHeight="1">
      <c r="B587" s="451"/>
      <c r="C587" s="735"/>
      <c r="D587" s="500"/>
      <c r="E587" s="663" t="s">
        <v>2462</v>
      </c>
      <c r="F587" s="736"/>
      <c r="G587" s="736"/>
      <c r="H587" s="736"/>
      <c r="I587" s="736"/>
      <c r="J587" s="736"/>
      <c r="K587" s="736"/>
      <c r="L587" s="736"/>
      <c r="M587" s="736"/>
      <c r="N587" s="736"/>
      <c r="O587" s="736"/>
      <c r="P587" s="736"/>
      <c r="Q587" s="736"/>
      <c r="R587" s="736"/>
      <c r="S587" s="736"/>
      <c r="T587" s="736"/>
      <c r="U587" s="736"/>
      <c r="V587" s="736"/>
      <c r="W587" s="736"/>
      <c r="X587" s="736"/>
      <c r="Y587" s="736"/>
      <c r="Z587" s="736"/>
      <c r="AA587" s="736"/>
      <c r="AB587" s="736"/>
      <c r="AC587" s="385"/>
      <c r="AD587" s="385"/>
      <c r="AE587" s="385"/>
      <c r="AF587" s="385"/>
      <c r="AG587" s="385"/>
      <c r="AH587" s="385"/>
      <c r="AI587" s="385"/>
      <c r="AJ587" s="385"/>
      <c r="AK587" s="385"/>
      <c r="AL587" s="385"/>
      <c r="AN587" s="439"/>
      <c r="AO587" s="452" t="s">
        <v>22</v>
      </c>
      <c r="AP587" s="398">
        <f>7*AP582</f>
        <v>7</v>
      </c>
    </row>
    <row r="588" spans="1:42" s="398" customFormat="1" ht="12.75" customHeight="1">
      <c r="B588" s="451"/>
      <c r="C588" s="735"/>
      <c r="D588" s="500"/>
      <c r="E588" s="663" t="s">
        <v>2463</v>
      </c>
      <c r="F588" s="736"/>
      <c r="G588" s="736"/>
      <c r="H588" s="736"/>
      <c r="I588" s="736"/>
      <c r="J588" s="736"/>
      <c r="K588" s="736"/>
      <c r="L588" s="736"/>
      <c r="M588" s="736"/>
      <c r="N588" s="736"/>
      <c r="O588" s="736"/>
      <c r="P588" s="736"/>
      <c r="Q588" s="736"/>
      <c r="R588" s="736"/>
      <c r="S588" s="736"/>
      <c r="T588" s="736"/>
      <c r="U588" s="736"/>
      <c r="V588" s="736"/>
      <c r="W588" s="736"/>
      <c r="X588" s="736"/>
      <c r="Y588" s="736"/>
      <c r="Z588" s="736"/>
      <c r="AA588" s="736"/>
      <c r="AB588" s="736"/>
      <c r="AC588" s="385"/>
      <c r="AD588" s="385"/>
      <c r="AE588" s="385"/>
      <c r="AF588" s="385"/>
      <c r="AG588" s="385"/>
      <c r="AH588" s="385"/>
      <c r="AI588" s="385"/>
      <c r="AJ588" s="385"/>
      <c r="AK588" s="385"/>
      <c r="AL588" s="385"/>
      <c r="AN588" s="439"/>
      <c r="AO588" s="452" t="s">
        <v>27</v>
      </c>
      <c r="AP588" s="398">
        <v>6</v>
      </c>
    </row>
    <row r="589" spans="1:42" s="398" customFormat="1" ht="12.75" customHeight="1">
      <c r="B589" s="451"/>
      <c r="C589" s="735"/>
      <c r="D589" s="500"/>
      <c r="E589" s="663" t="s">
        <v>2464</v>
      </c>
      <c r="F589" s="736"/>
      <c r="G589" s="736"/>
      <c r="H589" s="736"/>
      <c r="I589" s="736"/>
      <c r="J589" s="736"/>
      <c r="K589" s="736"/>
      <c r="L589" s="736"/>
      <c r="M589" s="736"/>
      <c r="N589" s="736"/>
      <c r="O589" s="736"/>
      <c r="P589" s="736"/>
      <c r="Q589" s="736"/>
      <c r="R589" s="736"/>
      <c r="S589" s="736"/>
      <c r="T589" s="736"/>
      <c r="U589" s="736"/>
      <c r="V589" s="736"/>
      <c r="W589" s="736"/>
      <c r="X589" s="736"/>
      <c r="Y589" s="736"/>
      <c r="Z589" s="736"/>
      <c r="AA589" s="736"/>
      <c r="AB589" s="736"/>
      <c r="AC589" s="385"/>
      <c r="AD589" s="385"/>
      <c r="AE589" s="385"/>
      <c r="AF589" s="385"/>
      <c r="AG589" s="385"/>
      <c r="AH589" s="385"/>
      <c r="AI589" s="385"/>
      <c r="AJ589" s="385"/>
      <c r="AK589" s="385"/>
      <c r="AL589" s="385"/>
      <c r="AN589" s="439"/>
      <c r="AO589" s="452" t="s">
        <v>49</v>
      </c>
      <c r="AP589" s="398">
        <v>5</v>
      </c>
    </row>
    <row r="590" spans="1:42" s="398" customFormat="1" ht="12.75" customHeight="1">
      <c r="B590" s="451"/>
      <c r="C590" s="735"/>
      <c r="D590" s="500"/>
      <c r="E590" s="738"/>
      <c r="F590" s="739"/>
      <c r="G590" s="739"/>
      <c r="H590" s="739"/>
      <c r="I590" s="456"/>
      <c r="J590" s="456"/>
      <c r="K590" s="456"/>
      <c r="L590" s="456"/>
      <c r="M590" s="456"/>
      <c r="N590" s="456"/>
      <c r="O590" s="456"/>
      <c r="P590" s="456"/>
      <c r="Q590" s="456"/>
      <c r="R590" s="456"/>
      <c r="S590" s="456"/>
      <c r="T590" s="456"/>
      <c r="U590" s="456"/>
      <c r="V590" s="456"/>
      <c r="W590" s="456"/>
      <c r="X590" s="456"/>
      <c r="Y590" s="456"/>
      <c r="Z590" s="456"/>
      <c r="AA590" s="456"/>
      <c r="AB590" s="456"/>
      <c r="AC590" s="385"/>
      <c r="AD590" s="385"/>
      <c r="AE590" s="456"/>
      <c r="AF590" s="385"/>
      <c r="AG590" s="385"/>
      <c r="AH590" s="385"/>
      <c r="AI590" s="385"/>
      <c r="AJ590" s="385"/>
      <c r="AK590" s="385"/>
      <c r="AL590" s="385"/>
      <c r="AN590" s="439"/>
      <c r="AO590" s="452" t="s">
        <v>2465</v>
      </c>
      <c r="AP590" s="398">
        <v>4</v>
      </c>
    </row>
    <row r="591" spans="1:42" s="398" customFormat="1" ht="12.75" customHeight="1">
      <c r="B591" s="385"/>
      <c r="C591" s="735"/>
      <c r="D591" s="500" t="s">
        <v>49</v>
      </c>
      <c r="E591" s="663" t="s">
        <v>2466</v>
      </c>
      <c r="F591" s="736"/>
      <c r="G591" s="736"/>
      <c r="H591" s="736"/>
      <c r="I591" s="736"/>
      <c r="J591" s="736"/>
      <c r="K591" s="736"/>
      <c r="L591" s="736"/>
      <c r="M591" s="736"/>
      <c r="N591" s="736"/>
      <c r="O591" s="736"/>
      <c r="P591" s="736"/>
      <c r="Q591" s="736"/>
      <c r="R591" s="736"/>
      <c r="S591" s="736"/>
      <c r="T591" s="736"/>
      <c r="U591" s="736"/>
      <c r="V591" s="736"/>
      <c r="W591" s="736"/>
      <c r="X591" s="736"/>
      <c r="Y591" s="736"/>
      <c r="Z591" s="736"/>
      <c r="AA591" s="736"/>
      <c r="AB591" s="736"/>
      <c r="AC591" s="385"/>
      <c r="AD591" s="385"/>
      <c r="AE591" s="385"/>
      <c r="AF591" s="2451" t="s">
        <v>2467</v>
      </c>
      <c r="AG591" s="2451"/>
      <c r="AH591" s="2451"/>
      <c r="AI591" s="2451"/>
      <c r="AJ591" s="2451"/>
      <c r="AK591" s="2451"/>
      <c r="AL591" s="2451"/>
      <c r="AN591" s="439"/>
      <c r="AO591" s="452" t="s">
        <v>2468</v>
      </c>
      <c r="AP591" s="398">
        <v>3</v>
      </c>
    </row>
    <row r="592" spans="1:42" s="398" customFormat="1" ht="12.75" customHeight="1">
      <c r="B592" s="385"/>
      <c r="C592" s="737"/>
      <c r="D592" s="500"/>
      <c r="E592" s="663" t="s">
        <v>2461</v>
      </c>
      <c r="F592" s="736"/>
      <c r="G592" s="736"/>
      <c r="H592" s="736"/>
      <c r="I592" s="736"/>
      <c r="J592" s="736"/>
      <c r="K592" s="736"/>
      <c r="L592" s="736"/>
      <c r="M592" s="736"/>
      <c r="N592" s="736"/>
      <c r="O592" s="736"/>
      <c r="P592" s="736"/>
      <c r="Q592" s="736"/>
      <c r="R592" s="736"/>
      <c r="S592" s="736"/>
      <c r="T592" s="736"/>
      <c r="U592" s="736"/>
      <c r="V592" s="736"/>
      <c r="W592" s="736"/>
      <c r="X592" s="736"/>
      <c r="Y592" s="736"/>
      <c r="Z592" s="736"/>
      <c r="AA592" s="736"/>
      <c r="AB592" s="736"/>
      <c r="AC592" s="385"/>
      <c r="AD592" s="385"/>
      <c r="AE592" s="385"/>
      <c r="AF592" s="385"/>
      <c r="AG592" s="385"/>
      <c r="AH592" s="385"/>
      <c r="AI592" s="385"/>
      <c r="AJ592" s="385"/>
      <c r="AK592" s="385"/>
      <c r="AL592" s="385"/>
      <c r="AN592" s="439"/>
    </row>
    <row r="593" spans="1:53" s="398" customFormat="1" ht="12.75" customHeight="1">
      <c r="B593" s="385"/>
      <c r="C593" s="737"/>
      <c r="D593" s="500"/>
      <c r="E593" s="663" t="s">
        <v>2462</v>
      </c>
      <c r="F593" s="736"/>
      <c r="G593" s="736"/>
      <c r="H593" s="736"/>
      <c r="I593" s="736"/>
      <c r="J593" s="736"/>
      <c r="K593" s="736"/>
      <c r="L593" s="736"/>
      <c r="M593" s="736"/>
      <c r="N593" s="736"/>
      <c r="O593" s="736"/>
      <c r="P593" s="736"/>
      <c r="Q593" s="736"/>
      <c r="R593" s="736"/>
      <c r="S593" s="736"/>
      <c r="T593" s="736"/>
      <c r="U593" s="736"/>
      <c r="V593" s="736"/>
      <c r="W593" s="736"/>
      <c r="X593" s="736"/>
      <c r="Y593" s="736"/>
      <c r="Z593" s="736"/>
      <c r="AA593" s="736"/>
      <c r="AB593" s="736"/>
      <c r="AC593" s="385"/>
      <c r="AD593" s="385"/>
      <c r="AE593" s="385"/>
      <c r="AF593" s="385"/>
      <c r="AG593" s="385"/>
      <c r="AH593" s="385"/>
      <c r="AI593" s="385"/>
      <c r="AJ593" s="385"/>
      <c r="AK593" s="385"/>
      <c r="AL593" s="385"/>
      <c r="AN593" s="439"/>
      <c r="AO593" s="17" t="s">
        <v>2469</v>
      </c>
    </row>
    <row r="594" spans="1:53" s="398" customFormat="1" ht="12.75" customHeight="1">
      <c r="B594" s="385"/>
      <c r="C594" s="737"/>
      <c r="D594" s="500"/>
      <c r="E594" s="663" t="s">
        <v>2463</v>
      </c>
      <c r="F594" s="736"/>
      <c r="G594" s="736"/>
      <c r="H594" s="736"/>
      <c r="I594" s="736"/>
      <c r="J594" s="736"/>
      <c r="K594" s="736"/>
      <c r="L594" s="736"/>
      <c r="M594" s="736"/>
      <c r="N594" s="736"/>
      <c r="O594" s="736"/>
      <c r="P594" s="736"/>
      <c r="Q594" s="736"/>
      <c r="R594" s="736"/>
      <c r="S594" s="736"/>
      <c r="T594" s="736"/>
      <c r="U594" s="736"/>
      <c r="V594" s="736"/>
      <c r="W594" s="736"/>
      <c r="X594" s="736"/>
      <c r="Y594" s="736"/>
      <c r="Z594" s="736"/>
      <c r="AA594" s="736"/>
      <c r="AB594" s="736"/>
      <c r="AC594" s="385"/>
      <c r="AD594" s="385"/>
      <c r="AE594" s="385"/>
      <c r="AF594" s="385"/>
      <c r="AG594" s="385"/>
      <c r="AH594" s="385"/>
      <c r="AI594" s="385"/>
      <c r="AJ594" s="385"/>
      <c r="AK594" s="385"/>
      <c r="AL594" s="385"/>
      <c r="AN594" s="439"/>
      <c r="AO594" s="17" t="s">
        <v>2470</v>
      </c>
    </row>
    <row r="595" spans="1:53" s="398" customFormat="1" ht="12.75" customHeight="1">
      <c r="B595" s="385"/>
      <c r="C595" s="737"/>
      <c r="D595" s="500"/>
      <c r="E595" s="663" t="s">
        <v>2464</v>
      </c>
      <c r="F595" s="736"/>
      <c r="G595" s="736"/>
      <c r="H595" s="736"/>
      <c r="I595" s="736"/>
      <c r="J595" s="736"/>
      <c r="K595" s="736"/>
      <c r="L595" s="736"/>
      <c r="M595" s="736"/>
      <c r="N595" s="736"/>
      <c r="O595" s="736"/>
      <c r="P595" s="736"/>
      <c r="Q595" s="736"/>
      <c r="R595" s="736"/>
      <c r="S595" s="736"/>
      <c r="T595" s="736"/>
      <c r="U595" s="736"/>
      <c r="V595" s="736"/>
      <c r="W595" s="736"/>
      <c r="X595" s="736"/>
      <c r="Y595" s="736"/>
      <c r="Z595" s="736"/>
      <c r="AA595" s="736"/>
      <c r="AB595" s="736"/>
      <c r="AC595" s="385"/>
      <c r="AD595" s="385"/>
      <c r="AE595" s="385"/>
      <c r="AF595" s="385"/>
      <c r="AG595" s="385"/>
      <c r="AH595" s="385"/>
      <c r="AI595" s="385"/>
      <c r="AJ595" s="385"/>
      <c r="AK595" s="385"/>
      <c r="AL595" s="385"/>
      <c r="AN595" s="439"/>
      <c r="AO595" s="17" t="s">
        <v>2471</v>
      </c>
    </row>
    <row r="596" spans="1:53" s="398" customFormat="1" ht="12.75" customHeight="1">
      <c r="A596" s="11"/>
      <c r="B596" s="11"/>
      <c r="C596" s="11"/>
      <c r="D596" s="500"/>
      <c r="E596" s="5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5"/>
      <c r="AD596" s="385"/>
      <c r="AE596" s="11"/>
      <c r="AF596" s="385"/>
      <c r="AG596" s="385"/>
      <c r="AH596" s="385"/>
      <c r="AI596" s="385"/>
      <c r="AJ596" s="385"/>
      <c r="AK596" s="385"/>
      <c r="AL596" s="385"/>
      <c r="AM596" s="11"/>
      <c r="AN596" s="439"/>
    </row>
    <row r="597" spans="1:53" s="398" customFormat="1" ht="12.75" customHeight="1">
      <c r="B597" s="385"/>
      <c r="C597" s="735"/>
      <c r="D597" s="500" t="s">
        <v>2465</v>
      </c>
      <c r="E597" s="663" t="s">
        <v>2472</v>
      </c>
      <c r="F597" s="736"/>
      <c r="G597" s="736"/>
      <c r="H597" s="736"/>
      <c r="I597" s="736"/>
      <c r="J597" s="736"/>
      <c r="K597" s="736"/>
      <c r="L597" s="736"/>
      <c r="M597" s="736"/>
      <c r="N597" s="736"/>
      <c r="O597" s="736"/>
      <c r="P597" s="736"/>
      <c r="Q597" s="736"/>
      <c r="R597" s="736"/>
      <c r="S597" s="736"/>
      <c r="T597" s="736"/>
      <c r="U597" s="736"/>
      <c r="V597" s="736"/>
      <c r="W597" s="736"/>
      <c r="X597" s="736"/>
      <c r="Y597" s="736"/>
      <c r="Z597" s="736"/>
      <c r="AA597" s="736"/>
      <c r="AB597" s="736"/>
      <c r="AC597" s="385"/>
      <c r="AD597" s="385"/>
      <c r="AE597" s="385"/>
      <c r="AF597" s="2451" t="s">
        <v>2473</v>
      </c>
      <c r="AG597" s="2451"/>
      <c r="AH597" s="2451"/>
      <c r="AI597" s="2451"/>
      <c r="AJ597" s="2451"/>
      <c r="AK597" s="2451"/>
      <c r="AL597" s="2451"/>
      <c r="AN597" s="439"/>
      <c r="AO597" s="398" t="str">
        <f>X634</f>
        <v>N/A</v>
      </c>
    </row>
    <row r="598" spans="1:53" s="398" customFormat="1" ht="12.75" customHeight="1">
      <c r="B598" s="385"/>
      <c r="C598" s="737"/>
      <c r="D598" s="500"/>
      <c r="E598" s="663" t="s">
        <v>2474</v>
      </c>
      <c r="F598" s="736"/>
      <c r="G598" s="736"/>
      <c r="H598" s="736"/>
      <c r="I598" s="736"/>
      <c r="J598" s="736"/>
      <c r="K598" s="736"/>
      <c r="L598" s="736"/>
      <c r="M598" s="736"/>
      <c r="N598" s="736"/>
      <c r="O598" s="736"/>
      <c r="P598" s="736"/>
      <c r="Q598" s="736"/>
      <c r="R598" s="736"/>
      <c r="S598" s="736"/>
      <c r="T598" s="736"/>
      <c r="U598" s="736"/>
      <c r="V598" s="736"/>
      <c r="W598" s="736"/>
      <c r="X598" s="736"/>
      <c r="Y598" s="736"/>
      <c r="Z598" s="736"/>
      <c r="AA598" s="736"/>
      <c r="AB598" s="736"/>
      <c r="AC598" s="11"/>
      <c r="AD598" s="11"/>
      <c r="AE598" s="385"/>
      <c r="AF598" s="385"/>
      <c r="AG598" s="385"/>
      <c r="AH598" s="385"/>
      <c r="AI598" s="385"/>
      <c r="AJ598" s="385"/>
      <c r="AK598" s="385"/>
      <c r="AL598" s="385"/>
      <c r="AN598" s="439"/>
      <c r="AU598" s="1205"/>
      <c r="AV598" s="1205"/>
      <c r="AW598" s="1205"/>
      <c r="AX598" s="1205"/>
      <c r="AY598" s="1205"/>
      <c r="AZ598" s="1205"/>
      <c r="BA598" s="1205"/>
    </row>
    <row r="599" spans="1:53" s="398" customFormat="1" ht="12.75" customHeight="1">
      <c r="B599" s="451"/>
      <c r="C599" s="735"/>
      <c r="D599" s="500"/>
      <c r="E599" s="663" t="s">
        <v>2475</v>
      </c>
      <c r="F599" s="736"/>
      <c r="G599" s="736"/>
      <c r="H599" s="736"/>
      <c r="I599" s="736"/>
      <c r="J599" s="736"/>
      <c r="K599" s="736"/>
      <c r="L599" s="736"/>
      <c r="M599" s="736"/>
      <c r="N599" s="736"/>
      <c r="O599" s="736"/>
      <c r="P599" s="736"/>
      <c r="Q599" s="736"/>
      <c r="R599" s="736"/>
      <c r="S599" s="736"/>
      <c r="T599" s="736"/>
      <c r="U599" s="736"/>
      <c r="V599" s="736"/>
      <c r="W599" s="736"/>
      <c r="X599" s="736"/>
      <c r="Y599" s="736"/>
      <c r="Z599" s="736"/>
      <c r="AA599" s="736"/>
      <c r="AB599" s="736"/>
      <c r="AC599" s="385"/>
      <c r="AD599" s="385"/>
      <c r="AE599" s="385"/>
      <c r="AF599" s="385"/>
      <c r="AG599" s="385"/>
      <c r="AH599" s="385"/>
      <c r="AI599" s="385"/>
      <c r="AJ599" s="385"/>
      <c r="AK599" s="385"/>
      <c r="AL599" s="385"/>
      <c r="AN599" s="439"/>
      <c r="AO599" s="17" t="s">
        <v>2476</v>
      </c>
    </row>
    <row r="600" spans="1:53" s="398" customFormat="1" ht="12.75" customHeight="1">
      <c r="B600" s="451"/>
      <c r="C600" s="735"/>
      <c r="D600" s="500"/>
      <c r="E600" s="663"/>
      <c r="F600" s="736"/>
      <c r="G600" s="736"/>
      <c r="H600" s="736"/>
      <c r="I600" s="736"/>
      <c r="J600" s="736"/>
      <c r="K600" s="736"/>
      <c r="L600" s="736"/>
      <c r="M600" s="736"/>
      <c r="N600" s="736"/>
      <c r="O600" s="736"/>
      <c r="P600" s="736"/>
      <c r="Q600" s="736"/>
      <c r="R600" s="736"/>
      <c r="S600" s="736"/>
      <c r="T600" s="736"/>
      <c r="U600" s="736"/>
      <c r="V600" s="736"/>
      <c r="W600" s="736"/>
      <c r="X600" s="736"/>
      <c r="Y600" s="736"/>
      <c r="Z600" s="736"/>
      <c r="AA600" s="736"/>
      <c r="AB600" s="736"/>
      <c r="AC600" s="385"/>
      <c r="AD600" s="385"/>
      <c r="AE600" s="385"/>
      <c r="AF600" s="385"/>
      <c r="AG600" s="385"/>
      <c r="AH600" s="385"/>
      <c r="AI600" s="385"/>
      <c r="AJ600" s="385"/>
      <c r="AK600" s="385"/>
      <c r="AL600" s="385"/>
      <c r="AN600" s="439"/>
      <c r="AO600" s="17" t="s">
        <v>2477</v>
      </c>
    </row>
    <row r="601" spans="1:53" s="398" customFormat="1" ht="12.75" customHeight="1">
      <c r="B601" s="451"/>
      <c r="C601" s="735"/>
      <c r="D601" s="500"/>
      <c r="E601" s="385" t="s">
        <v>2478</v>
      </c>
      <c r="O601" s="2467" t="s">
        <v>1028</v>
      </c>
      <c r="P601" s="2467"/>
      <c r="Q601" s="2467"/>
      <c r="R601" s="2467"/>
      <c r="S601" s="2467"/>
      <c r="T601" s="2467"/>
      <c r="U601" s="2467"/>
      <c r="V601" s="2467"/>
      <c r="W601" s="2467"/>
      <c r="X601" s="2467"/>
      <c r="Y601" s="2467"/>
      <c r="Z601" s="2467"/>
      <c r="AA601" s="2467"/>
      <c r="AB601" s="2467"/>
      <c r="AH601" s="385"/>
      <c r="AI601" s="385"/>
      <c r="AJ601" s="385"/>
      <c r="AK601" s="385"/>
      <c r="AL601" s="385"/>
      <c r="AN601" s="439"/>
    </row>
    <row r="602" spans="1:53" s="398" customFormat="1" ht="12.75" customHeight="1">
      <c r="B602" s="451"/>
      <c r="C602" s="735"/>
      <c r="D602" s="500"/>
      <c r="E602" s="663"/>
      <c r="F602" s="736"/>
      <c r="G602" s="736"/>
      <c r="H602" s="736"/>
      <c r="I602" s="736"/>
      <c r="J602" s="736"/>
      <c r="K602" s="736"/>
      <c r="L602" s="736"/>
      <c r="M602" s="736"/>
      <c r="N602" s="736"/>
      <c r="O602" s="736"/>
      <c r="P602" s="736"/>
      <c r="Q602" s="736"/>
      <c r="R602" s="736"/>
      <c r="S602" s="736"/>
      <c r="T602" s="736"/>
      <c r="U602" s="736"/>
      <c r="V602" s="736"/>
      <c r="W602" s="736"/>
      <c r="X602" s="736"/>
      <c r="Y602" s="736"/>
      <c r="Z602" s="736"/>
      <c r="AA602" s="736"/>
      <c r="AB602" s="736"/>
      <c r="AC602" s="385"/>
      <c r="AD602" s="385"/>
      <c r="AE602" s="385"/>
      <c r="AF602" s="385"/>
      <c r="AG602" s="385"/>
      <c r="AH602" s="385"/>
      <c r="AI602" s="385"/>
      <c r="AJ602" s="385"/>
      <c r="AK602" s="385"/>
      <c r="AL602" s="385"/>
      <c r="AN602" s="439"/>
    </row>
    <row r="603" spans="1:53" s="398" customFormat="1" ht="12.75" customHeight="1">
      <c r="B603" s="385"/>
      <c r="C603" s="735"/>
      <c r="D603" s="500" t="s">
        <v>2468</v>
      </c>
      <c r="E603" s="663" t="s">
        <v>2479</v>
      </c>
      <c r="F603" s="736"/>
      <c r="G603" s="736"/>
      <c r="H603" s="736"/>
      <c r="I603" s="736"/>
      <c r="J603" s="736"/>
      <c r="K603" s="736"/>
      <c r="L603" s="736"/>
      <c r="M603" s="736"/>
      <c r="N603" s="736"/>
      <c r="O603" s="736"/>
      <c r="P603" s="736"/>
      <c r="Q603" s="736"/>
      <c r="R603" s="736"/>
      <c r="S603" s="736"/>
      <c r="T603" s="736"/>
      <c r="U603" s="736"/>
      <c r="V603" s="736"/>
      <c r="W603" s="736"/>
      <c r="X603" s="736"/>
      <c r="Y603" s="736"/>
      <c r="Z603" s="736"/>
      <c r="AA603" s="736"/>
      <c r="AB603" s="736"/>
      <c r="AC603" s="385"/>
      <c r="AD603" s="385"/>
      <c r="AE603" s="385"/>
      <c r="AF603" s="2451" t="s">
        <v>2207</v>
      </c>
      <c r="AG603" s="2451"/>
      <c r="AH603" s="2451"/>
      <c r="AI603" s="2451"/>
      <c r="AJ603" s="2451"/>
      <c r="AK603" s="2451"/>
      <c r="AL603" s="2451"/>
      <c r="AN603" s="439"/>
    </row>
    <row r="604" spans="1:53" s="398" customFormat="1" ht="12.75" customHeight="1">
      <c r="B604" s="385"/>
      <c r="C604" s="735"/>
      <c r="D604" s="500"/>
      <c r="E604" s="663" t="s">
        <v>2480</v>
      </c>
      <c r="F604" s="736"/>
      <c r="G604" s="736"/>
      <c r="H604" s="736"/>
      <c r="I604" s="736"/>
      <c r="J604" s="736"/>
      <c r="K604" s="736"/>
      <c r="L604" s="736"/>
      <c r="M604" s="736"/>
      <c r="N604" s="736"/>
      <c r="O604" s="736"/>
      <c r="P604" s="736"/>
      <c r="Q604" s="736"/>
      <c r="R604" s="736"/>
      <c r="S604" s="736"/>
      <c r="T604" s="736"/>
      <c r="U604" s="736"/>
      <c r="V604" s="736"/>
      <c r="W604" s="736"/>
      <c r="X604" s="736"/>
      <c r="Y604" s="736"/>
      <c r="Z604" s="736"/>
      <c r="AA604" s="736"/>
      <c r="AB604" s="736"/>
      <c r="AC604" s="385"/>
      <c r="AD604" s="385"/>
      <c r="AE604" s="1205"/>
      <c r="AF604" s="385"/>
      <c r="AG604" s="385"/>
      <c r="AH604" s="385"/>
      <c r="AI604" s="385"/>
      <c r="AJ604" s="385"/>
      <c r="AK604" s="385"/>
      <c r="AL604" s="385"/>
      <c r="AN604" s="439"/>
    </row>
    <row r="605" spans="1:53" s="398" customFormat="1" ht="12.75" customHeight="1">
      <c r="B605" s="385"/>
      <c r="C605" s="737"/>
      <c r="D605" s="385"/>
      <c r="E605" s="456"/>
      <c r="F605" s="1208"/>
      <c r="G605" s="1208"/>
      <c r="H605" s="1208"/>
      <c r="I605" s="1208"/>
      <c r="J605" s="1208"/>
      <c r="K605" s="1208"/>
      <c r="L605" s="1208"/>
      <c r="M605" s="1208"/>
      <c r="N605" s="1208"/>
      <c r="O605" s="1208"/>
      <c r="P605" s="1208"/>
      <c r="Q605" s="1208"/>
      <c r="R605" s="1208"/>
      <c r="S605" s="1208"/>
      <c r="T605" s="1208"/>
      <c r="U605" s="1208"/>
      <c r="V605" s="1208"/>
      <c r="W605" s="1208"/>
      <c r="X605" s="1208"/>
      <c r="Y605" s="1208"/>
      <c r="Z605" s="1208"/>
      <c r="AA605" s="1208"/>
      <c r="AB605" s="1208"/>
      <c r="AC605" s="385"/>
      <c r="AD605" s="385"/>
      <c r="AE605" s="385"/>
      <c r="AF605" s="385"/>
      <c r="AG605" s="385"/>
      <c r="AH605" s="385"/>
      <c r="AI605" s="385"/>
      <c r="AJ605" s="385"/>
      <c r="AK605" s="385"/>
      <c r="AL605" s="385"/>
      <c r="AN605" s="439"/>
      <c r="AO605" s="398" t="s">
        <v>810</v>
      </c>
      <c r="AP605" s="510">
        <v>0</v>
      </c>
      <c r="AT605" s="398" t="s">
        <v>810</v>
      </c>
      <c r="AU605" s="510">
        <v>0</v>
      </c>
    </row>
    <row r="606" spans="1:53" s="398" customFormat="1" ht="12.75" customHeight="1">
      <c r="B606" s="385"/>
      <c r="C606" s="737"/>
      <c r="D606" s="385" t="s">
        <v>2481</v>
      </c>
      <c r="E606" s="1208"/>
      <c r="F606" s="1208"/>
      <c r="G606" s="1208"/>
      <c r="H606" s="2375" t="s">
        <v>22</v>
      </c>
      <c r="I606" s="2375"/>
      <c r="J606" s="1208"/>
      <c r="K606" s="1208"/>
      <c r="L606" s="1208"/>
      <c r="N606" s="17"/>
      <c r="O606" s="17"/>
      <c r="P606" s="17"/>
      <c r="Q606" s="933" t="s">
        <v>2482</v>
      </c>
      <c r="R606" s="2468"/>
      <c r="S606" s="2468"/>
      <c r="T606" s="2468"/>
      <c r="U606" s="2468"/>
      <c r="V606" s="2468"/>
      <c r="W606" s="2468"/>
      <c r="X606" s="385"/>
      <c r="Y606" s="385"/>
      <c r="Z606" s="385"/>
      <c r="AA606" s="385"/>
      <c r="AB606" s="385"/>
      <c r="AC606" s="385"/>
      <c r="AD606" s="385"/>
      <c r="AE606" s="385"/>
      <c r="AF606" s="385"/>
      <c r="AG606" s="385"/>
      <c r="AH606" s="385"/>
      <c r="AI606" s="385"/>
      <c r="AJ606" s="385"/>
      <c r="AK606" s="385"/>
      <c r="AL606" s="385"/>
      <c r="AN606" s="439"/>
      <c r="AO606" s="452" t="s">
        <v>22</v>
      </c>
      <c r="AP606" s="398">
        <v>3</v>
      </c>
      <c r="AT606" s="452" t="s">
        <v>22</v>
      </c>
      <c r="AU606" s="398">
        <v>3</v>
      </c>
    </row>
    <row r="607" spans="1:53" s="398" customFormat="1" ht="12.75" customHeight="1">
      <c r="B607" s="385"/>
      <c r="C607" s="737"/>
      <c r="D607" s="385"/>
      <c r="E607" s="1208"/>
      <c r="F607" s="1208"/>
      <c r="G607" s="1208"/>
      <c r="H607" s="1208"/>
      <c r="I607" s="1208"/>
      <c r="J607" s="1208"/>
      <c r="K607" s="1208"/>
      <c r="L607" s="1208"/>
      <c r="M607" s="1208"/>
      <c r="N607" s="385"/>
      <c r="O607" s="385"/>
      <c r="P607" s="385"/>
      <c r="Q607" s="385"/>
      <c r="R607" s="385"/>
      <c r="S607" s="385"/>
      <c r="T607" s="385"/>
      <c r="U607" s="385"/>
      <c r="V607" s="385"/>
      <c r="W607" s="385"/>
      <c r="X607" s="385"/>
      <c r="Y607" s="2469" t="str">
        <f>IF(AND(H606="(i)",NOT(AP582)),AO599,IF(AND(H606="(iv)",OR(R606=AO595,R606=AO594),NOT(AP583)),AO600,""))</f>
        <v/>
      </c>
      <c r="Z607" s="2469"/>
      <c r="AA607" s="2469"/>
      <c r="AB607" s="2469"/>
      <c r="AC607" s="2469"/>
      <c r="AD607" s="2469"/>
      <c r="AE607" s="2469"/>
      <c r="AF607" s="2469"/>
      <c r="AG607" s="2469"/>
      <c r="AH607" s="2469"/>
      <c r="AI607" s="2469"/>
      <c r="AJ607" s="2469"/>
      <c r="AK607" s="2469"/>
      <c r="AL607" s="2469"/>
      <c r="AM607" s="2470"/>
      <c r="AN607" s="439"/>
      <c r="AO607" s="452" t="s">
        <v>27</v>
      </c>
      <c r="AP607" s="398">
        <v>2</v>
      </c>
      <c r="AT607" s="452" t="s">
        <v>27</v>
      </c>
      <c r="AU607" s="398">
        <v>2</v>
      </c>
    </row>
    <row r="608" spans="1:53" s="398" customFormat="1" ht="12.75" customHeight="1">
      <c r="B608" s="385"/>
      <c r="C608" s="737"/>
      <c r="D608" s="385"/>
      <c r="E608" s="1208"/>
      <c r="F608" s="1208"/>
      <c r="G608" s="1208"/>
      <c r="H608" s="1208"/>
      <c r="I608" s="1208"/>
      <c r="J608" s="1208"/>
      <c r="K608" s="1208"/>
      <c r="L608" s="1208"/>
      <c r="M608" s="1208"/>
      <c r="N608" s="385"/>
      <c r="O608" s="385"/>
      <c r="P608" s="385"/>
      <c r="Q608" s="385"/>
      <c r="X608" s="385"/>
      <c r="Y608" s="2469"/>
      <c r="Z608" s="2469"/>
      <c r="AA608" s="2469"/>
      <c r="AB608" s="2469"/>
      <c r="AC608" s="2469"/>
      <c r="AD608" s="2469"/>
      <c r="AE608" s="2469"/>
      <c r="AF608" s="2469"/>
      <c r="AG608" s="2469"/>
      <c r="AH608" s="2469"/>
      <c r="AI608" s="2469"/>
      <c r="AJ608" s="2469"/>
      <c r="AK608" s="2469"/>
      <c r="AL608" s="2469"/>
      <c r="AM608" s="2470"/>
      <c r="AN608" s="439"/>
      <c r="AO608" s="452"/>
      <c r="AT608" s="452"/>
    </row>
    <row r="609" spans="1:42" s="398" customFormat="1" ht="12.75" customHeight="1">
      <c r="B609" s="385"/>
      <c r="C609" s="737"/>
      <c r="D609" s="385" t="s">
        <v>2483</v>
      </c>
      <c r="E609" s="1208"/>
      <c r="F609" s="1208"/>
      <c r="G609" s="1208"/>
      <c r="H609" s="1208"/>
      <c r="I609" s="1208"/>
      <c r="J609" s="1208"/>
      <c r="K609" s="1208"/>
      <c r="L609" s="1208"/>
      <c r="M609" s="1208"/>
      <c r="N609" s="385"/>
      <c r="O609" s="385"/>
      <c r="P609" s="385"/>
      <c r="Q609" s="385"/>
      <c r="R609" s="385"/>
      <c r="S609" s="385"/>
      <c r="T609" s="385"/>
      <c r="U609" s="385"/>
      <c r="V609" s="385"/>
      <c r="W609" s="385"/>
      <c r="X609" s="385"/>
      <c r="Y609" s="385"/>
      <c r="Z609" s="385"/>
      <c r="AA609" s="385"/>
      <c r="AB609" s="385"/>
      <c r="AC609" s="385"/>
      <c r="AD609" s="385"/>
      <c r="AE609" s="385"/>
      <c r="AF609" s="385"/>
      <c r="AG609" s="385"/>
      <c r="AH609" s="385"/>
      <c r="AI609" s="385"/>
      <c r="AJ609" s="385"/>
      <c r="AK609" s="385"/>
      <c r="AL609" s="385"/>
      <c r="AN609" s="439"/>
    </row>
    <row r="610" spans="1:42" s="398" customFormat="1" ht="12.75" customHeight="1">
      <c r="B610" s="385"/>
      <c r="C610" s="737"/>
      <c r="D610" s="385" t="s">
        <v>2484</v>
      </c>
      <c r="E610" s="1208"/>
      <c r="F610" s="1208"/>
      <c r="G610" s="1208"/>
      <c r="H610" s="1208"/>
      <c r="I610" s="1208"/>
      <c r="J610" s="1208"/>
      <c r="K610" s="1208"/>
      <c r="L610" s="1208"/>
      <c r="M610" s="1208"/>
      <c r="N610" s="385"/>
      <c r="O610" s="385"/>
      <c r="P610" s="385"/>
      <c r="Q610" s="385"/>
      <c r="R610" s="385"/>
      <c r="S610" s="385"/>
      <c r="T610" s="385"/>
      <c r="U610" s="385"/>
      <c r="V610" s="385"/>
      <c r="W610" s="385"/>
      <c r="X610" s="385"/>
      <c r="Y610" s="385"/>
      <c r="Z610" s="385"/>
      <c r="AA610" s="385"/>
      <c r="AB610" s="385"/>
      <c r="AC610" s="385"/>
      <c r="AD610" s="385"/>
      <c r="AE610" s="385"/>
      <c r="AF610" s="385"/>
      <c r="AG610" s="385"/>
      <c r="AH610" s="385"/>
      <c r="AI610" s="385"/>
      <c r="AJ610" s="385"/>
      <c r="AK610" s="385"/>
      <c r="AL610" s="385"/>
      <c r="AN610" s="439"/>
    </row>
    <row r="611" spans="1:42" s="398" customFormat="1" ht="12.75" customHeight="1">
      <c r="B611" s="385"/>
      <c r="C611" s="737"/>
      <c r="D611" s="385" t="s">
        <v>2485</v>
      </c>
      <c r="E611" s="1208"/>
      <c r="F611" s="1208"/>
      <c r="G611" s="1208"/>
      <c r="H611" s="1208"/>
      <c r="I611" s="1208"/>
      <c r="J611" s="1208"/>
      <c r="K611" s="1208"/>
      <c r="L611" s="1208"/>
      <c r="M611" s="1208"/>
      <c r="N611" s="385"/>
      <c r="O611" s="385"/>
      <c r="P611" s="385"/>
      <c r="Q611" s="385"/>
      <c r="R611" s="385"/>
      <c r="S611" s="385"/>
      <c r="T611" s="385"/>
      <c r="U611" s="385"/>
      <c r="V611" s="385"/>
      <c r="W611" s="385"/>
      <c r="X611" s="385"/>
      <c r="Y611" s="385"/>
      <c r="Z611" s="385"/>
      <c r="AA611" s="385"/>
      <c r="AB611" s="385"/>
      <c r="AC611" s="385"/>
      <c r="AD611" s="385"/>
      <c r="AE611" s="385"/>
      <c r="AF611" s="385"/>
      <c r="AG611" s="385"/>
      <c r="AH611" s="385"/>
      <c r="AI611" s="385"/>
      <c r="AJ611" s="385"/>
      <c r="AK611" s="385"/>
      <c r="AL611" s="385"/>
      <c r="AN611" s="439"/>
    </row>
    <row r="612" spans="1:42" s="398" customFormat="1" ht="12.75" customHeight="1">
      <c r="B612" s="385"/>
      <c r="C612" s="737"/>
      <c r="D612" s="1190" t="s">
        <v>2486</v>
      </c>
      <c r="E612" s="1208"/>
      <c r="F612" s="1208"/>
      <c r="G612" s="1208"/>
      <c r="H612" s="1208"/>
      <c r="I612" s="1208"/>
      <c r="J612" s="1208"/>
      <c r="K612" s="1208"/>
      <c r="L612" s="1208"/>
      <c r="M612" s="1208"/>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N612" s="439"/>
    </row>
    <row r="613" spans="1:42" s="398" customFormat="1" ht="12.75" customHeight="1">
      <c r="B613" s="385"/>
      <c r="C613" s="737"/>
      <c r="D613" s="385"/>
      <c r="E613" s="385"/>
      <c r="F613" s="385"/>
      <c r="G613" s="385"/>
      <c r="H613" s="385"/>
      <c r="I613" s="385"/>
      <c r="J613" s="385"/>
      <c r="K613" s="385"/>
      <c r="L613" s="385"/>
      <c r="M613" s="385"/>
      <c r="N613" s="385"/>
      <c r="O613" s="385"/>
      <c r="P613" s="385"/>
      <c r="Q613" s="385"/>
      <c r="R613" s="385"/>
      <c r="S613" s="385"/>
      <c r="T613" s="385"/>
      <c r="U613" s="385"/>
      <c r="V613" s="385"/>
      <c r="W613" s="385"/>
      <c r="X613" s="385"/>
      <c r="Y613" s="385"/>
      <c r="Z613" s="385"/>
      <c r="AA613" s="385"/>
      <c r="AB613" s="385"/>
      <c r="AC613" s="385"/>
      <c r="AD613" s="385"/>
      <c r="AE613" s="385"/>
      <c r="AF613" s="385"/>
      <c r="AG613" s="385"/>
      <c r="AH613" s="385"/>
      <c r="AI613" s="385"/>
      <c r="AJ613" s="385"/>
      <c r="AK613" s="385"/>
      <c r="AL613" s="385"/>
      <c r="AN613" s="439"/>
      <c r="AO613" s="398" t="s">
        <v>810</v>
      </c>
      <c r="AP613" s="510">
        <v>0</v>
      </c>
    </row>
    <row r="614" spans="1:42" s="398" customFormat="1" ht="12.75" customHeight="1">
      <c r="B614" s="385"/>
      <c r="C614" s="737"/>
      <c r="D614" s="385"/>
      <c r="E614" s="385" t="s">
        <v>2481</v>
      </c>
      <c r="F614" s="1208"/>
      <c r="G614" s="1208"/>
      <c r="I614" s="2466" t="s">
        <v>810</v>
      </c>
      <c r="J614" s="2466"/>
      <c r="K614" s="2466"/>
      <c r="L614" s="2466"/>
      <c r="M614" s="2466"/>
      <c r="N614" s="2466"/>
      <c r="O614" s="2466"/>
      <c r="P614" s="2466"/>
      <c r="Q614" s="2466"/>
      <c r="R614" s="2466"/>
      <c r="S614" s="2466"/>
      <c r="T614" s="2466"/>
      <c r="U614" s="2466"/>
      <c r="V614" s="2466"/>
      <c r="W614" s="2466"/>
      <c r="X614" s="2466"/>
      <c r="Y614" s="2466"/>
      <c r="Z614" s="2466"/>
      <c r="AA614" s="2466"/>
      <c r="AB614" s="2466"/>
      <c r="AC614" s="2466"/>
      <c r="AD614" s="2466"/>
      <c r="AE614" s="2466"/>
      <c r="AF614" s="385"/>
      <c r="AG614" s="385"/>
      <c r="AH614" s="385"/>
      <c r="AI614" s="385"/>
      <c r="AJ614" s="385"/>
      <c r="AK614" s="385"/>
      <c r="AL614" s="385"/>
      <c r="AN614" s="439"/>
      <c r="AO614" s="398" t="s">
        <v>2487</v>
      </c>
      <c r="AP614" s="398">
        <v>3</v>
      </c>
    </row>
    <row r="615" spans="1:42" s="398" customFormat="1" ht="12.75" customHeight="1">
      <c r="B615" s="385"/>
      <c r="C615" s="385"/>
      <c r="D615" s="385"/>
      <c r="E615" s="385"/>
      <c r="F615" s="481"/>
      <c r="G615" s="481"/>
      <c r="H615" s="481"/>
      <c r="I615" s="481"/>
      <c r="J615" s="481"/>
      <c r="K615" s="481"/>
      <c r="L615" s="481"/>
      <c r="M615" s="481"/>
      <c r="N615" s="481"/>
      <c r="O615" s="481"/>
      <c r="P615" s="481"/>
      <c r="Q615" s="481"/>
      <c r="R615" s="481"/>
      <c r="S615" s="481"/>
      <c r="T615" s="481"/>
      <c r="U615" s="481"/>
      <c r="V615" s="481"/>
      <c r="W615" s="481"/>
      <c r="X615" s="481"/>
      <c r="Y615" s="481"/>
      <c r="Z615" s="481"/>
      <c r="AA615" s="481"/>
      <c r="AB615" s="481"/>
      <c r="AC615" s="481"/>
      <c r="AD615" s="481"/>
      <c r="AE615" s="481"/>
      <c r="AF615" s="481"/>
      <c r="AG615" s="481"/>
      <c r="AH615" s="481"/>
      <c r="AI615" s="481"/>
      <c r="AJ615" s="481"/>
      <c r="AK615" s="481"/>
      <c r="AL615" s="481"/>
      <c r="AN615" s="439"/>
      <c r="AO615" s="398" t="s">
        <v>2488</v>
      </c>
      <c r="AP615" s="398">
        <v>2</v>
      </c>
    </row>
    <row r="616" spans="1:42" s="398" customFormat="1" ht="12.75" customHeight="1">
      <c r="B616" s="2323" t="s">
        <v>810</v>
      </c>
      <c r="C616" s="2323"/>
      <c r="D616" s="481"/>
      <c r="E616" s="2351" t="s">
        <v>2489</v>
      </c>
      <c r="F616" s="2351"/>
      <c r="G616" s="2351"/>
      <c r="H616" s="2351"/>
      <c r="I616" s="2351"/>
      <c r="J616" s="2351"/>
      <c r="K616" s="2351"/>
      <c r="L616" s="2351"/>
      <c r="M616" s="2351"/>
      <c r="N616" s="2351"/>
      <c r="O616" s="2351"/>
      <c r="P616" s="2351"/>
      <c r="Q616" s="2351"/>
      <c r="R616" s="2351"/>
      <c r="S616" s="2351"/>
      <c r="T616" s="2351"/>
      <c r="U616" s="2351"/>
      <c r="V616" s="2351"/>
      <c r="W616" s="2351"/>
      <c r="X616" s="2351"/>
      <c r="Y616" s="2351"/>
      <c r="Z616" s="2351"/>
      <c r="AA616" s="2351"/>
      <c r="AB616" s="2351"/>
      <c r="AC616" s="2351"/>
      <c r="AD616" s="2351"/>
      <c r="AE616" s="2351"/>
      <c r="AF616" s="2351"/>
      <c r="AG616" s="2351"/>
      <c r="AH616" s="481"/>
      <c r="AI616" s="481"/>
      <c r="AJ616" s="481"/>
      <c r="AK616" s="481"/>
      <c r="AL616" s="481"/>
      <c r="AN616" s="439"/>
    </row>
    <row r="617" spans="1:42" s="398" customFormat="1" ht="12.75" customHeight="1">
      <c r="B617" s="385"/>
      <c r="C617" s="737"/>
      <c r="D617" s="481"/>
      <c r="E617" s="2351"/>
      <c r="F617" s="2351"/>
      <c r="G617" s="2351"/>
      <c r="H617" s="2351"/>
      <c r="I617" s="2351"/>
      <c r="J617" s="2351"/>
      <c r="K617" s="2351"/>
      <c r="L617" s="2351"/>
      <c r="M617" s="2351"/>
      <c r="N617" s="2351"/>
      <c r="O617" s="2351"/>
      <c r="P617" s="2351"/>
      <c r="Q617" s="2351"/>
      <c r="R617" s="2351"/>
      <c r="S617" s="2351"/>
      <c r="T617" s="2351"/>
      <c r="U617" s="2351"/>
      <c r="V617" s="2351"/>
      <c r="W617" s="2351"/>
      <c r="X617" s="2351"/>
      <c r="Y617" s="2351"/>
      <c r="Z617" s="2351"/>
      <c r="AA617" s="2351"/>
      <c r="AB617" s="2351"/>
      <c r="AC617" s="2351"/>
      <c r="AD617" s="2351"/>
      <c r="AE617" s="2351"/>
      <c r="AF617" s="2351"/>
      <c r="AG617" s="2351"/>
      <c r="AH617" s="481"/>
      <c r="AI617" s="481"/>
      <c r="AJ617" s="481"/>
      <c r="AK617" s="481"/>
      <c r="AL617" s="481"/>
      <c r="AN617" s="439"/>
    </row>
    <row r="618" spans="1:42" s="398" customFormat="1" ht="12.75" customHeight="1">
      <c r="B618" s="385"/>
      <c r="C618" s="737"/>
      <c r="D618" s="481"/>
      <c r="E618" s="2351"/>
      <c r="F618" s="2351"/>
      <c r="G618" s="2351"/>
      <c r="H618" s="2351"/>
      <c r="I618" s="2351"/>
      <c r="J618" s="2351"/>
      <c r="K618" s="2351"/>
      <c r="L618" s="2351"/>
      <c r="M618" s="2351"/>
      <c r="N618" s="2351"/>
      <c r="O618" s="2351"/>
      <c r="P618" s="2351"/>
      <c r="Q618" s="2351"/>
      <c r="R618" s="2351"/>
      <c r="S618" s="2351"/>
      <c r="T618" s="2351"/>
      <c r="U618" s="2351"/>
      <c r="V618" s="2351"/>
      <c r="W618" s="2351"/>
      <c r="X618" s="2351"/>
      <c r="Y618" s="2351"/>
      <c r="Z618" s="2351"/>
      <c r="AA618" s="2351"/>
      <c r="AB618" s="2351"/>
      <c r="AC618" s="2351"/>
      <c r="AD618" s="2351"/>
      <c r="AE618" s="2351"/>
      <c r="AF618" s="2351"/>
      <c r="AG618" s="2351"/>
      <c r="AH618" s="481"/>
      <c r="AI618" s="481"/>
      <c r="AJ618" s="481"/>
      <c r="AK618" s="481"/>
      <c r="AL618" s="481"/>
      <c r="AN618" s="439"/>
    </row>
    <row r="619" spans="1:42" s="398" customFormat="1" ht="12.75" customHeight="1">
      <c r="B619" s="385"/>
      <c r="C619" s="737"/>
      <c r="D619" s="481"/>
      <c r="E619" s="2351"/>
      <c r="F619" s="2351"/>
      <c r="G619" s="2351"/>
      <c r="H619" s="2351"/>
      <c r="I619" s="2351"/>
      <c r="J619" s="2351"/>
      <c r="K619" s="2351"/>
      <c r="L619" s="2351"/>
      <c r="M619" s="2351"/>
      <c r="N619" s="2351"/>
      <c r="O619" s="2351"/>
      <c r="P619" s="2351"/>
      <c r="Q619" s="2351"/>
      <c r="R619" s="2351"/>
      <c r="S619" s="2351"/>
      <c r="T619" s="2351"/>
      <c r="U619" s="2351"/>
      <c r="V619" s="2351"/>
      <c r="W619" s="2351"/>
      <c r="X619" s="2351"/>
      <c r="Y619" s="2351"/>
      <c r="Z619" s="2351"/>
      <c r="AA619" s="2351"/>
      <c r="AB619" s="2351"/>
      <c r="AC619" s="2351"/>
      <c r="AD619" s="2351"/>
      <c r="AE619" s="2351"/>
      <c r="AF619" s="2351"/>
      <c r="AG619" s="2351"/>
      <c r="AH619" s="481"/>
      <c r="AI619" s="481"/>
      <c r="AJ619" s="481"/>
      <c r="AK619" s="481"/>
      <c r="AL619" s="481"/>
      <c r="AN619" s="439"/>
    </row>
    <row r="620" spans="1:42" s="398" customFormat="1" ht="12.75" customHeight="1">
      <c r="B620" s="385"/>
      <c r="C620" s="737"/>
      <c r="D620" s="740"/>
      <c r="E620" s="758"/>
      <c r="F620" s="758"/>
      <c r="G620" s="758"/>
      <c r="H620" s="758"/>
      <c r="I620" s="758"/>
      <c r="J620" s="758"/>
      <c r="K620" s="758"/>
      <c r="L620" s="758"/>
      <c r="M620" s="758"/>
      <c r="N620" s="758"/>
      <c r="O620" s="758"/>
      <c r="P620" s="758"/>
      <c r="Q620" s="758"/>
      <c r="R620" s="758"/>
      <c r="S620" s="758"/>
      <c r="T620" s="758"/>
      <c r="U620" s="758"/>
      <c r="V620" s="758"/>
      <c r="W620" s="758"/>
      <c r="X620" s="758"/>
      <c r="Y620" s="758"/>
      <c r="Z620" s="758"/>
      <c r="AA620" s="758"/>
      <c r="AB620" s="758"/>
      <c r="AC620" s="758"/>
      <c r="AD620" s="758"/>
      <c r="AE620" s="758"/>
      <c r="AF620" s="758"/>
      <c r="AG620" s="758"/>
      <c r="AH620" s="740"/>
      <c r="AI620" s="740"/>
      <c r="AJ620" s="740"/>
      <c r="AK620" s="740"/>
      <c r="AL620" s="481"/>
      <c r="AN620" s="439"/>
    </row>
    <row r="621" spans="1:42" s="398" customFormat="1" ht="12.75" customHeight="1">
      <c r="A621" s="447"/>
      <c r="B621" s="443"/>
      <c r="C621" s="741"/>
      <c r="D621" s="443"/>
      <c r="E621" s="742"/>
      <c r="F621" s="742"/>
      <c r="G621" s="742"/>
      <c r="H621" s="742"/>
      <c r="I621" s="742"/>
      <c r="J621" s="742"/>
      <c r="K621" s="742"/>
      <c r="L621" s="742"/>
      <c r="M621" s="742"/>
      <c r="N621" s="742"/>
      <c r="O621" s="742"/>
      <c r="P621" s="742"/>
      <c r="Q621" s="742"/>
      <c r="R621" s="742"/>
      <c r="S621" s="742"/>
      <c r="T621" s="742"/>
      <c r="U621" s="742"/>
      <c r="V621" s="742"/>
      <c r="W621" s="742"/>
      <c r="X621" s="742"/>
      <c r="Y621" s="742"/>
      <c r="Z621" s="742"/>
      <c r="AA621" s="742"/>
      <c r="AB621" s="443"/>
      <c r="AC621" s="443"/>
      <c r="AD621" s="443"/>
      <c r="AE621" s="443"/>
      <c r="AF621" s="443"/>
      <c r="AG621" s="443"/>
      <c r="AH621" s="443"/>
      <c r="AI621" s="411" t="s">
        <v>2490</v>
      </c>
      <c r="AJ621" s="2358">
        <f>VLOOKUP($H$606,$AO$586:$AP$591,2,FALSE)+IF(R606=AO594,0,VLOOKUP($I$614,$AO$613:$AP$615,2,FALSE))</f>
        <v>7</v>
      </c>
      <c r="AK621" s="2360"/>
      <c r="AL621" s="437"/>
      <c r="AM621" s="512"/>
      <c r="AN621" s="439"/>
    </row>
    <row r="622" spans="1:42" s="398" customFormat="1" ht="12.75" customHeight="1">
      <c r="B622" s="385"/>
      <c r="C622" s="737"/>
      <c r="D622" s="385"/>
      <c r="E622" s="1208"/>
      <c r="F622" s="1208"/>
      <c r="G622" s="1208"/>
      <c r="H622" s="1208"/>
      <c r="I622" s="1208"/>
      <c r="J622" s="1208"/>
      <c r="K622" s="1208"/>
      <c r="L622" s="1208"/>
      <c r="M622" s="1208"/>
      <c r="N622" s="1208"/>
      <c r="O622" s="1208"/>
      <c r="P622" s="1208"/>
      <c r="Q622" s="1208"/>
      <c r="R622" s="1208"/>
      <c r="S622" s="1208"/>
      <c r="T622" s="1208"/>
      <c r="U622" s="1208"/>
      <c r="V622" s="1208"/>
      <c r="W622" s="1208"/>
      <c r="X622" s="1208"/>
      <c r="Y622" s="1208"/>
      <c r="Z622" s="1208"/>
      <c r="AA622" s="1208"/>
      <c r="AB622" s="1208"/>
      <c r="AC622" s="385"/>
      <c r="AD622" s="385"/>
      <c r="AE622" s="1208"/>
      <c r="AF622" s="1208"/>
      <c r="AG622" s="1208"/>
      <c r="AH622" s="1208"/>
      <c r="AI622" s="1208"/>
      <c r="AJ622" s="1208"/>
      <c r="AK622" s="1208"/>
      <c r="AL622" s="1208"/>
      <c r="AM622" s="512"/>
      <c r="AN622" s="439"/>
    </row>
    <row r="623" spans="1:42" s="398" customFormat="1" ht="12.75" customHeight="1">
      <c r="B623" s="385"/>
      <c r="C623" s="388" t="s">
        <v>2491</v>
      </c>
      <c r="D623" s="388"/>
      <c r="E623" s="1208"/>
      <c r="F623" s="1208"/>
      <c r="G623" s="1208"/>
      <c r="H623" s="1208"/>
      <c r="I623" s="1208"/>
      <c r="J623" s="1208"/>
      <c r="K623" s="1208"/>
      <c r="L623" s="1208"/>
      <c r="M623" s="1208"/>
      <c r="N623" s="1208"/>
      <c r="O623" s="1208"/>
      <c r="P623" s="1208"/>
      <c r="Q623" s="1208"/>
      <c r="R623" s="1208"/>
      <c r="S623" s="1208"/>
      <c r="T623" s="1208"/>
      <c r="U623" s="1208"/>
      <c r="V623" s="1208"/>
      <c r="W623" s="1208"/>
      <c r="X623" s="1208"/>
      <c r="Y623" s="1208"/>
      <c r="Z623" s="1208"/>
      <c r="AA623" s="1208"/>
      <c r="AB623" s="1208"/>
      <c r="AC623" s="385"/>
      <c r="AD623" s="385"/>
      <c r="AE623" s="385"/>
      <c r="AF623" s="385"/>
      <c r="AG623" s="385"/>
      <c r="AH623" s="385"/>
      <c r="AI623" s="385"/>
      <c r="AJ623" s="385"/>
      <c r="AK623" s="385"/>
      <c r="AL623" s="385"/>
      <c r="AN623" s="439"/>
    </row>
    <row r="624" spans="1:42" s="398" customFormat="1" ht="12.75" customHeight="1">
      <c r="B624" s="451"/>
      <c r="C624" s="385"/>
      <c r="D624" s="739"/>
      <c r="E624" s="1208"/>
      <c r="F624" s="1208"/>
      <c r="G624" s="1208"/>
      <c r="H624" s="1208"/>
      <c r="I624" s="1208"/>
      <c r="J624" s="1208"/>
      <c r="K624" s="1208"/>
      <c r="L624" s="1208"/>
      <c r="M624" s="1208"/>
      <c r="N624" s="1208"/>
      <c r="O624" s="1208"/>
      <c r="P624" s="1208"/>
      <c r="Q624" s="1208"/>
      <c r="R624" s="1208"/>
      <c r="S624" s="1208"/>
      <c r="T624" s="1208"/>
      <c r="U624" s="1208"/>
      <c r="V624" s="1208"/>
      <c r="W624" s="1208"/>
      <c r="X624" s="1208"/>
      <c r="Y624" s="1208"/>
      <c r="Z624" s="1208"/>
      <c r="AA624" s="1208"/>
      <c r="AB624" s="1208"/>
      <c r="AC624" s="385"/>
      <c r="AD624" s="385"/>
      <c r="AE624" s="385"/>
      <c r="AF624" s="385"/>
      <c r="AG624" s="385"/>
      <c r="AH624" s="385"/>
      <c r="AI624" s="385"/>
      <c r="AJ624" s="385"/>
      <c r="AK624" s="385"/>
      <c r="AL624" s="385"/>
      <c r="AN624" s="439"/>
    </row>
    <row r="625" spans="1:42" s="438" customFormat="1" ht="12.75" customHeight="1">
      <c r="A625" s="398"/>
      <c r="B625" s="385"/>
      <c r="C625" s="385"/>
      <c r="D625" s="500" t="s">
        <v>22</v>
      </c>
      <c r="E625" s="2465" t="s">
        <v>2492</v>
      </c>
      <c r="F625" s="2465"/>
      <c r="G625" s="2465"/>
      <c r="H625" s="2465"/>
      <c r="I625" s="2465"/>
      <c r="J625" s="2465"/>
      <c r="K625" s="2465"/>
      <c r="L625" s="2465"/>
      <c r="M625" s="2465"/>
      <c r="N625" s="2465"/>
      <c r="O625" s="2465"/>
      <c r="P625" s="2465"/>
      <c r="Q625" s="2465"/>
      <c r="R625" s="2465"/>
      <c r="S625" s="2465"/>
      <c r="T625" s="2465"/>
      <c r="U625" s="2465"/>
      <c r="V625" s="2465"/>
      <c r="W625" s="2465"/>
      <c r="X625" s="2465"/>
      <c r="Y625" s="2465"/>
      <c r="Z625" s="2465"/>
      <c r="AA625" s="2465"/>
      <c r="AB625" s="2465"/>
      <c r="AC625" s="2465"/>
      <c r="AD625" s="2465"/>
      <c r="AE625" s="388"/>
      <c r="AF625" s="2451" t="s">
        <v>2207</v>
      </c>
      <c r="AG625" s="2451"/>
      <c r="AH625" s="2451"/>
      <c r="AI625" s="2451"/>
      <c r="AJ625" s="2451"/>
      <c r="AK625" s="2451"/>
      <c r="AL625" s="2451"/>
      <c r="AM625" s="398"/>
      <c r="AN625" s="515"/>
    </row>
    <row r="626" spans="1:42" s="398" customFormat="1" ht="12.75" customHeight="1">
      <c r="A626" s="1195"/>
      <c r="B626" s="385"/>
      <c r="C626" s="737"/>
      <c r="D626" s="500"/>
      <c r="E626" s="2465"/>
      <c r="F626" s="2465"/>
      <c r="G626" s="2465"/>
      <c r="H626" s="2465"/>
      <c r="I626" s="2465"/>
      <c r="J626" s="2465"/>
      <c r="K626" s="2465"/>
      <c r="L626" s="2465"/>
      <c r="M626" s="2465"/>
      <c r="N626" s="2465"/>
      <c r="O626" s="2465"/>
      <c r="P626" s="2465"/>
      <c r="Q626" s="2465"/>
      <c r="R626" s="2465"/>
      <c r="S626" s="2465"/>
      <c r="T626" s="2465"/>
      <c r="U626" s="2465"/>
      <c r="V626" s="2465"/>
      <c r="W626" s="2465"/>
      <c r="X626" s="2465"/>
      <c r="Y626" s="2465"/>
      <c r="Z626" s="2465"/>
      <c r="AA626" s="2465"/>
      <c r="AB626" s="2465"/>
      <c r="AC626" s="2465"/>
      <c r="AD626" s="2465"/>
      <c r="AE626" s="385"/>
      <c r="AF626" s="385"/>
      <c r="AG626" s="385"/>
      <c r="AH626" s="385"/>
      <c r="AI626" s="385"/>
      <c r="AJ626" s="385"/>
      <c r="AK626" s="385"/>
      <c r="AL626" s="385"/>
      <c r="AN626" s="439"/>
    </row>
    <row r="627" spans="1:42" s="398" customFormat="1" ht="12.75" customHeight="1">
      <c r="B627" s="385"/>
      <c r="C627" s="735"/>
      <c r="D627" s="500"/>
      <c r="E627" s="2465"/>
      <c r="F627" s="2465"/>
      <c r="G627" s="2465"/>
      <c r="H627" s="2465"/>
      <c r="I627" s="2465"/>
      <c r="J627" s="2465"/>
      <c r="K627" s="2465"/>
      <c r="L627" s="2465"/>
      <c r="M627" s="2465"/>
      <c r="N627" s="2465"/>
      <c r="O627" s="2465"/>
      <c r="P627" s="2465"/>
      <c r="Q627" s="2465"/>
      <c r="R627" s="2465"/>
      <c r="S627" s="2465"/>
      <c r="T627" s="2465"/>
      <c r="U627" s="2465"/>
      <c r="V627" s="2465"/>
      <c r="W627" s="2465"/>
      <c r="X627" s="2465"/>
      <c r="Y627" s="2465"/>
      <c r="Z627" s="2465"/>
      <c r="AA627" s="2465"/>
      <c r="AB627" s="2465"/>
      <c r="AC627" s="2465"/>
      <c r="AD627" s="2465"/>
      <c r="AE627" s="385"/>
      <c r="AF627" s="385"/>
      <c r="AG627" s="385"/>
      <c r="AH627" s="385"/>
      <c r="AI627" s="385"/>
      <c r="AJ627" s="385"/>
      <c r="AK627" s="385"/>
      <c r="AL627" s="385"/>
      <c r="AN627" s="439"/>
    </row>
    <row r="628" spans="1:42" s="398" customFormat="1" ht="12.75" customHeight="1">
      <c r="B628" s="385"/>
      <c r="C628" s="735"/>
      <c r="D628" s="500"/>
      <c r="E628" s="2465"/>
      <c r="F628" s="2465"/>
      <c r="G628" s="2465"/>
      <c r="H628" s="2465"/>
      <c r="I628" s="2465"/>
      <c r="J628" s="2465"/>
      <c r="K628" s="2465"/>
      <c r="L628" s="2465"/>
      <c r="M628" s="2465"/>
      <c r="N628" s="2465"/>
      <c r="O628" s="2465"/>
      <c r="P628" s="2465"/>
      <c r="Q628" s="2465"/>
      <c r="R628" s="2465"/>
      <c r="S628" s="2465"/>
      <c r="T628" s="2465"/>
      <c r="U628" s="2465"/>
      <c r="V628" s="2465"/>
      <c r="W628" s="2465"/>
      <c r="X628" s="2465"/>
      <c r="Y628" s="2465"/>
      <c r="Z628" s="2465"/>
      <c r="AA628" s="2465"/>
      <c r="AB628" s="2465"/>
      <c r="AC628" s="2465"/>
      <c r="AD628" s="2465"/>
      <c r="AE628" s="385"/>
      <c r="AF628" s="385"/>
      <c r="AG628" s="385"/>
      <c r="AH628" s="385"/>
      <c r="AI628" s="385"/>
      <c r="AJ628" s="385"/>
      <c r="AK628" s="385"/>
      <c r="AL628" s="385"/>
      <c r="AN628" s="439"/>
    </row>
    <row r="629" spans="1:42" s="398" customFormat="1" ht="12.75" customHeight="1">
      <c r="B629" s="385"/>
      <c r="C629" s="735"/>
      <c r="D629" s="500"/>
      <c r="E629" s="2465"/>
      <c r="F629" s="2465"/>
      <c r="G629" s="2465"/>
      <c r="H629" s="2465"/>
      <c r="I629" s="2465"/>
      <c r="J629" s="2465"/>
      <c r="K629" s="2465"/>
      <c r="L629" s="2465"/>
      <c r="M629" s="2465"/>
      <c r="N629" s="2465"/>
      <c r="O629" s="2465"/>
      <c r="P629" s="2465"/>
      <c r="Q629" s="2465"/>
      <c r="R629" s="2465"/>
      <c r="S629" s="2465"/>
      <c r="T629" s="2465"/>
      <c r="U629" s="2465"/>
      <c r="V629" s="2465"/>
      <c r="W629" s="2465"/>
      <c r="X629" s="2465"/>
      <c r="Y629" s="2465"/>
      <c r="Z629" s="2465"/>
      <c r="AA629" s="2465"/>
      <c r="AB629" s="2465"/>
      <c r="AC629" s="2465"/>
      <c r="AD629" s="2465"/>
      <c r="AE629" s="385"/>
      <c r="AF629" s="385"/>
      <c r="AG629" s="385"/>
      <c r="AH629" s="385"/>
      <c r="AI629" s="385"/>
      <c r="AJ629" s="385"/>
      <c r="AK629" s="385"/>
      <c r="AL629" s="385"/>
      <c r="AN629" s="439"/>
    </row>
    <row r="630" spans="1:42" s="398" customFormat="1" ht="12.75" customHeight="1">
      <c r="B630" s="385"/>
      <c r="C630" s="735"/>
      <c r="D630" s="500"/>
      <c r="E630" s="2465"/>
      <c r="F630" s="2465"/>
      <c r="G630" s="2465"/>
      <c r="H630" s="2465"/>
      <c r="I630" s="2465"/>
      <c r="J630" s="2465"/>
      <c r="K630" s="2465"/>
      <c r="L630" s="2465"/>
      <c r="M630" s="2465"/>
      <c r="N630" s="2465"/>
      <c r="O630" s="2465"/>
      <c r="P630" s="2465"/>
      <c r="Q630" s="2465"/>
      <c r="R630" s="2465"/>
      <c r="S630" s="2465"/>
      <c r="T630" s="2465"/>
      <c r="U630" s="2465"/>
      <c r="V630" s="2465"/>
      <c r="W630" s="2465"/>
      <c r="X630" s="2465"/>
      <c r="Y630" s="2465"/>
      <c r="Z630" s="2465"/>
      <c r="AA630" s="2465"/>
      <c r="AB630" s="2465"/>
      <c r="AC630" s="2465"/>
      <c r="AD630" s="2465"/>
      <c r="AE630" s="385"/>
      <c r="AF630" s="385"/>
      <c r="AG630" s="385"/>
      <c r="AH630" s="385"/>
      <c r="AI630" s="385"/>
      <c r="AJ630" s="385"/>
      <c r="AK630" s="385"/>
      <c r="AL630" s="385"/>
      <c r="AN630" s="439"/>
    </row>
    <row r="631" spans="1:42" s="398" customFormat="1" ht="12.75" customHeight="1">
      <c r="A631" s="477"/>
      <c r="B631" s="456"/>
      <c r="C631" s="743"/>
      <c r="D631" s="500"/>
      <c r="E631" s="2465"/>
      <c r="F631" s="2465"/>
      <c r="G631" s="2465"/>
      <c r="H631" s="2465"/>
      <c r="I631" s="2465"/>
      <c r="J631" s="2465"/>
      <c r="K631" s="2465"/>
      <c r="L631" s="2465"/>
      <c r="M631" s="2465"/>
      <c r="N631" s="2465"/>
      <c r="O631" s="2465"/>
      <c r="P631" s="2465"/>
      <c r="Q631" s="2465"/>
      <c r="R631" s="2465"/>
      <c r="S631" s="2465"/>
      <c r="T631" s="2465"/>
      <c r="U631" s="2465"/>
      <c r="V631" s="2465"/>
      <c r="W631" s="2465"/>
      <c r="X631" s="2465"/>
      <c r="Y631" s="2465"/>
      <c r="Z631" s="2465"/>
      <c r="AA631" s="2465"/>
      <c r="AB631" s="2465"/>
      <c r="AC631" s="2465"/>
      <c r="AD631" s="2465"/>
      <c r="AE631" s="456"/>
      <c r="AF631" s="456"/>
      <c r="AG631" s="456"/>
      <c r="AH631" s="456"/>
      <c r="AI631" s="456"/>
      <c r="AJ631" s="456"/>
      <c r="AK631" s="385"/>
      <c r="AL631" s="385"/>
      <c r="AN631" s="439"/>
    </row>
    <row r="632" spans="1:42" s="398" customFormat="1" ht="12.75" customHeight="1">
      <c r="B632" s="456"/>
      <c r="C632" s="743"/>
      <c r="D632" s="500"/>
      <c r="E632" s="2465"/>
      <c r="F632" s="2465"/>
      <c r="G632" s="2465"/>
      <c r="H632" s="2465"/>
      <c r="I632" s="2465"/>
      <c r="J632" s="2465"/>
      <c r="K632" s="2465"/>
      <c r="L632" s="2465"/>
      <c r="M632" s="2465"/>
      <c r="N632" s="2465"/>
      <c r="O632" s="2465"/>
      <c r="P632" s="2465"/>
      <c r="Q632" s="2465"/>
      <c r="R632" s="2465"/>
      <c r="S632" s="2465"/>
      <c r="T632" s="2465"/>
      <c r="U632" s="2465"/>
      <c r="V632" s="2465"/>
      <c r="W632" s="2465"/>
      <c r="X632" s="2465"/>
      <c r="Y632" s="2465"/>
      <c r="Z632" s="2465"/>
      <c r="AA632" s="2465"/>
      <c r="AB632" s="2465"/>
      <c r="AC632" s="2465"/>
      <c r="AD632" s="2465"/>
      <c r="AE632" s="456"/>
      <c r="AF632" s="456"/>
      <c r="AG632" s="456"/>
      <c r="AH632" s="456"/>
      <c r="AI632" s="456"/>
      <c r="AJ632" s="456"/>
      <c r="AK632" s="385"/>
      <c r="AL632" s="385"/>
      <c r="AN632" s="439"/>
    </row>
    <row r="633" spans="1:42" s="398" customFormat="1" ht="12" customHeight="1">
      <c r="B633" s="456"/>
      <c r="C633" s="743"/>
      <c r="D633" s="500"/>
      <c r="E633" s="1210"/>
      <c r="F633" s="1210"/>
      <c r="G633" s="1210"/>
      <c r="H633" s="1210"/>
      <c r="I633" s="1210"/>
      <c r="J633" s="1210"/>
      <c r="K633" s="1210"/>
      <c r="L633" s="1210"/>
      <c r="M633" s="1210"/>
      <c r="N633" s="1210"/>
      <c r="O633" s="1210"/>
      <c r="P633" s="1210"/>
      <c r="Q633" s="1210"/>
      <c r="R633" s="1210"/>
      <c r="S633" s="1210"/>
      <c r="T633" s="1210"/>
      <c r="U633" s="1210"/>
      <c r="V633" s="1210"/>
      <c r="W633" s="1210"/>
      <c r="X633" s="1210"/>
      <c r="Y633" s="1210"/>
      <c r="Z633" s="1210"/>
      <c r="AA633" s="1210"/>
      <c r="AB633" s="1210"/>
      <c r="AC633" s="1210"/>
      <c r="AD633" s="1210"/>
      <c r="AE633" s="456"/>
      <c r="AF633" s="456"/>
      <c r="AG633" s="456"/>
      <c r="AH633" s="456"/>
      <c r="AI633" s="456"/>
      <c r="AJ633" s="456"/>
      <c r="AK633" s="385"/>
      <c r="AL633" s="385"/>
      <c r="AN633" s="439"/>
      <c r="AO633" s="398" t="s">
        <v>810</v>
      </c>
      <c r="AP633" s="510">
        <v>0</v>
      </c>
    </row>
    <row r="634" spans="1:42" s="398" customFormat="1" ht="12.75" customHeight="1">
      <c r="B634" s="456"/>
      <c r="C634" s="735"/>
      <c r="D634" s="500"/>
      <c r="E634" s="456" t="s">
        <v>2493</v>
      </c>
      <c r="F634" s="744"/>
      <c r="G634" s="744"/>
      <c r="H634" s="744"/>
      <c r="I634" s="744"/>
      <c r="J634" s="744"/>
      <c r="K634" s="744"/>
      <c r="L634" s="744"/>
      <c r="M634" s="744"/>
      <c r="N634" s="744"/>
      <c r="O634" s="744"/>
      <c r="P634" s="744"/>
      <c r="Q634" s="744"/>
      <c r="R634" s="744"/>
      <c r="U634" s="744"/>
      <c r="V634" s="744"/>
      <c r="W634" s="744"/>
      <c r="X634" s="2323" t="s">
        <v>810</v>
      </c>
      <c r="Y634" s="2323"/>
      <c r="Z634" s="744"/>
      <c r="AA634" s="744"/>
      <c r="AB634" s="744"/>
      <c r="AC634" s="744"/>
      <c r="AD634" s="744"/>
      <c r="AE634" s="385"/>
      <c r="AF634" s="456"/>
      <c r="AG634" s="456"/>
      <c r="AH634" s="456"/>
      <c r="AI634" s="456"/>
      <c r="AJ634" s="456"/>
      <c r="AK634" s="385"/>
      <c r="AL634" s="385"/>
      <c r="AN634" s="439"/>
      <c r="AO634" s="452" t="s">
        <v>22</v>
      </c>
      <c r="AP634" s="398">
        <v>5</v>
      </c>
    </row>
    <row r="635" spans="1:42" s="398" customFormat="1" ht="12.75" customHeight="1">
      <c r="B635" s="456"/>
      <c r="C635" s="743"/>
      <c r="D635" s="385"/>
      <c r="E635" s="385"/>
      <c r="F635" s="385"/>
      <c r="G635" s="385"/>
      <c r="H635" s="385"/>
      <c r="I635" s="385"/>
      <c r="J635" s="385"/>
      <c r="K635" s="385"/>
      <c r="L635" s="385"/>
      <c r="M635" s="385"/>
      <c r="N635" s="385"/>
      <c r="O635" s="385"/>
      <c r="P635" s="385"/>
      <c r="Q635" s="385"/>
      <c r="R635" s="385"/>
      <c r="S635" s="385"/>
      <c r="T635" s="385"/>
      <c r="U635" s="385"/>
      <c r="V635" s="385"/>
      <c r="W635" s="456"/>
      <c r="X635" s="456"/>
      <c r="Y635" s="456"/>
      <c r="Z635" s="456"/>
      <c r="AA635" s="456"/>
      <c r="AB635" s="456"/>
      <c r="AC635" s="385"/>
      <c r="AD635" s="385"/>
      <c r="AE635" s="385"/>
      <c r="AF635" s="385"/>
      <c r="AG635" s="385"/>
      <c r="AH635" s="385"/>
      <c r="AI635" s="385"/>
      <c r="AJ635" s="385"/>
      <c r="AK635" s="385"/>
      <c r="AL635" s="385"/>
      <c r="AN635" s="439"/>
      <c r="AO635" s="452" t="s">
        <v>27</v>
      </c>
      <c r="AP635" s="516">
        <v>4</v>
      </c>
    </row>
    <row r="636" spans="1:42" s="398" customFormat="1" ht="12.75" customHeight="1">
      <c r="B636" s="385"/>
      <c r="C636" s="735"/>
      <c r="D636" s="500" t="s">
        <v>27</v>
      </c>
      <c r="E636" s="401" t="s">
        <v>2494</v>
      </c>
      <c r="F636" s="745"/>
      <c r="G636" s="745"/>
      <c r="H636" s="745"/>
      <c r="I636" s="745"/>
      <c r="J636" s="745"/>
      <c r="K636" s="745"/>
      <c r="L636" s="745"/>
      <c r="M636" s="745"/>
      <c r="N636" s="745"/>
      <c r="O636" s="745"/>
      <c r="P636" s="745"/>
      <c r="Q636" s="745"/>
      <c r="R636" s="745"/>
      <c r="S636" s="745"/>
      <c r="T636" s="745"/>
      <c r="U636" s="385"/>
      <c r="V636" s="385"/>
      <c r="W636" s="745"/>
      <c r="X636" s="745"/>
      <c r="Y636" s="745"/>
      <c r="Z636" s="745"/>
      <c r="AA636" s="745"/>
      <c r="AB636" s="745"/>
      <c r="AC636" s="385"/>
      <c r="AD636" s="385"/>
      <c r="AE636" s="385"/>
      <c r="AF636" s="2451" t="s">
        <v>2495</v>
      </c>
      <c r="AG636" s="2451"/>
      <c r="AH636" s="2451"/>
      <c r="AI636" s="2451"/>
      <c r="AJ636" s="2451"/>
      <c r="AK636" s="2451"/>
      <c r="AL636" s="2451"/>
      <c r="AN636" s="439"/>
      <c r="AO636" s="452" t="s">
        <v>49</v>
      </c>
      <c r="AP636" s="398">
        <v>3</v>
      </c>
    </row>
    <row r="637" spans="1:42" s="398" customFormat="1" ht="12.75" customHeight="1">
      <c r="B637" s="385"/>
      <c r="C637" s="735"/>
      <c r="D637" s="385"/>
      <c r="E637" s="385"/>
      <c r="F637" s="745"/>
      <c r="G637" s="745"/>
      <c r="H637" s="745"/>
      <c r="I637" s="745"/>
      <c r="J637" s="745"/>
      <c r="K637" s="745"/>
      <c r="L637" s="745"/>
      <c r="M637" s="745"/>
      <c r="N637" s="745"/>
      <c r="O637" s="745"/>
      <c r="P637" s="745"/>
      <c r="Q637" s="745"/>
      <c r="R637" s="745"/>
      <c r="S637" s="745"/>
      <c r="T637" s="745"/>
      <c r="U637" s="385"/>
      <c r="V637" s="385"/>
      <c r="W637" s="385"/>
      <c r="X637" s="745"/>
      <c r="Y637" s="745"/>
      <c r="Z637" s="745"/>
      <c r="AA637" s="745"/>
      <c r="AB637" s="745"/>
      <c r="AC637" s="385"/>
      <c r="AD637" s="385"/>
      <c r="AE637" s="385"/>
      <c r="AF637" s="385"/>
      <c r="AG637" s="385"/>
      <c r="AH637" s="385"/>
      <c r="AI637" s="385"/>
      <c r="AJ637" s="385"/>
      <c r="AK637" s="385"/>
      <c r="AL637" s="385"/>
      <c r="AN637" s="439"/>
      <c r="AO637" s="452" t="s">
        <v>2465</v>
      </c>
      <c r="AP637" s="516">
        <v>4</v>
      </c>
    </row>
    <row r="638" spans="1:42" s="398" customFormat="1" ht="12.75" customHeight="1">
      <c r="B638" s="385"/>
      <c r="C638" s="735"/>
      <c r="D638" s="385" t="s">
        <v>2481</v>
      </c>
      <c r="E638" s="1208"/>
      <c r="F638" s="1208"/>
      <c r="G638" s="1208"/>
      <c r="H638" s="2375" t="s">
        <v>22</v>
      </c>
      <c r="I638" s="2375"/>
      <c r="J638" s="745"/>
      <c r="K638" s="745"/>
      <c r="L638" s="745"/>
      <c r="M638" s="745"/>
      <c r="N638" s="745"/>
      <c r="O638" s="745"/>
      <c r="P638" s="745"/>
      <c r="Q638" s="745"/>
      <c r="R638" s="745"/>
      <c r="S638" s="745"/>
      <c r="T638" s="745"/>
      <c r="U638" s="1208"/>
      <c r="V638" s="1208"/>
      <c r="W638" s="1208"/>
      <c r="X638" s="385"/>
      <c r="Y638" s="385"/>
      <c r="Z638" s="385"/>
      <c r="AA638" s="385"/>
      <c r="AB638" s="385"/>
      <c r="AC638" s="385"/>
      <c r="AD638" s="385"/>
      <c r="AE638" s="385"/>
      <c r="AF638" s="385"/>
      <c r="AG638" s="385"/>
      <c r="AH638" s="385"/>
      <c r="AI638" s="385"/>
      <c r="AJ638" s="385"/>
      <c r="AK638" s="385"/>
      <c r="AL638" s="385"/>
      <c r="AN638" s="439"/>
      <c r="AO638" s="452" t="s">
        <v>2468</v>
      </c>
      <c r="AP638" s="398">
        <v>3</v>
      </c>
    </row>
    <row r="639" spans="1:42" s="398" customFormat="1" ht="12.75" customHeight="1">
      <c r="B639" s="385"/>
      <c r="C639" s="735"/>
      <c r="D639" s="385"/>
      <c r="E639" s="1208"/>
      <c r="F639" s="745"/>
      <c r="G639" s="745"/>
      <c r="H639" s="745"/>
      <c r="I639" s="746"/>
      <c r="J639" s="745"/>
      <c r="K639" s="745"/>
      <c r="L639" s="745"/>
      <c r="M639" s="745"/>
      <c r="N639" s="745"/>
      <c r="O639" s="745"/>
      <c r="P639" s="745"/>
      <c r="Q639" s="745"/>
      <c r="R639" s="385"/>
      <c r="S639" s="385"/>
      <c r="T639" s="745"/>
      <c r="U639" s="1208"/>
      <c r="V639" s="1208"/>
      <c r="W639" s="1208"/>
      <c r="X639" s="1208"/>
      <c r="Y639" s="1208"/>
      <c r="Z639" s="1208"/>
      <c r="AA639" s="1208"/>
      <c r="AB639" s="1208"/>
      <c r="AC639" s="385"/>
      <c r="AD639" s="385"/>
      <c r="AE639" s="385"/>
      <c r="AF639" s="385"/>
      <c r="AG639" s="385"/>
      <c r="AH639" s="385"/>
      <c r="AI639" s="745"/>
      <c r="AJ639" s="745"/>
      <c r="AK639" s="745"/>
      <c r="AL639" s="745"/>
      <c r="AM639" s="517"/>
      <c r="AN639" s="439"/>
      <c r="AO639" s="452" t="s">
        <v>2496</v>
      </c>
      <c r="AP639" s="398">
        <v>2</v>
      </c>
    </row>
    <row r="640" spans="1:42" s="398" customFormat="1" ht="12.75" customHeight="1">
      <c r="A640" s="447"/>
      <c r="B640" s="443"/>
      <c r="C640" s="747"/>
      <c r="D640" s="443"/>
      <c r="E640" s="742"/>
      <c r="F640" s="742"/>
      <c r="G640" s="748"/>
      <c r="H640" s="748"/>
      <c r="I640" s="748"/>
      <c r="J640" s="748"/>
      <c r="K640" s="748"/>
      <c r="L640" s="748"/>
      <c r="M640" s="748"/>
      <c r="N640" s="748"/>
      <c r="O640" s="748"/>
      <c r="P640" s="748"/>
      <c r="Q640" s="748"/>
      <c r="R640" s="748"/>
      <c r="S640" s="748"/>
      <c r="T640" s="742"/>
      <c r="U640" s="742"/>
      <c r="V640" s="742"/>
      <c r="W640" s="742"/>
      <c r="X640" s="742"/>
      <c r="Y640" s="742"/>
      <c r="Z640" s="742"/>
      <c r="AA640" s="742"/>
      <c r="AB640" s="443"/>
      <c r="AC640" s="443"/>
      <c r="AD640" s="443"/>
      <c r="AE640" s="443"/>
      <c r="AF640" s="443"/>
      <c r="AG640" s="443"/>
      <c r="AH640" s="443"/>
      <c r="AI640" s="411" t="s">
        <v>2497</v>
      </c>
      <c r="AJ640" s="2358">
        <f>VLOOKUP($H$638,$AO$605:$AP$607,2,FALSE)</f>
        <v>3</v>
      </c>
      <c r="AK640" s="2360"/>
      <c r="AL640" s="437"/>
      <c r="AN640" s="439"/>
      <c r="AO640" s="452" t="s">
        <v>2498</v>
      </c>
      <c r="AP640" s="398">
        <v>1</v>
      </c>
    </row>
    <row r="641" spans="1:42" s="398" customFormat="1" ht="12.75" customHeight="1">
      <c r="B641" s="385"/>
      <c r="C641" s="735"/>
      <c r="D641" s="385"/>
      <c r="E641" s="1208"/>
      <c r="F641" s="1208"/>
      <c r="G641" s="1208"/>
      <c r="H641" s="385"/>
      <c r="I641" s="385"/>
      <c r="J641" s="745"/>
      <c r="K641" s="745"/>
      <c r="L641" s="745"/>
      <c r="M641" s="745"/>
      <c r="N641" s="745"/>
      <c r="O641" s="745"/>
      <c r="P641" s="745"/>
      <c r="Q641" s="745"/>
      <c r="R641" s="745"/>
      <c r="S641" s="745"/>
      <c r="T641" s="745"/>
      <c r="U641" s="1208"/>
      <c r="V641" s="1208"/>
      <c r="W641" s="1208"/>
      <c r="X641" s="1208"/>
      <c r="Y641" s="1208"/>
      <c r="Z641" s="1208"/>
      <c r="AA641" s="1208"/>
      <c r="AB641" s="1208"/>
      <c r="AC641" s="385"/>
      <c r="AD641" s="385"/>
      <c r="AE641" s="385"/>
      <c r="AF641" s="385"/>
      <c r="AG641" s="385"/>
      <c r="AH641" s="385"/>
      <c r="AI641" s="385"/>
      <c r="AJ641" s="1200"/>
      <c r="AK641" s="385"/>
      <c r="AL641" s="385"/>
      <c r="AN641" s="439"/>
    </row>
    <row r="642" spans="1:42" s="398" customFormat="1" ht="12.75" customHeight="1">
      <c r="B642" s="385"/>
      <c r="C642" s="388" t="s">
        <v>2499</v>
      </c>
      <c r="D642" s="385"/>
      <c r="E642" s="1208"/>
      <c r="F642" s="745"/>
      <c r="G642" s="745"/>
      <c r="H642" s="745"/>
      <c r="I642" s="745"/>
      <c r="J642" s="745"/>
      <c r="K642" s="745"/>
      <c r="L642" s="745"/>
      <c r="M642" s="745"/>
      <c r="N642" s="745"/>
      <c r="O642" s="745"/>
      <c r="P642" s="745"/>
      <c r="Q642" s="745"/>
      <c r="R642" s="745"/>
      <c r="S642" s="745"/>
      <c r="T642" s="745"/>
      <c r="U642" s="385"/>
      <c r="V642" s="385"/>
      <c r="W642" s="745"/>
      <c r="X642" s="745"/>
      <c r="Y642" s="745"/>
      <c r="Z642" s="745"/>
      <c r="AA642" s="745"/>
      <c r="AB642" s="745"/>
      <c r="AC642" s="1205"/>
      <c r="AD642" s="1205"/>
      <c r="AE642" s="1205"/>
      <c r="AF642" s="1205"/>
      <c r="AG642" s="1205"/>
      <c r="AH642" s="1205"/>
      <c r="AI642" s="1205"/>
      <c r="AJ642" s="385"/>
      <c r="AK642" s="385"/>
      <c r="AL642" s="385"/>
      <c r="AN642" s="439"/>
    </row>
    <row r="643" spans="1:42" s="398" customFormat="1" ht="12.75" customHeight="1">
      <c r="A643" s="477"/>
      <c r="B643" s="385"/>
      <c r="C643" s="737"/>
      <c r="D643" s="385"/>
      <c r="E643" s="745"/>
      <c r="F643" s="745"/>
      <c r="G643" s="745"/>
      <c r="H643" s="745"/>
      <c r="I643" s="745"/>
      <c r="J643" s="745"/>
      <c r="K643" s="745"/>
      <c r="L643" s="745"/>
      <c r="M643" s="745"/>
      <c r="N643" s="745"/>
      <c r="O643" s="745"/>
      <c r="P643" s="745"/>
      <c r="Q643" s="745"/>
      <c r="R643" s="745"/>
      <c r="S643" s="745"/>
      <c r="T643" s="745"/>
      <c r="U643" s="745"/>
      <c r="V643" s="745"/>
      <c r="W643" s="745"/>
      <c r="X643" s="745"/>
      <c r="Y643" s="745"/>
      <c r="Z643" s="745"/>
      <c r="AA643" s="745"/>
      <c r="AB643" s="745"/>
      <c r="AC643" s="385"/>
      <c r="AD643" s="385"/>
      <c r="AE643" s="385"/>
      <c r="AF643" s="385"/>
      <c r="AG643" s="385"/>
      <c r="AH643" s="385"/>
      <c r="AI643" s="385"/>
      <c r="AJ643" s="385"/>
      <c r="AK643" s="385"/>
      <c r="AL643" s="385"/>
      <c r="AN643" s="439"/>
    </row>
    <row r="644" spans="1:42" s="398" customFormat="1" ht="12.75" customHeight="1">
      <c r="B644" s="385"/>
      <c r="C644" s="385"/>
      <c r="D644" s="500" t="s">
        <v>22</v>
      </c>
      <c r="E644" s="2351" t="s">
        <v>2500</v>
      </c>
      <c r="F644" s="2351"/>
      <c r="G644" s="2351"/>
      <c r="H644" s="2351"/>
      <c r="I644" s="2351"/>
      <c r="J644" s="2351"/>
      <c r="K644" s="2351"/>
      <c r="L644" s="2351"/>
      <c r="M644" s="2351"/>
      <c r="N644" s="2351"/>
      <c r="O644" s="2351"/>
      <c r="P644" s="2351"/>
      <c r="Q644" s="2351"/>
      <c r="R644" s="2351"/>
      <c r="S644" s="2351"/>
      <c r="T644" s="2351"/>
      <c r="U644" s="2351"/>
      <c r="V644" s="2351"/>
      <c r="W644" s="2351"/>
      <c r="X644" s="2351"/>
      <c r="Y644" s="2351"/>
      <c r="Z644" s="2351"/>
      <c r="AA644" s="2351"/>
      <c r="AB644" s="2351"/>
      <c r="AC644" s="2351"/>
      <c r="AD644" s="2351"/>
      <c r="AE644" s="385"/>
      <c r="AF644" s="2451" t="s">
        <v>2207</v>
      </c>
      <c r="AG644" s="2451"/>
      <c r="AH644" s="2451"/>
      <c r="AI644" s="2451"/>
      <c r="AJ644" s="2451"/>
      <c r="AK644" s="2451"/>
      <c r="AL644" s="2451"/>
      <c r="AN644" s="439"/>
    </row>
    <row r="645" spans="1:42" s="398" customFormat="1" ht="12.75" customHeight="1">
      <c r="B645" s="385"/>
      <c r="C645" s="385"/>
      <c r="D645" s="500"/>
      <c r="E645" s="2351"/>
      <c r="F645" s="2351"/>
      <c r="G645" s="2351"/>
      <c r="H645" s="2351"/>
      <c r="I645" s="2351"/>
      <c r="J645" s="2351"/>
      <c r="K645" s="2351"/>
      <c r="L645" s="2351"/>
      <c r="M645" s="2351"/>
      <c r="N645" s="2351"/>
      <c r="O645" s="2351"/>
      <c r="P645" s="2351"/>
      <c r="Q645" s="2351"/>
      <c r="R645" s="2351"/>
      <c r="S645" s="2351"/>
      <c r="T645" s="2351"/>
      <c r="U645" s="2351"/>
      <c r="V645" s="2351"/>
      <c r="W645" s="2351"/>
      <c r="X645" s="2351"/>
      <c r="Y645" s="2351"/>
      <c r="Z645" s="2351"/>
      <c r="AA645" s="2351"/>
      <c r="AB645" s="2351"/>
      <c r="AC645" s="2351"/>
      <c r="AD645" s="2351"/>
      <c r="AE645" s="1205"/>
      <c r="AF645" s="1205"/>
      <c r="AG645" s="1205"/>
      <c r="AH645" s="1205"/>
      <c r="AI645" s="1205"/>
      <c r="AJ645" s="1205"/>
      <c r="AK645" s="1205"/>
      <c r="AL645" s="1205"/>
      <c r="AN645" s="439"/>
    </row>
    <row r="646" spans="1:42" s="398" customFormat="1" ht="12.75" customHeight="1">
      <c r="B646" s="456"/>
      <c r="C646" s="743"/>
      <c r="D646" s="500"/>
      <c r="E646" s="456"/>
      <c r="F646" s="456"/>
      <c r="G646" s="456"/>
      <c r="H646" s="456"/>
      <c r="I646" s="456"/>
      <c r="J646" s="456"/>
      <c r="K646" s="456"/>
      <c r="L646" s="456"/>
      <c r="M646" s="456"/>
      <c r="N646" s="456"/>
      <c r="O646" s="456"/>
      <c r="P646" s="456"/>
      <c r="Q646" s="456"/>
      <c r="R646" s="456"/>
      <c r="S646" s="456"/>
      <c r="T646" s="456"/>
      <c r="U646" s="456"/>
      <c r="V646" s="456"/>
      <c r="W646" s="456"/>
      <c r="X646" s="456"/>
      <c r="Y646" s="456"/>
      <c r="Z646" s="456"/>
      <c r="AA646" s="456"/>
      <c r="AB646" s="456"/>
      <c r="AC646" s="385"/>
      <c r="AD646" s="385"/>
      <c r="AE646" s="456"/>
      <c r="AF646" s="385"/>
      <c r="AG646" s="385"/>
      <c r="AH646" s="385"/>
      <c r="AI646" s="385"/>
      <c r="AJ646" s="385"/>
      <c r="AK646" s="385"/>
      <c r="AL646" s="385"/>
      <c r="AN646" s="439"/>
    </row>
    <row r="647" spans="1:42" s="398" customFormat="1" ht="12.75" customHeight="1">
      <c r="B647" s="385"/>
      <c r="C647" s="735"/>
      <c r="D647" s="500" t="s">
        <v>27</v>
      </c>
      <c r="E647" s="456" t="s">
        <v>2501</v>
      </c>
      <c r="F647" s="456"/>
      <c r="G647" s="456"/>
      <c r="H647" s="456"/>
      <c r="I647" s="456"/>
      <c r="J647" s="456"/>
      <c r="K647" s="456"/>
      <c r="L647" s="456"/>
      <c r="M647" s="456"/>
      <c r="N647" s="456"/>
      <c r="O647" s="456"/>
      <c r="P647" s="456"/>
      <c r="Q647" s="456"/>
      <c r="R647" s="456"/>
      <c r="S647" s="456"/>
      <c r="T647" s="456"/>
      <c r="U647" s="456"/>
      <c r="V647" s="456"/>
      <c r="W647" s="456"/>
      <c r="X647" s="456"/>
      <c r="Y647" s="456"/>
      <c r="Z647" s="456"/>
      <c r="AA647" s="456"/>
      <c r="AB647" s="456"/>
      <c r="AC647" s="385"/>
      <c r="AD647" s="385"/>
      <c r="AE647" s="385"/>
      <c r="AF647" s="2451" t="s">
        <v>2495</v>
      </c>
      <c r="AG647" s="2451"/>
      <c r="AH647" s="2451"/>
      <c r="AI647" s="2451"/>
      <c r="AJ647" s="2451"/>
      <c r="AK647" s="2451"/>
      <c r="AL647" s="2451"/>
      <c r="AN647" s="439"/>
    </row>
    <row r="648" spans="1:42" s="398" customFormat="1" ht="12.75" customHeight="1">
      <c r="B648" s="385"/>
      <c r="C648" s="735"/>
      <c r="D648" s="500"/>
      <c r="E648" s="456" t="s">
        <v>2502</v>
      </c>
      <c r="F648" s="456"/>
      <c r="G648" s="456"/>
      <c r="H648" s="456"/>
      <c r="I648" s="456"/>
      <c r="J648" s="456"/>
      <c r="K648" s="456"/>
      <c r="L648" s="456"/>
      <c r="M648" s="456"/>
      <c r="N648" s="456"/>
      <c r="O648" s="456"/>
      <c r="P648" s="456"/>
      <c r="Q648" s="456"/>
      <c r="R648" s="456"/>
      <c r="S648" s="456"/>
      <c r="T648" s="456"/>
      <c r="U648" s="456"/>
      <c r="V648" s="456"/>
      <c r="W648" s="456"/>
      <c r="X648" s="456"/>
      <c r="Y648" s="456"/>
      <c r="Z648" s="456"/>
      <c r="AA648" s="456"/>
      <c r="AB648" s="456"/>
      <c r="AC648" s="385"/>
      <c r="AD648" s="385"/>
      <c r="AE648" s="1205"/>
      <c r="AF648" s="1205"/>
      <c r="AG648" s="1205"/>
      <c r="AH648" s="1205"/>
      <c r="AI648" s="1205"/>
      <c r="AJ648" s="1205"/>
      <c r="AK648" s="1205"/>
      <c r="AL648" s="1205"/>
      <c r="AN648" s="439"/>
    </row>
    <row r="649" spans="1:42" s="398" customFormat="1" ht="12.75" customHeight="1">
      <c r="B649" s="385"/>
      <c r="C649" s="735"/>
      <c r="D649" s="385"/>
      <c r="E649" s="456"/>
      <c r="F649" s="456"/>
      <c r="G649" s="456"/>
      <c r="H649" s="456"/>
      <c r="I649" s="456"/>
      <c r="J649" s="456"/>
      <c r="K649" s="456"/>
      <c r="L649" s="456"/>
      <c r="M649" s="456"/>
      <c r="N649" s="456"/>
      <c r="O649" s="456"/>
      <c r="P649" s="456"/>
      <c r="Q649" s="456"/>
      <c r="R649" s="456"/>
      <c r="S649" s="456"/>
      <c r="T649" s="456"/>
      <c r="U649" s="456"/>
      <c r="V649" s="456"/>
      <c r="W649" s="456"/>
      <c r="X649" s="456"/>
      <c r="Y649" s="456"/>
      <c r="Z649" s="456"/>
      <c r="AA649" s="456"/>
      <c r="AB649" s="456"/>
      <c r="AC649" s="385"/>
      <c r="AD649" s="385"/>
      <c r="AE649" s="385"/>
      <c r="AF649" s="385"/>
      <c r="AG649" s="385"/>
      <c r="AH649" s="385"/>
      <c r="AI649" s="385"/>
      <c r="AJ649" s="385"/>
      <c r="AK649" s="385"/>
      <c r="AL649" s="385"/>
      <c r="AN649" s="439"/>
      <c r="AP649" s="516"/>
    </row>
    <row r="650" spans="1:42" s="398" customFormat="1" ht="12.75" customHeight="1">
      <c r="B650" s="385"/>
      <c r="C650" s="735"/>
      <c r="D650" s="385" t="s">
        <v>2481</v>
      </c>
      <c r="E650" s="1208"/>
      <c r="F650" s="1208"/>
      <c r="G650" s="1208"/>
      <c r="H650" s="2375" t="s">
        <v>810</v>
      </c>
      <c r="I650" s="2375"/>
      <c r="J650" s="456"/>
      <c r="K650" s="456"/>
      <c r="L650" s="456"/>
      <c r="M650" s="456"/>
      <c r="N650" s="456"/>
      <c r="O650" s="456"/>
      <c r="P650" s="456"/>
      <c r="Q650" s="456"/>
      <c r="R650" s="456"/>
      <c r="S650" s="456"/>
      <c r="T650" s="456"/>
      <c r="U650" s="456"/>
      <c r="V650" s="456"/>
      <c r="W650" s="385"/>
      <c r="X650" s="385"/>
      <c r="Y650" s="385"/>
      <c r="Z650" s="385"/>
      <c r="AA650" s="385"/>
      <c r="AB650" s="385"/>
      <c r="AC650" s="385"/>
      <c r="AD650" s="385"/>
      <c r="AE650" s="385"/>
      <c r="AF650" s="385"/>
      <c r="AG650" s="385"/>
      <c r="AH650" s="385"/>
      <c r="AI650" s="385"/>
      <c r="AJ650" s="385"/>
      <c r="AK650" s="385"/>
      <c r="AL650" s="385"/>
      <c r="AN650" s="439"/>
    </row>
    <row r="651" spans="1:42" s="398" customFormat="1" ht="12.75" customHeight="1">
      <c r="B651" s="385"/>
      <c r="C651" s="735"/>
      <c r="D651" s="385"/>
      <c r="E651" s="1208"/>
      <c r="F651" s="1208"/>
      <c r="G651" s="456"/>
      <c r="H651" s="456"/>
      <c r="I651" s="456"/>
      <c r="J651" s="456"/>
      <c r="K651" s="456"/>
      <c r="L651" s="456"/>
      <c r="M651" s="456"/>
      <c r="N651" s="456"/>
      <c r="O651" s="456"/>
      <c r="P651" s="456"/>
      <c r="Q651" s="456"/>
      <c r="R651" s="456"/>
      <c r="S651" s="456"/>
      <c r="T651" s="456"/>
      <c r="U651" s="456"/>
      <c r="V651" s="456"/>
      <c r="W651" s="456"/>
      <c r="X651" s="456"/>
      <c r="Y651" s="456"/>
      <c r="Z651" s="1208"/>
      <c r="AA651" s="1208"/>
      <c r="AB651" s="1208"/>
      <c r="AC651" s="385"/>
      <c r="AD651" s="385"/>
      <c r="AE651" s="385"/>
      <c r="AF651" s="385"/>
      <c r="AG651" s="385"/>
      <c r="AH651" s="385"/>
      <c r="AI651" s="385"/>
      <c r="AJ651" s="456"/>
      <c r="AK651" s="456"/>
      <c r="AL651" s="456"/>
      <c r="AM651" s="399"/>
      <c r="AN651" s="439"/>
    </row>
    <row r="652" spans="1:42" s="398" customFormat="1" ht="12.75" customHeight="1">
      <c r="A652" s="447"/>
      <c r="B652" s="443"/>
      <c r="C652" s="747"/>
      <c r="D652" s="443"/>
      <c r="E652" s="742"/>
      <c r="F652" s="742"/>
      <c r="G652" s="502"/>
      <c r="H652" s="502"/>
      <c r="I652" s="502"/>
      <c r="J652" s="502"/>
      <c r="K652" s="502"/>
      <c r="L652" s="502"/>
      <c r="M652" s="502"/>
      <c r="N652" s="502"/>
      <c r="O652" s="502"/>
      <c r="P652" s="502"/>
      <c r="Q652" s="502"/>
      <c r="R652" s="502"/>
      <c r="S652" s="502"/>
      <c r="T652" s="502"/>
      <c r="U652" s="502"/>
      <c r="V652" s="502"/>
      <c r="W652" s="502"/>
      <c r="X652" s="502"/>
      <c r="Y652" s="742"/>
      <c r="Z652" s="742"/>
      <c r="AA652" s="742"/>
      <c r="AB652" s="443"/>
      <c r="AC652" s="443"/>
      <c r="AD652" s="443"/>
      <c r="AE652" s="443"/>
      <c r="AF652" s="443"/>
      <c r="AG652" s="443"/>
      <c r="AH652" s="443"/>
      <c r="AI652" s="411" t="s">
        <v>2503</v>
      </c>
      <c r="AJ652" s="2358">
        <f>VLOOKUP(H650,AT605:AU607,2,FALSE)</f>
        <v>0</v>
      </c>
      <c r="AK652" s="2360"/>
      <c r="AL652" s="437"/>
      <c r="AN652" s="439"/>
    </row>
    <row r="653" spans="1:42" s="398" customFormat="1" ht="12.75" customHeight="1">
      <c r="B653" s="385"/>
      <c r="C653" s="735"/>
      <c r="D653" s="385"/>
      <c r="E653" s="385"/>
      <c r="F653" s="385"/>
      <c r="G653" s="385"/>
      <c r="H653" s="385"/>
      <c r="I653" s="385"/>
      <c r="J653" s="385"/>
      <c r="K653" s="385"/>
      <c r="L653" s="385"/>
      <c r="M653" s="385"/>
      <c r="N653" s="385"/>
      <c r="O653" s="385"/>
      <c r="P653" s="385"/>
      <c r="Q653" s="385"/>
      <c r="R653" s="385"/>
      <c r="S653" s="385"/>
      <c r="T653" s="385"/>
      <c r="U653" s="385"/>
      <c r="V653" s="385"/>
      <c r="W653" s="385"/>
      <c r="X653" s="385"/>
      <c r="Y653" s="385"/>
      <c r="Z653" s="385"/>
      <c r="AA653" s="385"/>
      <c r="AB653" s="385"/>
      <c r="AC653" s="385"/>
      <c r="AD653" s="385"/>
      <c r="AE653" s="385"/>
      <c r="AF653" s="385"/>
      <c r="AG653" s="385"/>
      <c r="AH653" s="385"/>
      <c r="AI653" s="385"/>
      <c r="AJ653" s="385"/>
      <c r="AK653" s="385"/>
      <c r="AL653" s="385"/>
      <c r="AN653" s="439"/>
    </row>
    <row r="654" spans="1:42" s="398" customFormat="1" ht="12.75" customHeight="1">
      <c r="B654" s="385"/>
      <c r="C654" s="388" t="s">
        <v>2504</v>
      </c>
      <c r="D654" s="385"/>
      <c r="E654" s="385"/>
      <c r="F654" s="385"/>
      <c r="G654" s="385"/>
      <c r="H654" s="385"/>
      <c r="I654" s="385"/>
      <c r="J654" s="385"/>
      <c r="K654" s="385"/>
      <c r="L654" s="385"/>
      <c r="M654" s="385"/>
      <c r="N654" s="385"/>
      <c r="O654" s="385"/>
      <c r="P654" s="385"/>
      <c r="Q654" s="385"/>
      <c r="R654" s="385"/>
      <c r="S654" s="385"/>
      <c r="T654" s="385"/>
      <c r="U654" s="385"/>
      <c r="V654" s="385"/>
      <c r="W654" s="385"/>
      <c r="X654" s="385"/>
      <c r="Y654" s="385"/>
      <c r="Z654" s="385"/>
      <c r="AA654" s="385"/>
      <c r="AB654" s="385"/>
      <c r="AC654" s="385"/>
      <c r="AD654" s="385"/>
      <c r="AE654" s="385"/>
      <c r="AF654" s="385"/>
      <c r="AG654" s="385"/>
      <c r="AH654" s="385"/>
      <c r="AI654" s="385"/>
      <c r="AJ654" s="385"/>
      <c r="AK654" s="385"/>
      <c r="AL654" s="385"/>
      <c r="AN654" s="439"/>
    </row>
    <row r="655" spans="1:42" s="398" customFormat="1" ht="12.75" customHeight="1">
      <c r="B655" s="385"/>
      <c r="C655" s="388"/>
      <c r="D655" s="518" t="s">
        <v>2505</v>
      </c>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N655" s="439"/>
    </row>
    <row r="656" spans="1:42" s="398" customFormat="1" ht="12.75" customHeight="1">
      <c r="B656" s="385"/>
      <c r="C656" s="388"/>
      <c r="D656" s="385"/>
      <c r="E656" s="385"/>
      <c r="F656" s="385"/>
      <c r="G656" s="385"/>
      <c r="H656" s="385"/>
      <c r="I656" s="385"/>
      <c r="J656" s="385"/>
      <c r="K656" s="385"/>
      <c r="L656" s="385"/>
      <c r="M656" s="385"/>
      <c r="N656" s="385"/>
      <c r="O656" s="385"/>
      <c r="P656" s="385"/>
      <c r="Q656" s="385"/>
      <c r="R656" s="385"/>
      <c r="S656" s="385"/>
      <c r="T656" s="385"/>
      <c r="U656" s="385"/>
      <c r="V656" s="385"/>
      <c r="W656" s="385"/>
      <c r="X656" s="385"/>
      <c r="Y656" s="385"/>
      <c r="Z656" s="385"/>
      <c r="AA656" s="385"/>
      <c r="AB656" s="385"/>
      <c r="AC656" s="385"/>
      <c r="AD656" s="385"/>
      <c r="AE656" s="385"/>
      <c r="AF656" s="385"/>
      <c r="AG656" s="385"/>
      <c r="AH656" s="385"/>
      <c r="AI656" s="385"/>
      <c r="AJ656" s="385"/>
      <c r="AK656" s="385"/>
      <c r="AL656" s="385"/>
      <c r="AN656" s="439"/>
    </row>
    <row r="657" spans="1:42" s="398" customFormat="1" ht="12.75" customHeight="1">
      <c r="B657" s="385"/>
      <c r="C657" s="388"/>
      <c r="D657" s="500" t="s">
        <v>22</v>
      </c>
      <c r="E657" s="2351" t="s">
        <v>2506</v>
      </c>
      <c r="F657" s="2351"/>
      <c r="G657" s="2351"/>
      <c r="H657" s="2351"/>
      <c r="I657" s="2351"/>
      <c r="J657" s="2351"/>
      <c r="K657" s="2351"/>
      <c r="L657" s="2351"/>
      <c r="M657" s="2351"/>
      <c r="N657" s="2351"/>
      <c r="O657" s="2351"/>
      <c r="P657" s="2351"/>
      <c r="Q657" s="2351"/>
      <c r="R657" s="2351"/>
      <c r="S657" s="2351"/>
      <c r="T657" s="2351"/>
      <c r="U657" s="2351"/>
      <c r="V657" s="2351"/>
      <c r="W657" s="2351"/>
      <c r="X657" s="2351"/>
      <c r="Y657" s="2351"/>
      <c r="Z657" s="2351"/>
      <c r="AA657" s="2351"/>
      <c r="AB657" s="2351"/>
      <c r="AC657" s="2351"/>
      <c r="AD657" s="385"/>
      <c r="AE657" s="385"/>
      <c r="AF657" s="2451" t="s">
        <v>2467</v>
      </c>
      <c r="AG657" s="2451"/>
      <c r="AH657" s="2451"/>
      <c r="AI657" s="2451"/>
      <c r="AJ657" s="2451"/>
      <c r="AK657" s="2451"/>
      <c r="AL657" s="2451"/>
      <c r="AN657" s="439"/>
    </row>
    <row r="658" spans="1:42" s="398" customFormat="1" ht="12.75" customHeight="1">
      <c r="B658" s="385"/>
      <c r="C658" s="388"/>
      <c r="D658" s="385"/>
      <c r="E658" s="2351"/>
      <c r="F658" s="2351"/>
      <c r="G658" s="2351"/>
      <c r="H658" s="2351"/>
      <c r="I658" s="2351"/>
      <c r="J658" s="2351"/>
      <c r="K658" s="2351"/>
      <c r="L658" s="2351"/>
      <c r="M658" s="2351"/>
      <c r="N658" s="2351"/>
      <c r="O658" s="2351"/>
      <c r="P658" s="2351"/>
      <c r="Q658" s="2351"/>
      <c r="R658" s="2351"/>
      <c r="S658" s="2351"/>
      <c r="T658" s="2351"/>
      <c r="U658" s="2351"/>
      <c r="V658" s="2351"/>
      <c r="W658" s="2351"/>
      <c r="X658" s="2351"/>
      <c r="Y658" s="2351"/>
      <c r="Z658" s="2351"/>
      <c r="AA658" s="2351"/>
      <c r="AB658" s="2351"/>
      <c r="AC658" s="2351"/>
      <c r="AD658" s="385"/>
      <c r="AE658" s="385"/>
      <c r="AF658" s="385"/>
      <c r="AG658" s="385"/>
      <c r="AH658" s="385"/>
      <c r="AI658" s="385"/>
      <c r="AJ658" s="385"/>
      <c r="AK658" s="385"/>
      <c r="AL658" s="385"/>
      <c r="AN658" s="439"/>
    </row>
    <row r="659" spans="1:42" s="398" customFormat="1" ht="12.75" customHeight="1">
      <c r="B659" s="385"/>
      <c r="C659" s="388"/>
      <c r="D659" s="500"/>
      <c r="E659" s="2351"/>
      <c r="F659" s="2351"/>
      <c r="G659" s="2351"/>
      <c r="H659" s="2351"/>
      <c r="I659" s="2351"/>
      <c r="J659" s="2351"/>
      <c r="K659" s="2351"/>
      <c r="L659" s="2351"/>
      <c r="M659" s="2351"/>
      <c r="N659" s="2351"/>
      <c r="O659" s="2351"/>
      <c r="P659" s="2351"/>
      <c r="Q659" s="2351"/>
      <c r="R659" s="2351"/>
      <c r="S659" s="2351"/>
      <c r="T659" s="2351"/>
      <c r="U659" s="2351"/>
      <c r="V659" s="2351"/>
      <c r="W659" s="2351"/>
      <c r="X659" s="2351"/>
      <c r="Y659" s="2351"/>
      <c r="Z659" s="2351"/>
      <c r="AA659" s="2351"/>
      <c r="AB659" s="2351"/>
      <c r="AC659" s="2351"/>
      <c r="AD659" s="385"/>
      <c r="AE659" s="385"/>
      <c r="AF659" s="385"/>
      <c r="AG659" s="385"/>
      <c r="AH659" s="385"/>
      <c r="AI659" s="385"/>
      <c r="AJ659" s="385"/>
      <c r="AK659" s="385"/>
      <c r="AL659" s="385"/>
      <c r="AN659" s="439"/>
    </row>
    <row r="660" spans="1:42" s="398" customFormat="1" ht="15" customHeight="1">
      <c r="B660" s="385"/>
      <c r="C660" s="388"/>
      <c r="D660" s="385"/>
      <c r="E660" s="749"/>
      <c r="F660" s="749"/>
      <c r="G660" s="749"/>
      <c r="H660" s="749"/>
      <c r="I660" s="749"/>
      <c r="J660" s="749"/>
      <c r="K660" s="749"/>
      <c r="L660" s="749"/>
      <c r="M660" s="749"/>
      <c r="N660" s="749"/>
      <c r="O660" s="749"/>
      <c r="P660" s="749"/>
      <c r="Q660" s="749"/>
      <c r="R660" s="749"/>
      <c r="S660" s="749"/>
      <c r="T660" s="749"/>
      <c r="U660" s="749"/>
      <c r="V660" s="749"/>
      <c r="W660" s="749"/>
      <c r="X660" s="749"/>
      <c r="Y660" s="749"/>
      <c r="Z660" s="749"/>
      <c r="AA660" s="749"/>
      <c r="AB660" s="749"/>
      <c r="AC660" s="385"/>
      <c r="AD660" s="385"/>
      <c r="AE660" s="385"/>
      <c r="AF660" s="385"/>
      <c r="AG660" s="385"/>
      <c r="AH660" s="385"/>
      <c r="AI660" s="385"/>
      <c r="AJ660" s="385"/>
      <c r="AK660" s="385"/>
      <c r="AL660" s="385"/>
      <c r="AN660" s="439"/>
    </row>
    <row r="661" spans="1:42" s="398" customFormat="1" ht="12.75" customHeight="1">
      <c r="B661" s="385"/>
      <c r="C661" s="388"/>
      <c r="D661" s="500" t="s">
        <v>27</v>
      </c>
      <c r="E661" s="2351" t="s">
        <v>2507</v>
      </c>
      <c r="F661" s="2351"/>
      <c r="G661" s="2351"/>
      <c r="H661" s="2351"/>
      <c r="I661" s="2351"/>
      <c r="J661" s="2351"/>
      <c r="K661" s="2351"/>
      <c r="L661" s="2351"/>
      <c r="M661" s="2351"/>
      <c r="N661" s="2351"/>
      <c r="O661" s="2351"/>
      <c r="P661" s="2351"/>
      <c r="Q661" s="2351"/>
      <c r="R661" s="2351"/>
      <c r="S661" s="2351"/>
      <c r="T661" s="2351"/>
      <c r="U661" s="2351"/>
      <c r="V661" s="2351"/>
      <c r="W661" s="2351"/>
      <c r="X661" s="2351"/>
      <c r="Y661" s="2351"/>
      <c r="Z661" s="2351"/>
      <c r="AA661" s="2351"/>
      <c r="AB661" s="2351"/>
      <c r="AC661" s="2351"/>
      <c r="AD661" s="385"/>
      <c r="AE661" s="385"/>
      <c r="AF661" s="2451" t="s">
        <v>2473</v>
      </c>
      <c r="AG661" s="2451"/>
      <c r="AH661" s="2451"/>
      <c r="AI661" s="2451"/>
      <c r="AJ661" s="2451"/>
      <c r="AK661" s="2451"/>
      <c r="AL661" s="2451"/>
      <c r="AN661" s="439"/>
    </row>
    <row r="662" spans="1:42" s="398" customFormat="1" ht="12.75" customHeight="1">
      <c r="B662" s="385"/>
      <c r="C662" s="388"/>
      <c r="D662" s="385"/>
      <c r="E662" s="2351"/>
      <c r="F662" s="2351"/>
      <c r="G662" s="2351"/>
      <c r="H662" s="2351"/>
      <c r="I662" s="2351"/>
      <c r="J662" s="2351"/>
      <c r="K662" s="2351"/>
      <c r="L662" s="2351"/>
      <c r="M662" s="2351"/>
      <c r="N662" s="2351"/>
      <c r="O662" s="2351"/>
      <c r="P662" s="2351"/>
      <c r="Q662" s="2351"/>
      <c r="R662" s="2351"/>
      <c r="S662" s="2351"/>
      <c r="T662" s="2351"/>
      <c r="U662" s="2351"/>
      <c r="V662" s="2351"/>
      <c r="W662" s="2351"/>
      <c r="X662" s="2351"/>
      <c r="Y662" s="2351"/>
      <c r="Z662" s="2351"/>
      <c r="AA662" s="2351"/>
      <c r="AB662" s="2351"/>
      <c r="AC662" s="2351"/>
      <c r="AD662" s="385"/>
      <c r="AE662" s="385"/>
      <c r="AF662" s="385"/>
      <c r="AG662" s="385"/>
      <c r="AH662" s="385"/>
      <c r="AI662" s="385"/>
      <c r="AJ662" s="385"/>
      <c r="AK662" s="385"/>
      <c r="AL662" s="385"/>
      <c r="AN662" s="439"/>
    </row>
    <row r="663" spans="1:42" s="398" customFormat="1" ht="15" customHeight="1">
      <c r="B663" s="385"/>
      <c r="C663" s="388"/>
      <c r="D663" s="500"/>
      <c r="E663" s="2351"/>
      <c r="F663" s="2351"/>
      <c r="G663" s="2351"/>
      <c r="H663" s="2351"/>
      <c r="I663" s="2351"/>
      <c r="J663" s="2351"/>
      <c r="K663" s="2351"/>
      <c r="L663" s="2351"/>
      <c r="M663" s="2351"/>
      <c r="N663" s="2351"/>
      <c r="O663" s="2351"/>
      <c r="P663" s="2351"/>
      <c r="Q663" s="2351"/>
      <c r="R663" s="2351"/>
      <c r="S663" s="2351"/>
      <c r="T663" s="2351"/>
      <c r="U663" s="2351"/>
      <c r="V663" s="2351"/>
      <c r="W663" s="2351"/>
      <c r="X663" s="2351"/>
      <c r="Y663" s="2351"/>
      <c r="Z663" s="2351"/>
      <c r="AA663" s="2351"/>
      <c r="AB663" s="2351"/>
      <c r="AC663" s="2351"/>
      <c r="AD663" s="385"/>
      <c r="AE663" s="385"/>
      <c r="AF663" s="385"/>
      <c r="AG663" s="385"/>
      <c r="AH663" s="385"/>
      <c r="AI663" s="385"/>
      <c r="AJ663" s="385"/>
      <c r="AK663" s="385"/>
      <c r="AL663" s="385"/>
      <c r="AN663" s="439"/>
    </row>
    <row r="664" spans="1:42" s="398" customFormat="1" ht="12.75" customHeight="1">
      <c r="B664" s="385"/>
      <c r="C664" s="388"/>
      <c r="D664" s="385"/>
      <c r="E664" s="749"/>
      <c r="F664" s="749"/>
      <c r="G664" s="749"/>
      <c r="H664" s="749"/>
      <c r="I664" s="749"/>
      <c r="J664" s="749"/>
      <c r="K664" s="749"/>
      <c r="L664" s="749"/>
      <c r="M664" s="749"/>
      <c r="N664" s="749"/>
      <c r="O664" s="749"/>
      <c r="P664" s="749"/>
      <c r="Q664" s="749"/>
      <c r="R664" s="749"/>
      <c r="S664" s="749"/>
      <c r="T664" s="749"/>
      <c r="U664" s="749"/>
      <c r="V664" s="749"/>
      <c r="W664" s="749"/>
      <c r="X664" s="749"/>
      <c r="Y664" s="749"/>
      <c r="Z664" s="749"/>
      <c r="AA664" s="749"/>
      <c r="AB664" s="749"/>
      <c r="AC664" s="385"/>
      <c r="AD664" s="385"/>
      <c r="AE664" s="385"/>
      <c r="AF664" s="385"/>
      <c r="AG664" s="385"/>
      <c r="AH664" s="385"/>
      <c r="AI664" s="385"/>
      <c r="AJ664" s="385"/>
      <c r="AK664" s="385"/>
      <c r="AL664" s="385"/>
      <c r="AN664" s="439"/>
    </row>
    <row r="665" spans="1:42" s="398" customFormat="1" ht="12.75" customHeight="1">
      <c r="B665" s="385"/>
      <c r="C665" s="388"/>
      <c r="D665" s="500" t="s">
        <v>49</v>
      </c>
      <c r="E665" s="2351" t="s">
        <v>2508</v>
      </c>
      <c r="F665" s="2351"/>
      <c r="G665" s="2351"/>
      <c r="H665" s="2351"/>
      <c r="I665" s="2351"/>
      <c r="J665" s="2351"/>
      <c r="K665" s="2351"/>
      <c r="L665" s="2351"/>
      <c r="M665" s="2351"/>
      <c r="N665" s="2351"/>
      <c r="O665" s="2351"/>
      <c r="P665" s="2351"/>
      <c r="Q665" s="2351"/>
      <c r="R665" s="2351"/>
      <c r="S665" s="2351"/>
      <c r="T665" s="2351"/>
      <c r="U665" s="2351"/>
      <c r="V665" s="2351"/>
      <c r="W665" s="2351"/>
      <c r="X665" s="2351"/>
      <c r="Y665" s="2351"/>
      <c r="Z665" s="2351"/>
      <c r="AA665" s="2351"/>
      <c r="AB665" s="2351"/>
      <c r="AC665" s="2351"/>
      <c r="AD665" s="385"/>
      <c r="AE665" s="385"/>
      <c r="AF665" s="2451" t="s">
        <v>2207</v>
      </c>
      <c r="AG665" s="2451"/>
      <c r="AH665" s="2451"/>
      <c r="AI665" s="2451"/>
      <c r="AJ665" s="2451"/>
      <c r="AK665" s="2451"/>
      <c r="AL665" s="2451"/>
      <c r="AN665" s="439"/>
    </row>
    <row r="666" spans="1:42" s="398" customFormat="1" ht="12.75" customHeight="1">
      <c r="B666" s="385"/>
      <c r="C666" s="735"/>
      <c r="D666" s="385"/>
      <c r="E666" s="2351"/>
      <c r="F666" s="2351"/>
      <c r="G666" s="2351"/>
      <c r="H666" s="2351"/>
      <c r="I666" s="2351"/>
      <c r="J666" s="2351"/>
      <c r="K666" s="2351"/>
      <c r="L666" s="2351"/>
      <c r="M666" s="2351"/>
      <c r="N666" s="2351"/>
      <c r="O666" s="2351"/>
      <c r="P666" s="2351"/>
      <c r="Q666" s="2351"/>
      <c r="R666" s="2351"/>
      <c r="S666" s="2351"/>
      <c r="T666" s="2351"/>
      <c r="U666" s="2351"/>
      <c r="V666" s="2351"/>
      <c r="W666" s="2351"/>
      <c r="X666" s="2351"/>
      <c r="Y666" s="2351"/>
      <c r="Z666" s="2351"/>
      <c r="AA666" s="2351"/>
      <c r="AB666" s="2351"/>
      <c r="AC666" s="2351"/>
      <c r="AD666" s="385"/>
      <c r="AE666" s="2451"/>
      <c r="AF666" s="2451"/>
      <c r="AG666" s="2451"/>
      <c r="AH666" s="2451"/>
      <c r="AI666" s="2451"/>
      <c r="AJ666" s="2451"/>
      <c r="AK666" s="2451"/>
      <c r="AL666" s="1205"/>
      <c r="AN666" s="439"/>
      <c r="AO666" s="398" t="s">
        <v>810</v>
      </c>
      <c r="AP666" s="510">
        <v>0</v>
      </c>
    </row>
    <row r="667" spans="1:42" s="398" customFormat="1" ht="12.75" customHeight="1">
      <c r="A667" s="1195"/>
      <c r="B667" s="385"/>
      <c r="C667" s="385"/>
      <c r="D667" s="500"/>
      <c r="E667" s="2351"/>
      <c r="F667" s="2351"/>
      <c r="G667" s="2351"/>
      <c r="H667" s="2351"/>
      <c r="I667" s="2351"/>
      <c r="J667" s="2351"/>
      <c r="K667" s="2351"/>
      <c r="L667" s="2351"/>
      <c r="M667" s="2351"/>
      <c r="N667" s="2351"/>
      <c r="O667" s="2351"/>
      <c r="P667" s="2351"/>
      <c r="Q667" s="2351"/>
      <c r="R667" s="2351"/>
      <c r="S667" s="2351"/>
      <c r="T667" s="2351"/>
      <c r="U667" s="2351"/>
      <c r="V667" s="2351"/>
      <c r="W667" s="2351"/>
      <c r="X667" s="2351"/>
      <c r="Y667" s="2351"/>
      <c r="Z667" s="2351"/>
      <c r="AA667" s="2351"/>
      <c r="AB667" s="2351"/>
      <c r="AC667" s="2351"/>
      <c r="AD667" s="385"/>
      <c r="AE667" s="385"/>
      <c r="AF667" s="385"/>
      <c r="AG667" s="385"/>
      <c r="AH667" s="385"/>
      <c r="AI667" s="385"/>
      <c r="AJ667" s="385"/>
      <c r="AK667" s="385"/>
      <c r="AL667" s="385"/>
      <c r="AN667" s="439"/>
      <c r="AO667" s="452" t="s">
        <v>22</v>
      </c>
      <c r="AP667" s="398">
        <v>3</v>
      </c>
    </row>
    <row r="668" spans="1:42" s="398" customFormat="1" ht="12.75" customHeight="1">
      <c r="B668" s="385"/>
      <c r="C668" s="735"/>
      <c r="D668" s="500"/>
      <c r="E668" s="420"/>
      <c r="F668" s="420"/>
      <c r="G668" s="420"/>
      <c r="H668" s="420"/>
      <c r="I668" s="420"/>
      <c r="J668" s="420"/>
      <c r="K668" s="420"/>
      <c r="L668" s="420"/>
      <c r="M668" s="420"/>
      <c r="N668" s="420"/>
      <c r="O668" s="420"/>
      <c r="P668" s="420"/>
      <c r="Q668" s="420"/>
      <c r="R668" s="420"/>
      <c r="S668" s="420"/>
      <c r="T668" s="420"/>
      <c r="U668" s="420"/>
      <c r="V668" s="420"/>
      <c r="W668" s="420"/>
      <c r="X668" s="420"/>
      <c r="Y668" s="420"/>
      <c r="Z668" s="420"/>
      <c r="AA668" s="420"/>
      <c r="AB668" s="420"/>
      <c r="AC668" s="385"/>
      <c r="AD668" s="385"/>
      <c r="AE668" s="385"/>
      <c r="AF668" s="385"/>
      <c r="AG668" s="385"/>
      <c r="AH668" s="385"/>
      <c r="AI668" s="385"/>
      <c r="AJ668" s="385"/>
      <c r="AK668" s="385"/>
      <c r="AL668" s="385"/>
      <c r="AN668" s="439"/>
      <c r="AO668" s="452" t="s">
        <v>27</v>
      </c>
      <c r="AP668" s="398">
        <v>2</v>
      </c>
    </row>
    <row r="669" spans="1:42" s="398" customFormat="1" ht="12.75" customHeight="1">
      <c r="A669" s="507"/>
      <c r="B669" s="385"/>
      <c r="C669" s="750"/>
      <c r="D669" s="500" t="s">
        <v>2465</v>
      </c>
      <c r="E669" s="2351" t="s">
        <v>2509</v>
      </c>
      <c r="F669" s="2351"/>
      <c r="G669" s="2351"/>
      <c r="H669" s="2351"/>
      <c r="I669" s="2351"/>
      <c r="J669" s="2351"/>
      <c r="K669" s="2351"/>
      <c r="L669" s="2351"/>
      <c r="M669" s="2351"/>
      <c r="N669" s="2351"/>
      <c r="O669" s="2351"/>
      <c r="P669" s="2351"/>
      <c r="Q669" s="2351"/>
      <c r="R669" s="2351"/>
      <c r="S669" s="2351"/>
      <c r="T669" s="2351"/>
      <c r="U669" s="2351"/>
      <c r="V669" s="2351"/>
      <c r="W669" s="2351"/>
      <c r="X669" s="2351"/>
      <c r="Y669" s="2351"/>
      <c r="Z669" s="2351"/>
      <c r="AA669" s="2351"/>
      <c r="AB669" s="2351"/>
      <c r="AC669" s="2351"/>
      <c r="AD669" s="385"/>
      <c r="AE669" s="385"/>
      <c r="AF669" s="2451" t="s">
        <v>2473</v>
      </c>
      <c r="AG669" s="2451"/>
      <c r="AH669" s="2451"/>
      <c r="AI669" s="2451"/>
      <c r="AJ669" s="2451"/>
      <c r="AK669" s="2451"/>
      <c r="AL669" s="2451"/>
      <c r="AN669" s="439"/>
    </row>
    <row r="670" spans="1:42" s="398" customFormat="1" ht="12.75" customHeight="1">
      <c r="A670" s="507"/>
      <c r="B670" s="385"/>
      <c r="C670" s="750"/>
      <c r="D670" s="500"/>
      <c r="E670" s="2351"/>
      <c r="F670" s="2351"/>
      <c r="G670" s="2351"/>
      <c r="H670" s="2351"/>
      <c r="I670" s="2351"/>
      <c r="J670" s="2351"/>
      <c r="K670" s="2351"/>
      <c r="L670" s="2351"/>
      <c r="M670" s="2351"/>
      <c r="N670" s="2351"/>
      <c r="O670" s="2351"/>
      <c r="P670" s="2351"/>
      <c r="Q670" s="2351"/>
      <c r="R670" s="2351"/>
      <c r="S670" s="2351"/>
      <c r="T670" s="2351"/>
      <c r="U670" s="2351"/>
      <c r="V670" s="2351"/>
      <c r="W670" s="2351"/>
      <c r="X670" s="2351"/>
      <c r="Y670" s="2351"/>
      <c r="Z670" s="2351"/>
      <c r="AA670" s="2351"/>
      <c r="AB670" s="2351"/>
      <c r="AC670" s="2351"/>
      <c r="AD670" s="385"/>
      <c r="AE670" s="1205"/>
      <c r="AF670" s="1205"/>
      <c r="AG670" s="1205"/>
      <c r="AH670" s="1205"/>
      <c r="AI670" s="1205"/>
      <c r="AJ670" s="1205"/>
      <c r="AK670" s="1205"/>
      <c r="AL670" s="1205"/>
      <c r="AM670" s="438"/>
      <c r="AN670" s="439"/>
    </row>
    <row r="671" spans="1:42" s="398" customFormat="1" ht="12.75" customHeight="1">
      <c r="A671" s="507"/>
      <c r="B671" s="385"/>
      <c r="C671" s="750"/>
      <c r="D671" s="500"/>
      <c r="E671" s="2351"/>
      <c r="F671" s="2351"/>
      <c r="G671" s="2351"/>
      <c r="H671" s="2351"/>
      <c r="I671" s="2351"/>
      <c r="J671" s="2351"/>
      <c r="K671" s="2351"/>
      <c r="L671" s="2351"/>
      <c r="M671" s="2351"/>
      <c r="N671" s="2351"/>
      <c r="O671" s="2351"/>
      <c r="P671" s="2351"/>
      <c r="Q671" s="2351"/>
      <c r="R671" s="2351"/>
      <c r="S671" s="2351"/>
      <c r="T671" s="2351"/>
      <c r="U671" s="2351"/>
      <c r="V671" s="2351"/>
      <c r="W671" s="2351"/>
      <c r="X671" s="2351"/>
      <c r="Y671" s="2351"/>
      <c r="Z671" s="2351"/>
      <c r="AA671" s="2351"/>
      <c r="AB671" s="2351"/>
      <c r="AC671" s="2351"/>
      <c r="AD671" s="385"/>
      <c r="AE671" s="1205"/>
      <c r="AF671" s="1205"/>
      <c r="AG671" s="1205"/>
      <c r="AH671" s="1205"/>
      <c r="AI671" s="1205"/>
      <c r="AJ671" s="1205"/>
      <c r="AK671" s="1205"/>
      <c r="AL671" s="1205"/>
      <c r="AM671" s="438"/>
      <c r="AN671" s="439"/>
    </row>
    <row r="672" spans="1:42" s="398" customFormat="1" ht="12.75" customHeight="1">
      <c r="B672" s="385"/>
      <c r="C672" s="735"/>
      <c r="D672" s="500"/>
      <c r="E672" s="481"/>
      <c r="F672" s="481"/>
      <c r="G672" s="481"/>
      <c r="H672" s="481"/>
      <c r="I672" s="481"/>
      <c r="J672" s="481"/>
      <c r="K672" s="481"/>
      <c r="L672" s="481"/>
      <c r="M672" s="481"/>
      <c r="N672" s="481"/>
      <c r="O672" s="481"/>
      <c r="P672" s="481"/>
      <c r="Q672" s="481"/>
      <c r="R672" s="481"/>
      <c r="S672" s="481"/>
      <c r="T672" s="481"/>
      <c r="U672" s="481"/>
      <c r="V672" s="481"/>
      <c r="W672" s="481"/>
      <c r="X672" s="481"/>
      <c r="Y672" s="481"/>
      <c r="Z672" s="481"/>
      <c r="AA672" s="481"/>
      <c r="AB672" s="481"/>
      <c r="AC672" s="388"/>
      <c r="AD672" s="388"/>
      <c r="AE672" s="385"/>
      <c r="AF672" s="385"/>
      <c r="AG672" s="385"/>
      <c r="AH672" s="385"/>
      <c r="AI672" s="385"/>
      <c r="AJ672" s="385"/>
      <c r="AK672" s="385"/>
      <c r="AL672" s="1205"/>
      <c r="AM672" s="438"/>
      <c r="AN672" s="439"/>
    </row>
    <row r="673" spans="1:42" s="398" customFormat="1" ht="12.75" customHeight="1">
      <c r="B673" s="385"/>
      <c r="C673" s="735"/>
      <c r="D673" s="500" t="s">
        <v>2468</v>
      </c>
      <c r="E673" s="2351" t="s">
        <v>2510</v>
      </c>
      <c r="F673" s="2351"/>
      <c r="G673" s="2351"/>
      <c r="H673" s="2351"/>
      <c r="I673" s="2351"/>
      <c r="J673" s="2351"/>
      <c r="K673" s="2351"/>
      <c r="L673" s="2351"/>
      <c r="M673" s="2351"/>
      <c r="N673" s="2351"/>
      <c r="O673" s="2351"/>
      <c r="P673" s="2351"/>
      <c r="Q673" s="2351"/>
      <c r="R673" s="2351"/>
      <c r="S673" s="2351"/>
      <c r="T673" s="2351"/>
      <c r="U673" s="2351"/>
      <c r="V673" s="2351"/>
      <c r="W673" s="2351"/>
      <c r="X673" s="2351"/>
      <c r="Y673" s="2351"/>
      <c r="Z673" s="2351"/>
      <c r="AA673" s="2351"/>
      <c r="AB673" s="2351"/>
      <c r="AC673" s="2351"/>
      <c r="AD673" s="385"/>
      <c r="AE673" s="385"/>
      <c r="AF673" s="2451" t="s">
        <v>2207</v>
      </c>
      <c r="AG673" s="2451"/>
      <c r="AH673" s="2451"/>
      <c r="AI673" s="2451"/>
      <c r="AJ673" s="2451"/>
      <c r="AK673" s="2451"/>
      <c r="AL673" s="2451"/>
      <c r="AM673" s="438"/>
      <c r="AN673" s="439"/>
    </row>
    <row r="674" spans="1:42" s="398" customFormat="1" ht="12.75" customHeight="1">
      <c r="B674" s="385"/>
      <c r="C674" s="735"/>
      <c r="D674" s="500"/>
      <c r="E674" s="2351"/>
      <c r="F674" s="2351"/>
      <c r="G674" s="2351"/>
      <c r="H674" s="2351"/>
      <c r="I674" s="2351"/>
      <c r="J674" s="2351"/>
      <c r="K674" s="2351"/>
      <c r="L674" s="2351"/>
      <c r="M674" s="2351"/>
      <c r="N674" s="2351"/>
      <c r="O674" s="2351"/>
      <c r="P674" s="2351"/>
      <c r="Q674" s="2351"/>
      <c r="R674" s="2351"/>
      <c r="S674" s="2351"/>
      <c r="T674" s="2351"/>
      <c r="U674" s="2351"/>
      <c r="V674" s="2351"/>
      <c r="W674" s="2351"/>
      <c r="X674" s="2351"/>
      <c r="Y674" s="2351"/>
      <c r="Z674" s="2351"/>
      <c r="AA674" s="2351"/>
      <c r="AB674" s="2351"/>
      <c r="AC674" s="2351"/>
      <c r="AD674" s="385"/>
      <c r="AE674" s="385"/>
      <c r="AF674" s="385"/>
      <c r="AG674" s="385"/>
      <c r="AH674" s="385"/>
      <c r="AI674" s="385"/>
      <c r="AJ674" s="385"/>
      <c r="AK674" s="385"/>
      <c r="AL674" s="385"/>
      <c r="AM674" s="438"/>
      <c r="AN674" s="439"/>
    </row>
    <row r="675" spans="1:42" s="398" customFormat="1" ht="12.75" customHeight="1">
      <c r="B675" s="385"/>
      <c r="C675" s="735"/>
      <c r="D675" s="500"/>
      <c r="E675" s="2351"/>
      <c r="F675" s="2351"/>
      <c r="G675" s="2351"/>
      <c r="H675" s="2351"/>
      <c r="I675" s="2351"/>
      <c r="J675" s="2351"/>
      <c r="K675" s="2351"/>
      <c r="L675" s="2351"/>
      <c r="M675" s="2351"/>
      <c r="N675" s="2351"/>
      <c r="O675" s="2351"/>
      <c r="P675" s="2351"/>
      <c r="Q675" s="2351"/>
      <c r="R675" s="2351"/>
      <c r="S675" s="2351"/>
      <c r="T675" s="2351"/>
      <c r="U675" s="2351"/>
      <c r="V675" s="2351"/>
      <c r="W675" s="2351"/>
      <c r="X675" s="2351"/>
      <c r="Y675" s="2351"/>
      <c r="Z675" s="2351"/>
      <c r="AA675" s="2351"/>
      <c r="AB675" s="2351"/>
      <c r="AC675" s="2351"/>
      <c r="AD675" s="385"/>
      <c r="AE675" s="385"/>
      <c r="AF675" s="385"/>
      <c r="AG675" s="385"/>
      <c r="AH675" s="385"/>
      <c r="AI675" s="385"/>
      <c r="AJ675" s="385"/>
      <c r="AK675" s="385"/>
      <c r="AL675" s="385"/>
      <c r="AM675" s="438"/>
      <c r="AN675" s="439"/>
    </row>
    <row r="676" spans="1:42" s="398" customFormat="1" ht="12.75" customHeight="1">
      <c r="B676" s="385"/>
      <c r="C676" s="735"/>
      <c r="D676" s="500"/>
      <c r="E676" s="385"/>
      <c r="F676" s="385"/>
      <c r="G676" s="385"/>
      <c r="H676" s="385"/>
      <c r="I676" s="385"/>
      <c r="J676" s="385"/>
      <c r="K676" s="385"/>
      <c r="L676" s="385"/>
      <c r="M676" s="385"/>
      <c r="N676" s="385"/>
      <c r="O676" s="385"/>
      <c r="P676" s="385"/>
      <c r="Q676" s="385"/>
      <c r="R676" s="385"/>
      <c r="S676" s="385"/>
      <c r="T676" s="385"/>
      <c r="U676" s="385"/>
      <c r="V676" s="385"/>
      <c r="W676" s="385"/>
      <c r="X676" s="385"/>
      <c r="Y676" s="385"/>
      <c r="Z676" s="385"/>
      <c r="AA676" s="385"/>
      <c r="AB676" s="385"/>
      <c r="AC676" s="385"/>
      <c r="AD676" s="385"/>
      <c r="AE676" s="385"/>
      <c r="AF676" s="385"/>
      <c r="AG676" s="385"/>
      <c r="AH676" s="385"/>
      <c r="AI676" s="385"/>
      <c r="AJ676" s="385"/>
      <c r="AK676" s="385"/>
      <c r="AL676" s="385"/>
      <c r="AM676" s="438"/>
      <c r="AN676" s="439"/>
    </row>
    <row r="677" spans="1:42" s="398" customFormat="1" ht="12.75" customHeight="1">
      <c r="A677" s="1195"/>
      <c r="B677" s="385"/>
      <c r="C677" s="735"/>
      <c r="D677" s="500" t="s">
        <v>2496</v>
      </c>
      <c r="E677" s="2351" t="s">
        <v>2511</v>
      </c>
      <c r="F677" s="2351"/>
      <c r="G677" s="2351"/>
      <c r="H677" s="2351"/>
      <c r="I677" s="2351"/>
      <c r="J677" s="2351"/>
      <c r="K677" s="2351"/>
      <c r="L677" s="2351"/>
      <c r="M677" s="2351"/>
      <c r="N677" s="2351"/>
      <c r="O677" s="2351"/>
      <c r="P677" s="2351"/>
      <c r="Q677" s="2351"/>
      <c r="R677" s="2351"/>
      <c r="S677" s="2351"/>
      <c r="T677" s="2351"/>
      <c r="U677" s="2351"/>
      <c r="V677" s="2351"/>
      <c r="W677" s="2351"/>
      <c r="X677" s="2351"/>
      <c r="Y677" s="2351"/>
      <c r="Z677" s="2351"/>
      <c r="AA677" s="2351"/>
      <c r="AB677" s="2351"/>
      <c r="AC677" s="2351"/>
      <c r="AD677" s="385"/>
      <c r="AE677" s="385"/>
      <c r="AF677" s="2451" t="s">
        <v>2495</v>
      </c>
      <c r="AG677" s="2451"/>
      <c r="AH677" s="2451"/>
      <c r="AI677" s="2451"/>
      <c r="AJ677" s="2451"/>
      <c r="AK677" s="2451"/>
      <c r="AL677" s="2451"/>
      <c r="AM677" s="438"/>
      <c r="AN677" s="439"/>
    </row>
    <row r="678" spans="1:42" s="398" customFormat="1" ht="12.75" customHeight="1">
      <c r="A678" s="1195"/>
      <c r="B678" s="385"/>
      <c r="C678" s="735"/>
      <c r="D678" s="500"/>
      <c r="E678" s="2351"/>
      <c r="F678" s="2351"/>
      <c r="G678" s="2351"/>
      <c r="H678" s="2351"/>
      <c r="I678" s="2351"/>
      <c r="J678" s="2351"/>
      <c r="K678" s="2351"/>
      <c r="L678" s="2351"/>
      <c r="M678" s="2351"/>
      <c r="N678" s="2351"/>
      <c r="O678" s="2351"/>
      <c r="P678" s="2351"/>
      <c r="Q678" s="2351"/>
      <c r="R678" s="2351"/>
      <c r="S678" s="2351"/>
      <c r="T678" s="2351"/>
      <c r="U678" s="2351"/>
      <c r="V678" s="2351"/>
      <c r="W678" s="2351"/>
      <c r="X678" s="2351"/>
      <c r="Y678" s="2351"/>
      <c r="Z678" s="2351"/>
      <c r="AA678" s="2351"/>
      <c r="AB678" s="2351"/>
      <c r="AC678" s="2351"/>
      <c r="AD678" s="385"/>
      <c r="AE678" s="385"/>
      <c r="AF678" s="1205"/>
      <c r="AG678" s="1205"/>
      <c r="AH678" s="1205"/>
      <c r="AI678" s="1205"/>
      <c r="AJ678" s="1205"/>
      <c r="AK678" s="1205"/>
      <c r="AL678" s="1205"/>
      <c r="AM678" s="438"/>
      <c r="AN678" s="439"/>
    </row>
    <row r="679" spans="1:42" s="398" customFormat="1" ht="12.75" customHeight="1">
      <c r="A679" s="1195"/>
      <c r="B679" s="385"/>
      <c r="C679" s="735"/>
      <c r="D679" s="500"/>
      <c r="E679" s="2351"/>
      <c r="F679" s="2351"/>
      <c r="G679" s="2351"/>
      <c r="H679" s="2351"/>
      <c r="I679" s="2351"/>
      <c r="J679" s="2351"/>
      <c r="K679" s="2351"/>
      <c r="L679" s="2351"/>
      <c r="M679" s="2351"/>
      <c r="N679" s="2351"/>
      <c r="O679" s="2351"/>
      <c r="P679" s="2351"/>
      <c r="Q679" s="2351"/>
      <c r="R679" s="2351"/>
      <c r="S679" s="2351"/>
      <c r="T679" s="2351"/>
      <c r="U679" s="2351"/>
      <c r="V679" s="2351"/>
      <c r="W679" s="2351"/>
      <c r="X679" s="2351"/>
      <c r="Y679" s="2351"/>
      <c r="Z679" s="2351"/>
      <c r="AA679" s="2351"/>
      <c r="AB679" s="2351"/>
      <c r="AC679" s="2351"/>
      <c r="AD679" s="385"/>
      <c r="AE679" s="1205"/>
      <c r="AF679" s="1205"/>
      <c r="AG679" s="1205"/>
      <c r="AH679" s="1205"/>
      <c r="AI679" s="1205"/>
      <c r="AJ679" s="1205"/>
      <c r="AK679" s="1205"/>
      <c r="AL679" s="1205"/>
      <c r="AM679" s="438"/>
      <c r="AN679" s="439"/>
    </row>
    <row r="680" spans="1:42" s="398" customFormat="1" ht="12.75" customHeight="1">
      <c r="A680" s="1195"/>
      <c r="B680" s="385"/>
      <c r="C680" s="735"/>
      <c r="D680" s="500"/>
      <c r="E680" s="481"/>
      <c r="F680" s="481"/>
      <c r="G680" s="481"/>
      <c r="H680" s="481"/>
      <c r="I680" s="481"/>
      <c r="J680" s="481"/>
      <c r="K680" s="481"/>
      <c r="L680" s="481"/>
      <c r="M680" s="481"/>
      <c r="N680" s="481"/>
      <c r="O680" s="481"/>
      <c r="P680" s="481"/>
      <c r="Q680" s="481"/>
      <c r="R680" s="481"/>
      <c r="S680" s="481"/>
      <c r="T680" s="481"/>
      <c r="U680" s="481"/>
      <c r="V680" s="481"/>
      <c r="W680" s="481"/>
      <c r="X680" s="481"/>
      <c r="Y680" s="481"/>
      <c r="Z680" s="481"/>
      <c r="AA680" s="481"/>
      <c r="AB680" s="481"/>
      <c r="AC680" s="481"/>
      <c r="AD680" s="385"/>
      <c r="AE680" s="1205"/>
      <c r="AF680" s="385"/>
      <c r="AG680" s="385"/>
      <c r="AH680" s="385"/>
      <c r="AI680" s="385"/>
      <c r="AJ680" s="385"/>
      <c r="AK680" s="385"/>
      <c r="AL680" s="385"/>
      <c r="AM680" s="438"/>
      <c r="AN680" s="439"/>
      <c r="AO680" s="398" t="s">
        <v>810</v>
      </c>
      <c r="AP680" s="477">
        <v>0</v>
      </c>
    </row>
    <row r="681" spans="1:42" s="398" customFormat="1" ht="12.75" customHeight="1">
      <c r="A681" s="1195"/>
      <c r="B681" s="385"/>
      <c r="C681" s="735"/>
      <c r="D681" s="500" t="s">
        <v>2498</v>
      </c>
      <c r="E681" s="2351" t="s">
        <v>2512</v>
      </c>
      <c r="F681" s="2351"/>
      <c r="G681" s="2351"/>
      <c r="H681" s="2351"/>
      <c r="I681" s="2351"/>
      <c r="J681" s="2351"/>
      <c r="K681" s="2351"/>
      <c r="L681" s="2351"/>
      <c r="M681" s="2351"/>
      <c r="N681" s="2351"/>
      <c r="O681" s="2351"/>
      <c r="P681" s="2351"/>
      <c r="Q681" s="2351"/>
      <c r="R681" s="2351"/>
      <c r="S681" s="2351"/>
      <c r="T681" s="2351"/>
      <c r="U681" s="2351"/>
      <c r="V681" s="2351"/>
      <c r="W681" s="2351"/>
      <c r="X681" s="2351"/>
      <c r="Y681" s="2351"/>
      <c r="Z681" s="2351"/>
      <c r="AA681" s="2351"/>
      <c r="AB681" s="2351"/>
      <c r="AC681" s="2351"/>
      <c r="AD681" s="385"/>
      <c r="AE681" s="385"/>
      <c r="AF681" s="2451" t="s">
        <v>2513</v>
      </c>
      <c r="AG681" s="2451"/>
      <c r="AH681" s="2451"/>
      <c r="AI681" s="2451"/>
      <c r="AJ681" s="2451"/>
      <c r="AK681" s="2451"/>
      <c r="AL681" s="2451"/>
      <c r="AM681" s="438"/>
      <c r="AN681" s="439"/>
      <c r="AO681" s="452" t="s">
        <v>22</v>
      </c>
      <c r="AP681" s="398">
        <v>3</v>
      </c>
    </row>
    <row r="682" spans="1:42" s="398" customFormat="1" ht="12.75" customHeight="1">
      <c r="A682" s="1195"/>
      <c r="B682" s="385"/>
      <c r="C682" s="735"/>
      <c r="D682" s="500"/>
      <c r="E682" s="2351"/>
      <c r="F682" s="2351"/>
      <c r="G682" s="2351"/>
      <c r="H682" s="2351"/>
      <c r="I682" s="2351"/>
      <c r="J682" s="2351"/>
      <c r="K682" s="2351"/>
      <c r="L682" s="2351"/>
      <c r="M682" s="2351"/>
      <c r="N682" s="2351"/>
      <c r="O682" s="2351"/>
      <c r="P682" s="2351"/>
      <c r="Q682" s="2351"/>
      <c r="R682" s="2351"/>
      <c r="S682" s="2351"/>
      <c r="T682" s="2351"/>
      <c r="U682" s="2351"/>
      <c r="V682" s="2351"/>
      <c r="W682" s="2351"/>
      <c r="X682" s="2351"/>
      <c r="Y682" s="2351"/>
      <c r="Z682" s="2351"/>
      <c r="AA682" s="2351"/>
      <c r="AB682" s="2351"/>
      <c r="AC682" s="2351"/>
      <c r="AD682" s="385"/>
      <c r="AE682" s="385"/>
      <c r="AF682" s="1205"/>
      <c r="AG682" s="1205"/>
      <c r="AH682" s="1205"/>
      <c r="AI682" s="1205"/>
      <c r="AJ682" s="1205"/>
      <c r="AK682" s="1205"/>
      <c r="AL682" s="1205"/>
      <c r="AM682" s="438"/>
      <c r="AN682" s="439"/>
      <c r="AO682" s="452" t="s">
        <v>27</v>
      </c>
      <c r="AP682" s="398">
        <v>2</v>
      </c>
    </row>
    <row r="683" spans="1:42" s="398" customFormat="1" ht="12.75" customHeight="1">
      <c r="A683" s="1195"/>
      <c r="B683" s="385"/>
      <c r="C683" s="735"/>
      <c r="D683" s="500"/>
      <c r="E683" s="2351"/>
      <c r="F683" s="2351"/>
      <c r="G683" s="2351"/>
      <c r="H683" s="2351"/>
      <c r="I683" s="2351"/>
      <c r="J683" s="2351"/>
      <c r="K683" s="2351"/>
      <c r="L683" s="2351"/>
      <c r="M683" s="2351"/>
      <c r="N683" s="2351"/>
      <c r="O683" s="2351"/>
      <c r="P683" s="2351"/>
      <c r="Q683" s="2351"/>
      <c r="R683" s="2351"/>
      <c r="S683" s="2351"/>
      <c r="T683" s="2351"/>
      <c r="U683" s="2351"/>
      <c r="V683" s="2351"/>
      <c r="W683" s="2351"/>
      <c r="X683" s="2351"/>
      <c r="Y683" s="2351"/>
      <c r="Z683" s="2351"/>
      <c r="AA683" s="2351"/>
      <c r="AB683" s="2351"/>
      <c r="AC683" s="2351"/>
      <c r="AD683" s="385"/>
      <c r="AE683" s="1205"/>
      <c r="AF683" s="1205"/>
      <c r="AG683" s="1205"/>
      <c r="AH683" s="1205"/>
      <c r="AI683" s="1205"/>
      <c r="AJ683" s="1205"/>
      <c r="AK683" s="1205"/>
      <c r="AL683" s="1205"/>
      <c r="AM683" s="438"/>
      <c r="AN683" s="439"/>
    </row>
    <row r="684" spans="1:42" s="398" customFormat="1" ht="12.75" customHeight="1">
      <c r="A684" s="507"/>
      <c r="B684" s="385"/>
      <c r="C684" s="750"/>
      <c r="D684" s="500"/>
      <c r="E684" s="1191"/>
      <c r="F684" s="1191"/>
      <c r="G684" s="1191"/>
      <c r="H684" s="1191"/>
      <c r="I684" s="1191"/>
      <c r="J684" s="1191"/>
      <c r="K684" s="1191"/>
      <c r="L684" s="1191"/>
      <c r="M684" s="1191"/>
      <c r="N684" s="1191"/>
      <c r="O684" s="1191"/>
      <c r="P684" s="1191"/>
      <c r="Q684" s="1191"/>
      <c r="R684" s="1191"/>
      <c r="S684" s="1191"/>
      <c r="T684" s="1191"/>
      <c r="U684" s="1191"/>
      <c r="V684" s="1191"/>
      <c r="W684" s="1191"/>
      <c r="X684" s="1191"/>
      <c r="Y684" s="1191"/>
      <c r="Z684" s="1191"/>
      <c r="AA684" s="1191"/>
      <c r="AB684" s="1191"/>
      <c r="AC684" s="1191"/>
      <c r="AD684" s="385"/>
      <c r="AE684" s="1205"/>
      <c r="AF684" s="1205"/>
      <c r="AG684" s="1205"/>
      <c r="AH684" s="1205"/>
      <c r="AI684" s="1205"/>
      <c r="AJ684" s="1205"/>
      <c r="AK684" s="1205"/>
      <c r="AL684" s="1205"/>
      <c r="AM684" s="438"/>
      <c r="AN684" s="439"/>
    </row>
    <row r="685" spans="1:42" s="398" customFormat="1" ht="12.75" customHeight="1">
      <c r="A685" s="1195"/>
      <c r="B685" s="385"/>
      <c r="C685" s="735"/>
      <c r="D685" s="385" t="s">
        <v>2481</v>
      </c>
      <c r="E685" s="1208"/>
      <c r="F685" s="1208"/>
      <c r="G685" s="1208"/>
      <c r="H685" s="2375" t="s">
        <v>22</v>
      </c>
      <c r="I685" s="2375"/>
      <c r="J685" s="456"/>
      <c r="K685" s="456"/>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N685" s="439"/>
    </row>
    <row r="686" spans="1:42" s="398" customFormat="1" ht="12.75" customHeight="1">
      <c r="A686" s="1195"/>
      <c r="B686" s="385"/>
      <c r="C686" s="735"/>
      <c r="D686" s="385"/>
      <c r="E686" s="1208"/>
      <c r="F686" s="1208"/>
      <c r="G686" s="456"/>
      <c r="H686" s="456"/>
      <c r="I686" s="456"/>
      <c r="J686" s="456"/>
      <c r="K686" s="456"/>
      <c r="L686" s="456"/>
      <c r="M686" s="456"/>
      <c r="N686" s="456"/>
      <c r="O686" s="456"/>
      <c r="P686" s="456"/>
      <c r="Q686" s="456"/>
      <c r="R686" s="456"/>
      <c r="S686" s="456"/>
      <c r="T686" s="456"/>
      <c r="U686" s="456"/>
      <c r="V686" s="456"/>
      <c r="W686" s="456"/>
      <c r="X686" s="456"/>
      <c r="Y686" s="456"/>
      <c r="Z686" s="1208"/>
      <c r="AA686" s="1208"/>
      <c r="AB686" s="1208"/>
      <c r="AC686" s="385"/>
      <c r="AD686" s="385"/>
      <c r="AE686" s="385"/>
      <c r="AF686" s="385"/>
      <c r="AG686" s="456"/>
      <c r="AH686" s="456"/>
      <c r="AI686" s="456"/>
      <c r="AJ686" s="456"/>
      <c r="AK686" s="456"/>
      <c r="AL686" s="456"/>
      <c r="AM686" s="399"/>
      <c r="AN686" s="439"/>
    </row>
    <row r="687" spans="1:42" s="398" customFormat="1" ht="12.75" customHeight="1">
      <c r="A687" s="519"/>
      <c r="B687" s="443"/>
      <c r="C687" s="747"/>
      <c r="D687" s="443"/>
      <c r="E687" s="742"/>
      <c r="F687" s="502"/>
      <c r="G687" s="502"/>
      <c r="H687" s="502"/>
      <c r="I687" s="502"/>
      <c r="J687" s="502"/>
      <c r="K687" s="502"/>
      <c r="L687" s="502"/>
      <c r="M687" s="502"/>
      <c r="N687" s="502"/>
      <c r="O687" s="502"/>
      <c r="P687" s="502"/>
      <c r="Q687" s="502"/>
      <c r="R687" s="502"/>
      <c r="S687" s="502"/>
      <c r="T687" s="502"/>
      <c r="U687" s="502"/>
      <c r="V687" s="502"/>
      <c r="W687" s="502"/>
      <c r="X687" s="502"/>
      <c r="Y687" s="742"/>
      <c r="Z687" s="742"/>
      <c r="AA687" s="742"/>
      <c r="AB687" s="443"/>
      <c r="AC687" s="443"/>
      <c r="AD687" s="443"/>
      <c r="AE687" s="443"/>
      <c r="AF687" s="443"/>
      <c r="AG687" s="443"/>
      <c r="AH687" s="443"/>
      <c r="AI687" s="411" t="s">
        <v>2514</v>
      </c>
      <c r="AJ687" s="2358">
        <f>VLOOKUP($H$685,$AO$633:$AP$640,2,FALSE)</f>
        <v>5</v>
      </c>
      <c r="AK687" s="2360"/>
      <c r="AL687" s="437"/>
      <c r="AN687" s="439"/>
    </row>
    <row r="688" spans="1:42" s="398" customFormat="1" ht="12.75" customHeight="1">
      <c r="A688" s="1195"/>
      <c r="B688" s="385"/>
      <c r="C688" s="735"/>
      <c r="D688" s="385"/>
      <c r="E688" s="456"/>
      <c r="F688" s="456"/>
      <c r="G688" s="456"/>
      <c r="H688" s="456"/>
      <c r="I688" s="456"/>
      <c r="J688" s="456"/>
      <c r="K688" s="456"/>
      <c r="L688" s="456"/>
      <c r="M688" s="456"/>
      <c r="N688" s="456"/>
      <c r="O688" s="456"/>
      <c r="P688" s="456"/>
      <c r="Q688" s="456"/>
      <c r="R688" s="456"/>
      <c r="S688" s="456"/>
      <c r="T688" s="456"/>
      <c r="U688" s="456"/>
      <c r="V688" s="456"/>
      <c r="W688" s="456"/>
      <c r="X688" s="456"/>
      <c r="Y688" s="456"/>
      <c r="Z688" s="456"/>
      <c r="AA688" s="456"/>
      <c r="AB688" s="456"/>
      <c r="AC688" s="456"/>
      <c r="AD688" s="1213"/>
      <c r="AE688" s="385"/>
      <c r="AF688" s="385"/>
      <c r="AG688" s="385"/>
      <c r="AH688" s="385"/>
      <c r="AI688" s="385"/>
      <c r="AJ688" s="385"/>
      <c r="AK688" s="385"/>
      <c r="AL688" s="385"/>
      <c r="AN688" s="439"/>
    </row>
    <row r="689" spans="1:51" s="398" customFormat="1" ht="12.75" customHeight="1">
      <c r="A689" s="1195"/>
      <c r="B689" s="385"/>
      <c r="C689" s="388" t="s">
        <v>2515</v>
      </c>
      <c r="D689" s="547"/>
      <c r="E689" s="456"/>
      <c r="F689" s="456"/>
      <c r="G689" s="456"/>
      <c r="H689" s="456"/>
      <c r="I689" s="456"/>
      <c r="J689" s="456"/>
      <c r="K689" s="456"/>
      <c r="L689" s="456"/>
      <c r="M689" s="456"/>
      <c r="N689" s="456"/>
      <c r="O689" s="456"/>
      <c r="P689" s="456"/>
      <c r="Q689" s="456"/>
      <c r="R689" s="456"/>
      <c r="S689" s="456"/>
      <c r="T689" s="456"/>
      <c r="U689" s="456"/>
      <c r="V689" s="456"/>
      <c r="W689" s="456"/>
      <c r="X689" s="456"/>
      <c r="Y689" s="456"/>
      <c r="Z689" s="456"/>
      <c r="AA689" s="456"/>
      <c r="AB689" s="456"/>
      <c r="AC689" s="456"/>
      <c r="AD689" s="1213"/>
      <c r="AE689" s="385"/>
      <c r="AF689" s="385"/>
      <c r="AG689" s="385"/>
      <c r="AH689" s="385"/>
      <c r="AI689" s="385"/>
      <c r="AJ689" s="385"/>
      <c r="AK689" s="385"/>
      <c r="AL689" s="385"/>
      <c r="AN689" s="439"/>
      <c r="AW689" s="17" t="s">
        <v>2516</v>
      </c>
      <c r="AX689" s="398">
        <f>Application!Q212</f>
        <v>0</v>
      </c>
    </row>
    <row r="690" spans="1:51" s="398" customFormat="1" ht="12.75" customHeight="1">
      <c r="A690" s="1195"/>
      <c r="B690" s="385"/>
      <c r="C690" s="751"/>
      <c r="D690" s="385"/>
      <c r="E690" s="385"/>
      <c r="F690" s="385"/>
      <c r="G690" s="385"/>
      <c r="H690" s="385"/>
      <c r="I690" s="385"/>
      <c r="J690" s="385"/>
      <c r="K690" s="385"/>
      <c r="L690" s="385"/>
      <c r="M690" s="385"/>
      <c r="N690" s="385"/>
      <c r="O690" s="385"/>
      <c r="P690" s="385"/>
      <c r="Q690" s="385"/>
      <c r="R690" s="385"/>
      <c r="S690" s="385"/>
      <c r="T690" s="385"/>
      <c r="U690" s="385"/>
      <c r="V690" s="385"/>
      <c r="W690" s="385"/>
      <c r="X690" s="385"/>
      <c r="Y690" s="385"/>
      <c r="Z690" s="385"/>
      <c r="AA690" s="385"/>
      <c r="AB690" s="385"/>
      <c r="AC690" s="385"/>
      <c r="AD690" s="385"/>
      <c r="AE690" s="385"/>
      <c r="AF690" s="385"/>
      <c r="AG690" s="385"/>
      <c r="AH690" s="385"/>
      <c r="AI690" s="385"/>
      <c r="AJ690" s="385"/>
      <c r="AK690" s="385"/>
      <c r="AL690" s="385"/>
      <c r="AN690" s="439"/>
      <c r="AW690" s="17" t="s">
        <v>2517</v>
      </c>
      <c r="AX690" s="934">
        <f>Application!G753</f>
        <v>99</v>
      </c>
    </row>
    <row r="691" spans="1:51" s="398" customFormat="1" ht="12.75" customHeight="1">
      <c r="A691" s="1195"/>
      <c r="B691" s="385"/>
      <c r="C691" s="751"/>
      <c r="D691" s="500" t="s">
        <v>22</v>
      </c>
      <c r="E691" s="2321" t="s">
        <v>2518</v>
      </c>
      <c r="F691" s="2321"/>
      <c r="G691" s="2321"/>
      <c r="H691" s="2321"/>
      <c r="I691" s="2321"/>
      <c r="J691" s="2321"/>
      <c r="K691" s="2321"/>
      <c r="L691" s="2321"/>
      <c r="M691" s="2321"/>
      <c r="N691" s="2321"/>
      <c r="O691" s="2321"/>
      <c r="P691" s="2321"/>
      <c r="Q691" s="2321"/>
      <c r="R691" s="2321"/>
      <c r="S691" s="2321"/>
      <c r="T691" s="2321"/>
      <c r="U691" s="2321"/>
      <c r="V691" s="2321"/>
      <c r="W691" s="2321"/>
      <c r="X691" s="2321"/>
      <c r="Y691" s="2321"/>
      <c r="Z691" s="2321"/>
      <c r="AA691" s="2321"/>
      <c r="AB691" s="2321"/>
      <c r="AC691" s="385"/>
      <c r="AD691" s="385"/>
      <c r="AE691" s="385"/>
      <c r="AF691" s="2451" t="s">
        <v>2207</v>
      </c>
      <c r="AG691" s="2451"/>
      <c r="AH691" s="2451"/>
      <c r="AI691" s="2451"/>
      <c r="AJ691" s="2451"/>
      <c r="AK691" s="2451"/>
      <c r="AL691" s="2451"/>
      <c r="AN691" s="439"/>
      <c r="AW691" s="17" t="s">
        <v>2519</v>
      </c>
      <c r="AX691" s="398">
        <f>Application!DE753</f>
        <v>35</v>
      </c>
    </row>
    <row r="692" spans="1:51" s="398" customFormat="1" ht="12.75" customHeight="1">
      <c r="A692" s="1195"/>
      <c r="B692" s="385"/>
      <c r="C692" s="751"/>
      <c r="D692" s="500"/>
      <c r="E692" s="2321"/>
      <c r="F692" s="2321"/>
      <c r="G692" s="2321"/>
      <c r="H692" s="2321"/>
      <c r="I692" s="2321"/>
      <c r="J692" s="2321"/>
      <c r="K692" s="2321"/>
      <c r="L692" s="2321"/>
      <c r="M692" s="2321"/>
      <c r="N692" s="2321"/>
      <c r="O692" s="2321"/>
      <c r="P692" s="2321"/>
      <c r="Q692" s="2321"/>
      <c r="R692" s="2321"/>
      <c r="S692" s="2321"/>
      <c r="T692" s="2321"/>
      <c r="U692" s="2321"/>
      <c r="V692" s="2321"/>
      <c r="W692" s="2321"/>
      <c r="X692" s="2321"/>
      <c r="Y692" s="2321"/>
      <c r="Z692" s="2321"/>
      <c r="AA692" s="2321"/>
      <c r="AB692" s="2321"/>
      <c r="AC692" s="385"/>
      <c r="AD692" s="385"/>
      <c r="AE692" s="385"/>
      <c r="AF692" s="385"/>
      <c r="AG692" s="385"/>
      <c r="AH692" s="385"/>
      <c r="AI692" s="385"/>
      <c r="AJ692" s="385"/>
      <c r="AK692" s="385"/>
      <c r="AL692" s="385"/>
      <c r="AN692" s="439"/>
      <c r="AW692" s="17" t="s">
        <v>2520</v>
      </c>
      <c r="AX692" s="398">
        <f>Application!DJ753</f>
        <v>0</v>
      </c>
    </row>
    <row r="693" spans="1:51" s="398" customFormat="1" ht="12.75" customHeight="1">
      <c r="A693" s="1195"/>
      <c r="B693" s="385"/>
      <c r="C693" s="751"/>
      <c r="D693" s="500"/>
      <c r="E693" s="385"/>
      <c r="F693" s="385"/>
      <c r="G693" s="385"/>
      <c r="H693" s="385"/>
      <c r="I693" s="385"/>
      <c r="J693" s="385"/>
      <c r="K693" s="385"/>
      <c r="L693" s="385"/>
      <c r="M693" s="385"/>
      <c r="N693" s="385"/>
      <c r="O693" s="385"/>
      <c r="P693" s="385"/>
      <c r="Q693" s="385"/>
      <c r="R693" s="385"/>
      <c r="S693" s="385"/>
      <c r="T693" s="385"/>
      <c r="U693" s="385"/>
      <c r="V693" s="385"/>
      <c r="W693" s="385"/>
      <c r="X693" s="385"/>
      <c r="Y693" s="385"/>
      <c r="Z693" s="385"/>
      <c r="AA693" s="385"/>
      <c r="AB693" s="385"/>
      <c r="AC693" s="385"/>
      <c r="AD693" s="385"/>
      <c r="AE693" s="385"/>
      <c r="AF693" s="385"/>
      <c r="AG693" s="385"/>
      <c r="AH693" s="385"/>
      <c r="AI693" s="385"/>
      <c r="AJ693" s="385"/>
      <c r="AK693" s="385"/>
      <c r="AL693" s="385"/>
      <c r="AN693" s="439"/>
      <c r="AW693" s="17" t="s">
        <v>2521</v>
      </c>
      <c r="AX693" s="398">
        <f>Application!DO753</f>
        <v>0</v>
      </c>
    </row>
    <row r="694" spans="1:51" s="398" customFormat="1" ht="12.75" customHeight="1">
      <c r="B694" s="385"/>
      <c r="C694" s="735"/>
      <c r="D694" s="500" t="s">
        <v>27</v>
      </c>
      <c r="E694" s="2351" t="s">
        <v>2522</v>
      </c>
      <c r="F694" s="2351"/>
      <c r="G694" s="2351"/>
      <c r="H694" s="2351"/>
      <c r="I694" s="2351"/>
      <c r="J694" s="2351"/>
      <c r="K694" s="2351"/>
      <c r="L694" s="2351"/>
      <c r="M694" s="2351"/>
      <c r="N694" s="2351"/>
      <c r="O694" s="2351"/>
      <c r="P694" s="2351"/>
      <c r="Q694" s="2351"/>
      <c r="R694" s="2351"/>
      <c r="S694" s="2351"/>
      <c r="T694" s="2351"/>
      <c r="U694" s="2351"/>
      <c r="V694" s="2351"/>
      <c r="W694" s="2351"/>
      <c r="X694" s="2351"/>
      <c r="Y694" s="2351"/>
      <c r="Z694" s="2351"/>
      <c r="AA694" s="2351"/>
      <c r="AB694" s="2351"/>
      <c r="AC694" s="385"/>
      <c r="AD694" s="385"/>
      <c r="AE694" s="385"/>
      <c r="AF694" s="2451" t="s">
        <v>2207</v>
      </c>
      <c r="AG694" s="2451"/>
      <c r="AH694" s="2451"/>
      <c r="AI694" s="2451"/>
      <c r="AJ694" s="2451"/>
      <c r="AK694" s="2451"/>
      <c r="AL694" s="2451"/>
      <c r="AN694" s="439"/>
      <c r="AW694" s="17" t="s">
        <v>2523</v>
      </c>
      <c r="AX694" s="398">
        <f>AX691+AX692+AX693</f>
        <v>35</v>
      </c>
    </row>
    <row r="695" spans="1:51" s="398" customFormat="1" ht="12.75" customHeight="1">
      <c r="B695" s="385"/>
      <c r="C695" s="743"/>
      <c r="D695" s="500"/>
      <c r="E695" s="2351"/>
      <c r="F695" s="2351"/>
      <c r="G695" s="2351"/>
      <c r="H695" s="2351"/>
      <c r="I695" s="2351"/>
      <c r="J695" s="2351"/>
      <c r="K695" s="2351"/>
      <c r="L695" s="2351"/>
      <c r="M695" s="2351"/>
      <c r="N695" s="2351"/>
      <c r="O695" s="2351"/>
      <c r="P695" s="2351"/>
      <c r="Q695" s="2351"/>
      <c r="R695" s="2351"/>
      <c r="S695" s="2351"/>
      <c r="T695" s="2351"/>
      <c r="U695" s="2351"/>
      <c r="V695" s="2351"/>
      <c r="W695" s="2351"/>
      <c r="X695" s="2351"/>
      <c r="Y695" s="2351"/>
      <c r="Z695" s="2351"/>
      <c r="AA695" s="2351"/>
      <c r="AB695" s="2351"/>
      <c r="AC695" s="385"/>
      <c r="AD695" s="385"/>
      <c r="AE695" s="456"/>
      <c r="AF695" s="385"/>
      <c r="AG695" s="385"/>
      <c r="AH695" s="385"/>
      <c r="AI695" s="385"/>
      <c r="AJ695" s="385"/>
      <c r="AK695" s="385"/>
      <c r="AL695" s="385"/>
      <c r="AN695" s="439"/>
      <c r="AO695" s="2365" t="b">
        <f>IF(Application!D211="Special Needs",IF(AY695&gt;=0.25,TRUE,FALSE),IF(AX695&gt;=0.25,TRUE,FALSE))</f>
        <v>1</v>
      </c>
      <c r="AP695" s="2365"/>
      <c r="AW695" s="17" t="s">
        <v>1969</v>
      </c>
      <c r="AX695" s="398">
        <f>IFERROR(AX694/AX690,0)</f>
        <v>0.35353535353535354</v>
      </c>
      <c r="AY695" s="398">
        <f>IFERROR(AX694/(AX690-AX689),0)</f>
        <v>0.35353535353535354</v>
      </c>
    </row>
    <row r="696" spans="1:51" s="398" customFormat="1" ht="12.75" customHeight="1">
      <c r="B696" s="385"/>
      <c r="C696" s="743"/>
      <c r="E696" s="2351"/>
      <c r="F696" s="2351"/>
      <c r="G696" s="2351"/>
      <c r="H696" s="2351"/>
      <c r="I696" s="2351"/>
      <c r="J696" s="2351"/>
      <c r="K696" s="2351"/>
      <c r="L696" s="2351"/>
      <c r="M696" s="2351"/>
      <c r="N696" s="2351"/>
      <c r="O696" s="2351"/>
      <c r="P696" s="2351"/>
      <c r="Q696" s="2351"/>
      <c r="R696" s="2351"/>
      <c r="S696" s="2351"/>
      <c r="T696" s="2351"/>
      <c r="U696" s="2351"/>
      <c r="V696" s="2351"/>
      <c r="W696" s="2351"/>
      <c r="X696" s="2351"/>
      <c r="Y696" s="2351"/>
      <c r="Z696" s="2351"/>
      <c r="AA696" s="2351"/>
      <c r="AB696" s="2351"/>
      <c r="AC696" s="385"/>
      <c r="AD696" s="385"/>
      <c r="AE696" s="456"/>
      <c r="AF696" s="456"/>
      <c r="AG696" s="456"/>
      <c r="AH696" s="456"/>
      <c r="AI696" s="456"/>
      <c r="AJ696" s="456"/>
      <c r="AK696" s="456"/>
      <c r="AL696" s="456"/>
      <c r="AN696" s="439"/>
      <c r="AW696" s="11"/>
    </row>
    <row r="697" spans="1:51" s="398" customFormat="1" ht="28.5" customHeight="1">
      <c r="B697" s="385"/>
      <c r="C697" s="743"/>
      <c r="D697" s="385"/>
      <c r="E697" s="2351"/>
      <c r="F697" s="2351"/>
      <c r="G697" s="2351"/>
      <c r="H697" s="2351"/>
      <c r="I697" s="2351"/>
      <c r="J697" s="2351"/>
      <c r="K697" s="2351"/>
      <c r="L697" s="2351"/>
      <c r="M697" s="2351"/>
      <c r="N697" s="2351"/>
      <c r="O697" s="2351"/>
      <c r="P697" s="2351"/>
      <c r="Q697" s="2351"/>
      <c r="R697" s="2351"/>
      <c r="S697" s="2351"/>
      <c r="T697" s="2351"/>
      <c r="U697" s="2351"/>
      <c r="V697" s="2351"/>
      <c r="W697" s="2351"/>
      <c r="X697" s="2351"/>
      <c r="Y697" s="2351"/>
      <c r="Z697" s="2351"/>
      <c r="AA697" s="2351"/>
      <c r="AB697" s="2351"/>
      <c r="AC697" s="385"/>
      <c r="AD697" s="385"/>
      <c r="AE697" s="456"/>
      <c r="AF697" s="456"/>
      <c r="AG697" s="456"/>
      <c r="AH697" s="456"/>
      <c r="AI697" s="456"/>
      <c r="AJ697" s="456"/>
      <c r="AK697" s="456"/>
      <c r="AL697" s="456"/>
      <c r="AN697" s="439"/>
      <c r="AO697" s="398" t="s">
        <v>810</v>
      </c>
      <c r="AP697" s="510">
        <v>0</v>
      </c>
    </row>
    <row r="698" spans="1:51" s="398" customFormat="1" ht="12.75" customHeight="1">
      <c r="B698" s="385"/>
      <c r="C698" s="743"/>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385"/>
      <c r="AD698" s="385"/>
      <c r="AE698" s="456"/>
      <c r="AF698" s="456"/>
      <c r="AG698" s="456"/>
      <c r="AH698" s="456"/>
      <c r="AI698" s="456"/>
      <c r="AJ698" s="456"/>
      <c r="AK698" s="456"/>
      <c r="AL698" s="456"/>
      <c r="AN698" s="439"/>
      <c r="AO698" s="452" t="s">
        <v>22</v>
      </c>
      <c r="AP698" s="398">
        <v>2</v>
      </c>
    </row>
    <row r="699" spans="1:51" s="398" customFormat="1" ht="12.75" customHeight="1">
      <c r="B699" s="385"/>
      <c r="C699" s="735"/>
      <c r="D699" s="500" t="s">
        <v>49</v>
      </c>
      <c r="E699" s="2351" t="s">
        <v>2524</v>
      </c>
      <c r="F699" s="2351"/>
      <c r="G699" s="2351"/>
      <c r="H699" s="2351"/>
      <c r="I699" s="2351"/>
      <c r="J699" s="2351"/>
      <c r="K699" s="2351"/>
      <c r="L699" s="2351"/>
      <c r="M699" s="2351"/>
      <c r="N699" s="2351"/>
      <c r="O699" s="2351"/>
      <c r="P699" s="2351"/>
      <c r="Q699" s="2351"/>
      <c r="R699" s="2351"/>
      <c r="S699" s="2351"/>
      <c r="T699" s="2351"/>
      <c r="U699" s="2351"/>
      <c r="V699" s="2351"/>
      <c r="W699" s="2351"/>
      <c r="X699" s="2351"/>
      <c r="Y699" s="2351"/>
      <c r="Z699" s="2351"/>
      <c r="AA699" s="2351"/>
      <c r="AB699" s="2351"/>
      <c r="AC699" s="385"/>
      <c r="AD699" s="385"/>
      <c r="AE699" s="385"/>
      <c r="AF699" s="2451" t="s">
        <v>2495</v>
      </c>
      <c r="AG699" s="2451"/>
      <c r="AH699" s="2451"/>
      <c r="AI699" s="2451"/>
      <c r="AJ699" s="2451"/>
      <c r="AK699" s="2451"/>
      <c r="AL699" s="2451"/>
      <c r="AN699" s="439"/>
      <c r="AO699" s="452" t="s">
        <v>27</v>
      </c>
      <c r="AP699" s="398">
        <v>1</v>
      </c>
    </row>
    <row r="700" spans="1:51" s="398" customFormat="1" ht="12" customHeight="1">
      <c r="B700" s="385"/>
      <c r="C700" s="735"/>
      <c r="E700" s="2351"/>
      <c r="F700" s="2351"/>
      <c r="G700" s="2351"/>
      <c r="H700" s="2351"/>
      <c r="I700" s="2351"/>
      <c r="J700" s="2351"/>
      <c r="K700" s="2351"/>
      <c r="L700" s="2351"/>
      <c r="M700" s="2351"/>
      <c r="N700" s="2351"/>
      <c r="O700" s="2351"/>
      <c r="P700" s="2351"/>
      <c r="Q700" s="2351"/>
      <c r="R700" s="2351"/>
      <c r="S700" s="2351"/>
      <c r="T700" s="2351"/>
      <c r="U700" s="2351"/>
      <c r="V700" s="2351"/>
      <c r="W700" s="2351"/>
      <c r="X700" s="2351"/>
      <c r="Y700" s="2351"/>
      <c r="Z700" s="2351"/>
      <c r="AA700" s="2351"/>
      <c r="AB700" s="2351"/>
      <c r="AC700" s="385"/>
      <c r="AD700" s="385"/>
      <c r="AE700" s="456"/>
      <c r="AF700" s="385"/>
      <c r="AG700" s="385"/>
      <c r="AH700" s="385"/>
      <c r="AI700" s="385"/>
      <c r="AJ700" s="385"/>
      <c r="AK700" s="385"/>
      <c r="AL700" s="385"/>
      <c r="AN700" s="439"/>
    </row>
    <row r="701" spans="1:51" s="398" customFormat="1" ht="12" customHeight="1">
      <c r="B701" s="385"/>
      <c r="C701" s="735"/>
      <c r="D701" s="385"/>
      <c r="E701" s="2351"/>
      <c r="F701" s="2351"/>
      <c r="G701" s="2351"/>
      <c r="H701" s="2351"/>
      <c r="I701" s="2351"/>
      <c r="J701" s="2351"/>
      <c r="K701" s="2351"/>
      <c r="L701" s="2351"/>
      <c r="M701" s="2351"/>
      <c r="N701" s="2351"/>
      <c r="O701" s="2351"/>
      <c r="P701" s="2351"/>
      <c r="Q701" s="2351"/>
      <c r="R701" s="2351"/>
      <c r="S701" s="2351"/>
      <c r="T701" s="2351"/>
      <c r="U701" s="2351"/>
      <c r="V701" s="2351"/>
      <c r="W701" s="2351"/>
      <c r="X701" s="2351"/>
      <c r="Y701" s="2351"/>
      <c r="Z701" s="2351"/>
      <c r="AA701" s="2351"/>
      <c r="AB701" s="2351"/>
      <c r="AC701" s="385"/>
      <c r="AD701" s="385"/>
      <c r="AE701" s="456"/>
      <c r="AF701" s="385"/>
      <c r="AG701" s="385"/>
      <c r="AH701" s="385"/>
      <c r="AI701" s="385"/>
      <c r="AJ701" s="385"/>
      <c r="AK701" s="385"/>
      <c r="AL701" s="385"/>
      <c r="AN701" s="439"/>
    </row>
    <row r="702" spans="1:51" s="398" customFormat="1" ht="12" customHeight="1">
      <c r="B702" s="385"/>
      <c r="C702" s="735"/>
      <c r="D702" s="385"/>
      <c r="E702" s="2351"/>
      <c r="F702" s="2351"/>
      <c r="G702" s="2351"/>
      <c r="H702" s="2351"/>
      <c r="I702" s="2351"/>
      <c r="J702" s="2351"/>
      <c r="K702" s="2351"/>
      <c r="L702" s="2351"/>
      <c r="M702" s="2351"/>
      <c r="N702" s="2351"/>
      <c r="O702" s="2351"/>
      <c r="P702" s="2351"/>
      <c r="Q702" s="2351"/>
      <c r="R702" s="2351"/>
      <c r="S702" s="2351"/>
      <c r="T702" s="2351"/>
      <c r="U702" s="2351"/>
      <c r="V702" s="2351"/>
      <c r="W702" s="2351"/>
      <c r="X702" s="2351"/>
      <c r="Y702" s="2351"/>
      <c r="Z702" s="2351"/>
      <c r="AA702" s="2351"/>
      <c r="AB702" s="2351"/>
      <c r="AC702" s="385"/>
      <c r="AD702" s="385"/>
      <c r="AE702" s="456"/>
      <c r="AF702" s="385"/>
      <c r="AG702" s="385"/>
      <c r="AH702" s="385"/>
      <c r="AI702" s="385"/>
      <c r="AJ702" s="385"/>
      <c r="AK702" s="385"/>
      <c r="AL702" s="385"/>
      <c r="AN702" s="439"/>
    </row>
    <row r="703" spans="1:51" s="416" customFormat="1" ht="13.2" customHeight="1">
      <c r="A703" s="398"/>
      <c r="B703" s="385"/>
      <c r="C703" s="735"/>
      <c r="D703" s="385"/>
      <c r="E703" s="2351"/>
      <c r="F703" s="2351"/>
      <c r="G703" s="2351"/>
      <c r="H703" s="2351"/>
      <c r="I703" s="2351"/>
      <c r="J703" s="2351"/>
      <c r="K703" s="2351"/>
      <c r="L703" s="2351"/>
      <c r="M703" s="2351"/>
      <c r="N703" s="2351"/>
      <c r="O703" s="2351"/>
      <c r="P703" s="2351"/>
      <c r="Q703" s="2351"/>
      <c r="R703" s="2351"/>
      <c r="S703" s="2351"/>
      <c r="T703" s="2351"/>
      <c r="U703" s="2351"/>
      <c r="V703" s="2351"/>
      <c r="W703" s="2351"/>
      <c r="X703" s="2351"/>
      <c r="Y703" s="2351"/>
      <c r="Z703" s="2351"/>
      <c r="AA703" s="2351"/>
      <c r="AB703" s="2351"/>
      <c r="AC703" s="385"/>
      <c r="AD703" s="385"/>
      <c r="AE703" s="456"/>
      <c r="AF703" s="456"/>
      <c r="AG703" s="456"/>
      <c r="AH703" s="456"/>
      <c r="AI703" s="456"/>
      <c r="AJ703" s="385"/>
      <c r="AK703" s="385"/>
      <c r="AL703" s="385"/>
      <c r="AM703" s="398"/>
      <c r="AN703" s="520"/>
      <c r="AO703" s="398" t="s">
        <v>810</v>
      </c>
      <c r="AP703" s="510">
        <v>0</v>
      </c>
    </row>
    <row r="704" spans="1:51" s="416" customFormat="1" ht="12" customHeight="1">
      <c r="A704" s="398"/>
      <c r="B704" s="385"/>
      <c r="C704" s="735"/>
      <c r="D704" s="385"/>
      <c r="E704" s="1191"/>
      <c r="F704" s="1191"/>
      <c r="G704" s="1191"/>
      <c r="H704" s="1191"/>
      <c r="I704" s="1191"/>
      <c r="J704" s="1191"/>
      <c r="K704" s="1191"/>
      <c r="L704" s="1191"/>
      <c r="M704" s="1191"/>
      <c r="N704" s="1191"/>
      <c r="O704" s="1191"/>
      <c r="P704" s="1191"/>
      <c r="Q704" s="1191"/>
      <c r="R704" s="1191"/>
      <c r="S704" s="1191"/>
      <c r="T704" s="1191"/>
      <c r="U704" s="1191"/>
      <c r="V704" s="1191"/>
      <c r="W704" s="1191"/>
      <c r="X704" s="1191"/>
      <c r="Y704" s="1191"/>
      <c r="Z704" s="1191"/>
      <c r="AA704" s="1191"/>
      <c r="AB704" s="1191"/>
      <c r="AC704" s="385"/>
      <c r="AD704" s="385"/>
      <c r="AE704" s="456"/>
      <c r="AF704" s="456"/>
      <c r="AG704" s="456"/>
      <c r="AH704" s="456"/>
      <c r="AI704" s="456"/>
      <c r="AJ704" s="385"/>
      <c r="AK704" s="385"/>
      <c r="AL704" s="385"/>
      <c r="AM704" s="398"/>
      <c r="AN704" s="520"/>
      <c r="AO704" s="452" t="s">
        <v>22</v>
      </c>
      <c r="AP704" s="398">
        <v>3</v>
      </c>
    </row>
    <row r="705" spans="1:43" s="416" customFormat="1" ht="12.75" customHeight="1">
      <c r="A705" s="398"/>
      <c r="B705" s="385"/>
      <c r="C705" s="735"/>
      <c r="D705" s="385"/>
      <c r="E705" s="2351" t="s">
        <v>2525</v>
      </c>
      <c r="F705" s="2351"/>
      <c r="G705" s="2351"/>
      <c r="H705" s="2351"/>
      <c r="I705" s="2351"/>
      <c r="J705" s="2351"/>
      <c r="K705" s="2351"/>
      <c r="L705" s="2351"/>
      <c r="M705" s="2351"/>
      <c r="N705" s="2351"/>
      <c r="O705" s="2351"/>
      <c r="P705" s="2351"/>
      <c r="Q705" s="2351"/>
      <c r="R705" s="2351"/>
      <c r="S705" s="2351"/>
      <c r="T705" s="2351"/>
      <c r="U705" s="2351"/>
      <c r="V705" s="2351"/>
      <c r="W705" s="2351"/>
      <c r="X705" s="2351"/>
      <c r="Y705" s="2351"/>
      <c r="Z705" s="2351"/>
      <c r="AA705" s="2351"/>
      <c r="AB705" s="2351"/>
      <c r="AC705" s="385"/>
      <c r="AD705" s="385"/>
      <c r="AE705" s="456"/>
      <c r="AF705" s="456"/>
      <c r="AG705" s="456"/>
      <c r="AH705" s="456"/>
      <c r="AI705" s="456"/>
      <c r="AJ705" s="385"/>
      <c r="AK705" s="385"/>
      <c r="AL705" s="385"/>
      <c r="AM705" s="398"/>
      <c r="AN705" s="520"/>
      <c r="AO705" s="452" t="s">
        <v>27</v>
      </c>
      <c r="AP705" s="398">
        <f>3*$AO$695</f>
        <v>3</v>
      </c>
    </row>
    <row r="706" spans="1:43" s="416" customFormat="1" ht="12.75" customHeight="1">
      <c r="A706" s="398"/>
      <c r="B706" s="385"/>
      <c r="C706" s="735"/>
      <c r="D706" s="385"/>
      <c r="E706" s="2351"/>
      <c r="F706" s="2351"/>
      <c r="G706" s="2351"/>
      <c r="H706" s="2351"/>
      <c r="I706" s="2351"/>
      <c r="J706" s="2351"/>
      <c r="K706" s="2351"/>
      <c r="L706" s="2351"/>
      <c r="M706" s="2351"/>
      <c r="N706" s="2351"/>
      <c r="O706" s="2351"/>
      <c r="P706" s="2351"/>
      <c r="Q706" s="2351"/>
      <c r="R706" s="2351"/>
      <c r="S706" s="2351"/>
      <c r="T706" s="2351"/>
      <c r="U706" s="2351"/>
      <c r="V706" s="2351"/>
      <c r="W706" s="2351"/>
      <c r="X706" s="2351"/>
      <c r="Y706" s="2351"/>
      <c r="Z706" s="2351"/>
      <c r="AA706" s="2351"/>
      <c r="AB706" s="2351"/>
      <c r="AC706" s="385"/>
      <c r="AD706" s="385"/>
      <c r="AE706" s="456"/>
      <c r="AF706" s="456"/>
      <c r="AG706" s="456"/>
      <c r="AH706" s="456"/>
      <c r="AI706" s="456"/>
      <c r="AJ706" s="385"/>
      <c r="AK706" s="385"/>
      <c r="AL706" s="385"/>
      <c r="AM706" s="398"/>
      <c r="AN706" s="520"/>
      <c r="AO706" s="452" t="s">
        <v>49</v>
      </c>
      <c r="AP706" s="398">
        <f>2*$AO$695</f>
        <v>2</v>
      </c>
    </row>
    <row r="707" spans="1:43" s="416" customFormat="1" ht="12.75" customHeight="1">
      <c r="A707" s="398"/>
      <c r="B707" s="385"/>
      <c r="C707" s="735"/>
      <c r="D707" s="385"/>
      <c r="E707" s="2351"/>
      <c r="F707" s="2351"/>
      <c r="G707" s="2351"/>
      <c r="H707" s="2351"/>
      <c r="I707" s="2351"/>
      <c r="J707" s="2351"/>
      <c r="K707" s="2351"/>
      <c r="L707" s="2351"/>
      <c r="M707" s="2351"/>
      <c r="N707" s="2351"/>
      <c r="O707" s="2351"/>
      <c r="P707" s="2351"/>
      <c r="Q707" s="2351"/>
      <c r="R707" s="2351"/>
      <c r="S707" s="2351"/>
      <c r="T707" s="2351"/>
      <c r="U707" s="2351"/>
      <c r="V707" s="2351"/>
      <c r="W707" s="2351"/>
      <c r="X707" s="2351"/>
      <c r="Y707" s="2351"/>
      <c r="Z707" s="2351"/>
      <c r="AA707" s="2351"/>
      <c r="AB707" s="2351"/>
      <c r="AC707" s="385"/>
      <c r="AD707" s="385"/>
      <c r="AE707" s="456"/>
      <c r="AF707" s="456"/>
      <c r="AG707" s="456"/>
      <c r="AH707" s="456"/>
      <c r="AI707" s="456"/>
      <c r="AJ707" s="385"/>
      <c r="AK707" s="385"/>
      <c r="AL707" s="385"/>
      <c r="AM707" s="398"/>
      <c r="AN707" s="520"/>
    </row>
    <row r="708" spans="1:43" s="416" customFormat="1" ht="12.75" customHeight="1">
      <c r="A708" s="398"/>
      <c r="B708" s="385"/>
      <c r="C708" s="735"/>
      <c r="D708" s="385"/>
      <c r="E708" s="1191"/>
      <c r="F708" s="1191"/>
      <c r="G708" s="1191"/>
      <c r="H708" s="1191"/>
      <c r="I708" s="1191"/>
      <c r="J708" s="1191"/>
      <c r="K708" s="1191"/>
      <c r="L708" s="1191"/>
      <c r="M708" s="1191"/>
      <c r="N708" s="1191"/>
      <c r="O708" s="1191"/>
      <c r="P708" s="1191"/>
      <c r="Q708" s="1191"/>
      <c r="R708" s="1191"/>
      <c r="S708" s="1191"/>
      <c r="T708" s="1191"/>
      <c r="U708" s="1191"/>
      <c r="V708" s="1191"/>
      <c r="W708" s="1191"/>
      <c r="X708" s="1191"/>
      <c r="Y708" s="1191"/>
      <c r="Z708" s="1191"/>
      <c r="AA708" s="1191"/>
      <c r="AB708" s="1191"/>
      <c r="AC708" s="385"/>
      <c r="AD708" s="385"/>
      <c r="AE708" s="456"/>
      <c r="AF708" s="456"/>
      <c r="AG708" s="456"/>
      <c r="AH708" s="456"/>
      <c r="AI708" s="456"/>
      <c r="AJ708" s="385"/>
      <c r="AK708" s="385"/>
      <c r="AL708" s="385"/>
      <c r="AM708" s="398"/>
      <c r="AN708" s="520"/>
    </row>
    <row r="709" spans="1:43" s="416" customFormat="1" ht="12.75" customHeight="1">
      <c r="A709" s="398"/>
      <c r="B709" s="385"/>
      <c r="C709" s="735"/>
      <c r="D709" s="385" t="s">
        <v>2481</v>
      </c>
      <c r="E709" s="1208"/>
      <c r="F709" s="1208"/>
      <c r="G709" s="1208"/>
      <c r="H709" s="2375" t="s">
        <v>49</v>
      </c>
      <c r="I709" s="2375"/>
      <c r="J709" s="1191"/>
      <c r="K709" s="1191"/>
      <c r="L709" s="1191"/>
      <c r="M709" s="1191"/>
      <c r="N709" s="1191"/>
      <c r="O709" s="1191"/>
      <c r="P709" s="1191"/>
      <c r="Q709" s="1191"/>
      <c r="R709" s="1191"/>
      <c r="S709" s="1191"/>
      <c r="T709" s="1191"/>
      <c r="U709" s="1191"/>
      <c r="V709" s="1191"/>
      <c r="W709" s="1191"/>
      <c r="X709" s="1191"/>
      <c r="Y709" s="1191"/>
      <c r="Z709" s="1191"/>
      <c r="AA709" s="1191"/>
      <c r="AB709" s="1191"/>
      <c r="AC709" s="385"/>
      <c r="AD709" s="385"/>
      <c r="AE709" s="456"/>
      <c r="AF709" s="456"/>
      <c r="AG709" s="456"/>
      <c r="AH709" s="456"/>
      <c r="AI709" s="456"/>
      <c r="AJ709" s="385"/>
      <c r="AK709" s="385"/>
      <c r="AL709" s="385"/>
      <c r="AM709" s="398"/>
      <c r="AN709" s="520"/>
      <c r="AP709" s="416" t="s">
        <v>2526</v>
      </c>
    </row>
    <row r="710" spans="1:43" s="416" customFormat="1">
      <c r="A710" s="398"/>
      <c r="B710" s="385"/>
      <c r="C710" s="735"/>
      <c r="D710" s="385"/>
      <c r="E710" s="1191"/>
      <c r="F710" s="1191"/>
      <c r="G710" s="1191"/>
      <c r="H710" s="1191"/>
      <c r="I710" s="1191"/>
      <c r="J710" s="1191"/>
      <c r="K710" s="1191"/>
      <c r="L710" s="1191"/>
      <c r="M710" s="1191"/>
      <c r="N710" s="1191"/>
      <c r="O710" s="1191"/>
      <c r="P710" s="1191"/>
      <c r="Q710" s="1191"/>
      <c r="R710" s="1191"/>
      <c r="S710" s="1191"/>
      <c r="T710" s="1191"/>
      <c r="U710" s="1191"/>
      <c r="V710" s="1191"/>
      <c r="W710" s="1191"/>
      <c r="X710" s="1191"/>
      <c r="Y710" s="1191"/>
      <c r="Z710" s="1191"/>
      <c r="AA710" s="1191"/>
      <c r="AB710" s="1191"/>
      <c r="AC710" s="385"/>
      <c r="AD710" s="385"/>
      <c r="AE710" s="456"/>
      <c r="AF710" s="456"/>
      <c r="AG710" s="456"/>
      <c r="AH710" s="456"/>
      <c r="AI710" s="456"/>
      <c r="AJ710" s="385"/>
      <c r="AK710" s="385"/>
      <c r="AL710" s="385"/>
      <c r="AM710" s="398"/>
      <c r="AN710" s="520"/>
      <c r="AP710" s="416" t="s">
        <v>2491</v>
      </c>
    </row>
    <row r="711" spans="1:43" s="416" customFormat="1" ht="12.75" customHeight="1">
      <c r="A711" s="447"/>
      <c r="B711" s="443"/>
      <c r="C711" s="747"/>
      <c r="D711" s="443"/>
      <c r="E711" s="443"/>
      <c r="F711" s="443"/>
      <c r="G711" s="443"/>
      <c r="H711" s="443"/>
      <c r="I711" s="443"/>
      <c r="J711" s="752"/>
      <c r="K711" s="752"/>
      <c r="L711" s="502"/>
      <c r="M711" s="502"/>
      <c r="N711" s="502"/>
      <c r="O711" s="502"/>
      <c r="P711" s="502"/>
      <c r="Q711" s="502"/>
      <c r="R711" s="502"/>
      <c r="S711" s="502"/>
      <c r="T711" s="502"/>
      <c r="U711" s="502"/>
      <c r="V711" s="502"/>
      <c r="W711" s="502"/>
      <c r="X711" s="502"/>
      <c r="Y711" s="742"/>
      <c r="Z711" s="742"/>
      <c r="AA711" s="742"/>
      <c r="AB711" s="443"/>
      <c r="AC711" s="443"/>
      <c r="AD711" s="443"/>
      <c r="AE711" s="443"/>
      <c r="AF711" s="443"/>
      <c r="AG711" s="443"/>
      <c r="AH711" s="443"/>
      <c r="AI711" s="411" t="s">
        <v>2527</v>
      </c>
      <c r="AJ711" s="2358">
        <f>VLOOKUP($H$709,$AO$703:$AP$706,2,FALSE)</f>
        <v>2</v>
      </c>
      <c r="AK711" s="2360"/>
      <c r="AL711" s="437"/>
      <c r="AM711" s="398"/>
      <c r="AN711" s="520"/>
      <c r="AP711" s="416" t="s">
        <v>2499</v>
      </c>
    </row>
    <row r="712" spans="1:43" s="416" customFormat="1">
      <c r="A712" s="398"/>
      <c r="B712" s="385"/>
      <c r="C712" s="385"/>
      <c r="D712" s="385"/>
      <c r="E712" s="385"/>
      <c r="F712" s="385"/>
      <c r="G712" s="385"/>
      <c r="H712" s="385"/>
      <c r="I712" s="385"/>
      <c r="J712" s="385"/>
      <c r="K712" s="385"/>
      <c r="L712" s="385"/>
      <c r="M712" s="385"/>
      <c r="N712" s="385"/>
      <c r="O712" s="385"/>
      <c r="P712" s="385"/>
      <c r="Q712" s="385"/>
      <c r="R712" s="385"/>
      <c r="S712" s="385"/>
      <c r="T712" s="385"/>
      <c r="U712" s="385"/>
      <c r="V712" s="385"/>
      <c r="W712" s="385"/>
      <c r="X712" s="385"/>
      <c r="Y712" s="385"/>
      <c r="Z712" s="385"/>
      <c r="AA712" s="385"/>
      <c r="AB712" s="385"/>
      <c r="AC712" s="385"/>
      <c r="AD712" s="385"/>
      <c r="AE712" s="456"/>
      <c r="AF712" s="456"/>
      <c r="AG712" s="456"/>
      <c r="AH712" s="456"/>
      <c r="AI712" s="456"/>
      <c r="AJ712" s="385"/>
      <c r="AK712" s="385"/>
      <c r="AL712" s="385"/>
      <c r="AM712" s="398"/>
      <c r="AN712" s="520"/>
      <c r="AP712" s="416" t="s">
        <v>2528</v>
      </c>
    </row>
    <row r="713" spans="1:43" s="416" customFormat="1" ht="12.75" customHeight="1">
      <c r="A713" s="398"/>
      <c r="B713" s="385"/>
      <c r="C713" s="388" t="s">
        <v>2529</v>
      </c>
      <c r="D713" s="547"/>
      <c r="E713" s="385"/>
      <c r="F713" s="385"/>
      <c r="G713" s="385"/>
      <c r="H713" s="385"/>
      <c r="I713" s="385"/>
      <c r="J713" s="385"/>
      <c r="K713" s="385"/>
      <c r="L713" s="385"/>
      <c r="M713" s="385"/>
      <c r="N713" s="385"/>
      <c r="O713" s="385"/>
      <c r="P713" s="385"/>
      <c r="Q713" s="385"/>
      <c r="R713" s="385"/>
      <c r="S713" s="385"/>
      <c r="T713" s="385"/>
      <c r="U713" s="385"/>
      <c r="V713" s="385"/>
      <c r="W713" s="385"/>
      <c r="X713" s="385"/>
      <c r="Y713" s="385"/>
      <c r="Z713" s="385"/>
      <c r="AA713" s="385"/>
      <c r="AB713" s="385"/>
      <c r="AC713" s="385"/>
      <c r="AD713" s="385"/>
      <c r="AE713" s="456"/>
      <c r="AF713" s="456"/>
      <c r="AG713" s="456"/>
      <c r="AH713" s="456"/>
      <c r="AI713" s="456"/>
      <c r="AJ713" s="385"/>
      <c r="AK713" s="385"/>
      <c r="AL713" s="385"/>
      <c r="AM713" s="398"/>
      <c r="AN713" s="520"/>
      <c r="AP713" s="416" t="s">
        <v>2530</v>
      </c>
    </row>
    <row r="714" spans="1:43" s="416" customFormat="1" ht="12.75" customHeight="1">
      <c r="A714" s="398"/>
      <c r="B714" s="385"/>
      <c r="C714" s="735"/>
      <c r="D714" s="385"/>
      <c r="E714" s="385"/>
      <c r="F714" s="385"/>
      <c r="G714" s="385"/>
      <c r="H714" s="385"/>
      <c r="I714" s="385"/>
      <c r="J714" s="385"/>
      <c r="K714" s="385"/>
      <c r="L714" s="385"/>
      <c r="M714" s="385"/>
      <c r="N714" s="385"/>
      <c r="O714" s="385"/>
      <c r="P714" s="385"/>
      <c r="Q714" s="385"/>
      <c r="R714" s="385"/>
      <c r="S714" s="385"/>
      <c r="T714" s="385"/>
      <c r="U714" s="385"/>
      <c r="V714" s="385"/>
      <c r="W714" s="385"/>
      <c r="X714" s="385"/>
      <c r="Y714" s="385"/>
      <c r="Z714" s="385"/>
      <c r="AA714" s="385"/>
      <c r="AB714" s="385"/>
      <c r="AC714" s="385"/>
      <c r="AD714" s="385"/>
      <c r="AE714" s="456"/>
      <c r="AF714" s="456"/>
      <c r="AG714" s="456"/>
      <c r="AH714" s="456"/>
      <c r="AI714" s="456"/>
      <c r="AJ714" s="385"/>
      <c r="AK714" s="385"/>
      <c r="AL714" s="385"/>
      <c r="AM714" s="398"/>
      <c r="AN714" s="520"/>
      <c r="AP714" s="416" t="s">
        <v>2531</v>
      </c>
    </row>
    <row r="715" spans="1:43" s="416" customFormat="1" ht="12.75" customHeight="1">
      <c r="A715" s="477"/>
      <c r="B715" s="385"/>
      <c r="C715" s="735"/>
      <c r="D715" s="500" t="s">
        <v>22</v>
      </c>
      <c r="E715" s="2463" t="s">
        <v>2532</v>
      </c>
      <c r="F715" s="2463"/>
      <c r="G715" s="2463"/>
      <c r="H715" s="2463"/>
      <c r="I715" s="2463"/>
      <c r="J715" s="2463"/>
      <c r="K715" s="2463"/>
      <c r="L715" s="2463"/>
      <c r="M715" s="2463"/>
      <c r="N715" s="2463"/>
      <c r="O715" s="2463"/>
      <c r="P715" s="2463"/>
      <c r="Q715" s="2463"/>
      <c r="R715" s="2463"/>
      <c r="S715" s="2463"/>
      <c r="T715" s="2463"/>
      <c r="U715" s="2463"/>
      <c r="V715" s="2463"/>
      <c r="W715" s="2463"/>
      <c r="X715" s="2463"/>
      <c r="Y715" s="2463"/>
      <c r="Z715" s="2463"/>
      <c r="AA715" s="2463"/>
      <c r="AB715" s="2463"/>
      <c r="AC715" s="385"/>
      <c r="AD715" s="385"/>
      <c r="AE715" s="385"/>
      <c r="AF715" s="2451" t="s">
        <v>2207</v>
      </c>
      <c r="AG715" s="2451"/>
      <c r="AH715" s="2451"/>
      <c r="AI715" s="2451"/>
      <c r="AJ715" s="2451"/>
      <c r="AK715" s="2451"/>
      <c r="AL715" s="2451"/>
      <c r="AM715" s="398"/>
      <c r="AN715" s="520"/>
      <c r="AP715" s="416" t="s">
        <v>2533</v>
      </c>
    </row>
    <row r="716" spans="1:43" s="416" customFormat="1" ht="11.85" customHeight="1">
      <c r="A716" s="398"/>
      <c r="B716" s="385"/>
      <c r="C716" s="737"/>
      <c r="D716" s="500"/>
      <c r="E716" s="2463"/>
      <c r="F716" s="2463"/>
      <c r="G716" s="2463"/>
      <c r="H716" s="2463"/>
      <c r="I716" s="2463"/>
      <c r="J716" s="2463"/>
      <c r="K716" s="2463"/>
      <c r="L716" s="2463"/>
      <c r="M716" s="2463"/>
      <c r="N716" s="2463"/>
      <c r="O716" s="2463"/>
      <c r="P716" s="2463"/>
      <c r="Q716" s="2463"/>
      <c r="R716" s="2463"/>
      <c r="S716" s="2463"/>
      <c r="T716" s="2463"/>
      <c r="U716" s="2463"/>
      <c r="V716" s="2463"/>
      <c r="W716" s="2463"/>
      <c r="X716" s="2463"/>
      <c r="Y716" s="2463"/>
      <c r="Z716" s="2463"/>
      <c r="AA716" s="2463"/>
      <c r="AB716" s="2463"/>
      <c r="AC716" s="385"/>
      <c r="AD716" s="385"/>
      <c r="AE716" s="385"/>
      <c r="AF716" s="385"/>
      <c r="AG716" s="385"/>
      <c r="AH716" s="385"/>
      <c r="AI716" s="385"/>
      <c r="AJ716" s="385"/>
      <c r="AK716" s="385"/>
      <c r="AL716" s="385"/>
      <c r="AM716" s="398"/>
      <c r="AN716" s="520"/>
      <c r="AP716" s="416" t="s">
        <v>2534</v>
      </c>
    </row>
    <row r="717" spans="1:43" s="416" customFormat="1" ht="13.95" customHeight="1">
      <c r="A717" s="398"/>
      <c r="B717" s="451"/>
      <c r="C717" s="735"/>
      <c r="D717" s="500"/>
      <c r="E717" s="2463"/>
      <c r="F717" s="2463"/>
      <c r="G717" s="2463"/>
      <c r="H717" s="2463"/>
      <c r="I717" s="2463"/>
      <c r="J717" s="2463"/>
      <c r="K717" s="2463"/>
      <c r="L717" s="2463"/>
      <c r="M717" s="2463"/>
      <c r="N717" s="2463"/>
      <c r="O717" s="2463"/>
      <c r="P717" s="2463"/>
      <c r="Q717" s="2463"/>
      <c r="R717" s="2463"/>
      <c r="S717" s="2463"/>
      <c r="T717" s="2463"/>
      <c r="U717" s="2463"/>
      <c r="V717" s="2463"/>
      <c r="W717" s="2463"/>
      <c r="X717" s="2463"/>
      <c r="Y717" s="2463"/>
      <c r="Z717" s="2463"/>
      <c r="AA717" s="2463"/>
      <c r="AB717" s="2463"/>
      <c r="AC717" s="385"/>
      <c r="AD717" s="385"/>
      <c r="AE717" s="456"/>
      <c r="AF717" s="385"/>
      <c r="AG717" s="385"/>
      <c r="AH717" s="385"/>
      <c r="AI717" s="385"/>
      <c r="AJ717" s="385"/>
      <c r="AK717" s="385"/>
      <c r="AL717" s="385"/>
      <c r="AM717" s="398"/>
      <c r="AN717" s="520"/>
      <c r="AP717" s="416" t="s">
        <v>2535</v>
      </c>
    </row>
    <row r="718" spans="1:43" s="416" customFormat="1" ht="13.95" customHeight="1">
      <c r="A718" s="398"/>
      <c r="B718" s="451"/>
      <c r="C718" s="735"/>
      <c r="D718" s="500"/>
      <c r="E718" s="1208"/>
      <c r="F718" s="1208"/>
      <c r="G718" s="1208"/>
      <c r="H718" s="1208"/>
      <c r="I718" s="1208"/>
      <c r="J718" s="1208"/>
      <c r="K718" s="1208"/>
      <c r="L718" s="1208"/>
      <c r="M718" s="1208"/>
      <c r="N718" s="1208"/>
      <c r="O718" s="1208"/>
      <c r="P718" s="1208"/>
      <c r="Q718" s="1208"/>
      <c r="R718" s="1208"/>
      <c r="S718" s="1208"/>
      <c r="T718" s="1208"/>
      <c r="U718" s="1208"/>
      <c r="V718" s="1208"/>
      <c r="W718" s="1208"/>
      <c r="X718" s="1208"/>
      <c r="Y718" s="1208"/>
      <c r="Z718" s="1208"/>
      <c r="AA718" s="1208"/>
      <c r="AB718" s="1208"/>
      <c r="AC718" s="385"/>
      <c r="AD718" s="385"/>
      <c r="AE718" s="456"/>
      <c r="AF718" s="385"/>
      <c r="AG718" s="385"/>
      <c r="AH718" s="385"/>
      <c r="AI718" s="385"/>
      <c r="AJ718" s="385"/>
      <c r="AK718" s="385"/>
      <c r="AL718" s="385"/>
      <c r="AM718" s="398"/>
      <c r="AN718" s="520"/>
      <c r="AP718" s="522" t="s">
        <v>2536</v>
      </c>
    </row>
    <row r="719" spans="1:43" s="416" customFormat="1" ht="13.95" customHeight="1">
      <c r="A719" s="398"/>
      <c r="B719" s="385"/>
      <c r="C719" s="735"/>
      <c r="D719" s="500" t="s">
        <v>27</v>
      </c>
      <c r="E719" s="2464" t="s">
        <v>2537</v>
      </c>
      <c r="F719" s="2464"/>
      <c r="G719" s="2464"/>
      <c r="H719" s="2464"/>
      <c r="I719" s="2464"/>
      <c r="J719" s="2464"/>
      <c r="K719" s="2464"/>
      <c r="L719" s="2464"/>
      <c r="M719" s="2464"/>
      <c r="N719" s="2464"/>
      <c r="O719" s="2464"/>
      <c r="P719" s="2464"/>
      <c r="Q719" s="2464"/>
      <c r="R719" s="2464"/>
      <c r="S719" s="2464"/>
      <c r="T719" s="2464"/>
      <c r="U719" s="2464"/>
      <c r="V719" s="2464"/>
      <c r="W719" s="2464"/>
      <c r="X719" s="2464"/>
      <c r="Y719" s="2464"/>
      <c r="Z719" s="2464"/>
      <c r="AA719" s="2464"/>
      <c r="AB719" s="2464"/>
      <c r="AC719" s="385"/>
      <c r="AD719" s="385"/>
      <c r="AE719" s="385"/>
      <c r="AF719" s="2451" t="s">
        <v>2495</v>
      </c>
      <c r="AG719" s="2451"/>
      <c r="AH719" s="2451"/>
      <c r="AI719" s="2451"/>
      <c r="AJ719" s="2451"/>
      <c r="AK719" s="2451"/>
      <c r="AL719" s="2451"/>
      <c r="AM719" s="398"/>
      <c r="AN719" s="521"/>
    </row>
    <row r="720" spans="1:43" s="416" customFormat="1" ht="12.75" customHeight="1">
      <c r="A720" s="398"/>
      <c r="B720" s="385"/>
      <c r="C720" s="737"/>
      <c r="D720" s="385"/>
      <c r="E720" s="2464"/>
      <c r="F720" s="2464"/>
      <c r="G720" s="2464"/>
      <c r="H720" s="2464"/>
      <c r="I720" s="2464"/>
      <c r="J720" s="2464"/>
      <c r="K720" s="2464"/>
      <c r="L720" s="2464"/>
      <c r="M720" s="2464"/>
      <c r="N720" s="2464"/>
      <c r="O720" s="2464"/>
      <c r="P720" s="2464"/>
      <c r="Q720" s="2464"/>
      <c r="R720" s="2464"/>
      <c r="S720" s="2464"/>
      <c r="T720" s="2464"/>
      <c r="U720" s="2464"/>
      <c r="V720" s="2464"/>
      <c r="W720" s="2464"/>
      <c r="X720" s="2464"/>
      <c r="Y720" s="2464"/>
      <c r="Z720" s="2464"/>
      <c r="AA720" s="2464"/>
      <c r="AB720" s="2464"/>
      <c r="AC720" s="385"/>
      <c r="AD720" s="385"/>
      <c r="AE720" s="385"/>
      <c r="AF720" s="385"/>
      <c r="AG720" s="385"/>
      <c r="AH720" s="385"/>
      <c r="AI720" s="385"/>
      <c r="AJ720" s="385"/>
      <c r="AK720" s="385"/>
      <c r="AL720" s="385"/>
      <c r="AM720" s="398"/>
      <c r="AN720" s="520"/>
      <c r="AP720" s="398" t="s">
        <v>810</v>
      </c>
      <c r="AQ720" s="510">
        <v>0</v>
      </c>
    </row>
    <row r="721" spans="1:81" s="416" customFormat="1" ht="13.95" customHeight="1">
      <c r="A721" s="398"/>
      <c r="B721" s="385"/>
      <c r="C721" s="737"/>
      <c r="D721" s="385"/>
      <c r="E721" s="2464"/>
      <c r="F721" s="2464"/>
      <c r="G721" s="2464"/>
      <c r="H721" s="2464"/>
      <c r="I721" s="2464"/>
      <c r="J721" s="2464"/>
      <c r="K721" s="2464"/>
      <c r="L721" s="2464"/>
      <c r="M721" s="2464"/>
      <c r="N721" s="2464"/>
      <c r="O721" s="2464"/>
      <c r="P721" s="2464"/>
      <c r="Q721" s="2464"/>
      <c r="R721" s="2464"/>
      <c r="S721" s="2464"/>
      <c r="T721" s="2464"/>
      <c r="U721" s="2464"/>
      <c r="V721" s="2464"/>
      <c r="W721" s="2464"/>
      <c r="X721" s="2464"/>
      <c r="Y721" s="2464"/>
      <c r="Z721" s="2464"/>
      <c r="AA721" s="2464"/>
      <c r="AB721" s="2464"/>
      <c r="AC721" s="385"/>
      <c r="AD721" s="385"/>
      <c r="AE721" s="385"/>
      <c r="AF721" s="385"/>
      <c r="AG721" s="385"/>
      <c r="AH721" s="385"/>
      <c r="AI721" s="385"/>
      <c r="AJ721" s="385"/>
      <c r="AK721" s="385"/>
      <c r="AL721" s="385"/>
      <c r="AM721" s="398"/>
      <c r="AN721" s="520"/>
      <c r="AP721" s="452" t="s">
        <v>22</v>
      </c>
      <c r="AQ721" s="398">
        <v>3</v>
      </c>
    </row>
    <row r="722" spans="1:81" s="416" customFormat="1" ht="13.95" customHeight="1">
      <c r="A722" s="398"/>
      <c r="B722" s="385"/>
      <c r="C722" s="737"/>
      <c r="D722" s="385"/>
      <c r="E722" s="1209"/>
      <c r="F722" s="1209"/>
      <c r="G722" s="1209"/>
      <c r="H722" s="1209"/>
      <c r="I722" s="1209"/>
      <c r="J722" s="1209"/>
      <c r="K722" s="1209"/>
      <c r="L722" s="1209"/>
      <c r="M722" s="1209"/>
      <c r="N722" s="1209"/>
      <c r="O722" s="1209"/>
      <c r="P722" s="1209"/>
      <c r="Q722" s="1209"/>
      <c r="R722" s="1209"/>
      <c r="S722" s="1209"/>
      <c r="T722" s="1209"/>
      <c r="U722" s="1209"/>
      <c r="V722" s="1209"/>
      <c r="W722" s="1209"/>
      <c r="X722" s="1209"/>
      <c r="Y722" s="1209"/>
      <c r="Z722" s="1209"/>
      <c r="AA722" s="1209"/>
      <c r="AB722" s="1209"/>
      <c r="AC722" s="385"/>
      <c r="AD722" s="385"/>
      <c r="AE722" s="385"/>
      <c r="AF722" s="385"/>
      <c r="AG722" s="385"/>
      <c r="AH722" s="385"/>
      <c r="AI722" s="385"/>
      <c r="AJ722" s="385"/>
      <c r="AK722" s="385"/>
      <c r="AL722" s="385"/>
      <c r="AM722" s="398"/>
      <c r="AN722" s="520"/>
      <c r="AP722" s="452" t="s">
        <v>27</v>
      </c>
      <c r="AQ722" s="398">
        <v>2</v>
      </c>
    </row>
    <row r="723" spans="1:81" s="416" customFormat="1" ht="13.95" customHeight="1">
      <c r="A723" s="398"/>
      <c r="B723" s="385"/>
      <c r="C723" s="737"/>
      <c r="D723" s="385" t="s">
        <v>2481</v>
      </c>
      <c r="E723" s="1208"/>
      <c r="F723" s="1208"/>
      <c r="G723" s="1208"/>
      <c r="H723" s="2375" t="s">
        <v>810</v>
      </c>
      <c r="I723" s="2375"/>
      <c r="J723" s="1209"/>
      <c r="K723" s="1209"/>
      <c r="L723" s="1209"/>
      <c r="M723" s="1209"/>
      <c r="N723" s="1209"/>
      <c r="O723" s="1209"/>
      <c r="P723" s="1209"/>
      <c r="Q723" s="1209"/>
      <c r="R723" s="1209"/>
      <c r="S723" s="1209"/>
      <c r="T723" s="1209"/>
      <c r="U723" s="1209"/>
      <c r="V723" s="1209"/>
      <c r="W723" s="1209"/>
      <c r="X723" s="1209"/>
      <c r="Y723" s="1209"/>
      <c r="Z723" s="1209"/>
      <c r="AA723" s="1209"/>
      <c r="AB723" s="1209"/>
      <c r="AC723" s="385"/>
      <c r="AD723" s="385"/>
      <c r="AE723" s="385"/>
      <c r="AF723" s="385"/>
      <c r="AG723" s="385"/>
      <c r="AH723" s="385"/>
      <c r="AI723" s="385"/>
      <c r="AJ723" s="385"/>
      <c r="AK723" s="385"/>
      <c r="AL723" s="385"/>
      <c r="AM723" s="398"/>
      <c r="AN723" s="520"/>
    </row>
    <row r="724" spans="1:81" s="416" customFormat="1" ht="14.25" customHeight="1">
      <c r="A724" s="398"/>
      <c r="B724" s="385"/>
      <c r="C724" s="737"/>
      <c r="D724" s="385"/>
      <c r="E724" s="1209"/>
      <c r="F724" s="1209"/>
      <c r="G724" s="1209"/>
      <c r="H724" s="1209"/>
      <c r="I724" s="1209"/>
      <c r="J724" s="1209"/>
      <c r="K724" s="1209"/>
      <c r="L724" s="1209"/>
      <c r="M724" s="1209"/>
      <c r="N724" s="1209"/>
      <c r="O724" s="1209"/>
      <c r="P724" s="1209"/>
      <c r="Q724" s="1209"/>
      <c r="R724" s="1209"/>
      <c r="S724" s="1209"/>
      <c r="T724" s="1209"/>
      <c r="U724" s="1209"/>
      <c r="V724" s="1209"/>
      <c r="W724" s="1209"/>
      <c r="X724" s="1209"/>
      <c r="Y724" s="1209"/>
      <c r="Z724" s="1209"/>
      <c r="AA724" s="1209"/>
      <c r="AB724" s="1209"/>
      <c r="AC724" s="385"/>
      <c r="AD724" s="385"/>
      <c r="AE724" s="385"/>
      <c r="AF724" s="385"/>
      <c r="AG724" s="385"/>
      <c r="AH724" s="385"/>
      <c r="AI724" s="385"/>
      <c r="AJ724" s="385"/>
      <c r="AK724" s="385"/>
      <c r="AL724" s="385"/>
      <c r="AM724" s="398"/>
      <c r="AN724" s="520"/>
    </row>
    <row r="725" spans="1:81" s="416" customFormat="1" ht="12.75" customHeight="1">
      <c r="A725" s="447"/>
      <c r="B725" s="443"/>
      <c r="C725" s="741"/>
      <c r="D725" s="443"/>
      <c r="E725" s="443"/>
      <c r="F725" s="443"/>
      <c r="G725" s="443"/>
      <c r="H725" s="443"/>
      <c r="I725" s="443"/>
      <c r="J725" s="753"/>
      <c r="K725" s="753"/>
      <c r="L725" s="753"/>
      <c r="M725" s="753"/>
      <c r="N725" s="753"/>
      <c r="O725" s="753"/>
      <c r="P725" s="753"/>
      <c r="Q725" s="753"/>
      <c r="R725" s="753"/>
      <c r="S725" s="753"/>
      <c r="T725" s="753"/>
      <c r="U725" s="502"/>
      <c r="V725" s="502"/>
      <c r="W725" s="502"/>
      <c r="X725" s="502"/>
      <c r="Y725" s="742"/>
      <c r="Z725" s="742"/>
      <c r="AA725" s="742"/>
      <c r="AB725" s="443"/>
      <c r="AC725" s="443"/>
      <c r="AD725" s="443"/>
      <c r="AE725" s="443"/>
      <c r="AF725" s="443"/>
      <c r="AG725" s="443"/>
      <c r="AH725" s="443"/>
      <c r="AI725" s="411" t="s">
        <v>2538</v>
      </c>
      <c r="AJ725" s="2358">
        <f>VLOOKUP($H$723,$AP$720:$AQ$722,2,FALSE)</f>
        <v>0</v>
      </c>
      <c r="AK725" s="2360"/>
      <c r="AL725" s="437"/>
      <c r="AM725" s="398"/>
      <c r="AN725" s="520"/>
      <c r="AP725" s="2358"/>
      <c r="AQ725" s="2360"/>
    </row>
    <row r="726" spans="1:81" s="416" customFormat="1">
      <c r="A726" s="398"/>
      <c r="B726" s="451"/>
      <c r="C726" s="735"/>
      <c r="D726" s="739"/>
      <c r="E726" s="456"/>
      <c r="F726" s="456"/>
      <c r="G726" s="456"/>
      <c r="H726" s="456"/>
      <c r="I726" s="456"/>
      <c r="J726" s="456"/>
      <c r="K726" s="456"/>
      <c r="L726" s="456"/>
      <c r="M726" s="456"/>
      <c r="N726" s="456"/>
      <c r="O726" s="456"/>
      <c r="P726" s="456"/>
      <c r="Q726" s="456"/>
      <c r="R726" s="456"/>
      <c r="S726" s="456"/>
      <c r="T726" s="456"/>
      <c r="U726" s="456"/>
      <c r="V726" s="456"/>
      <c r="W726" s="456"/>
      <c r="X726" s="456"/>
      <c r="Y726" s="456"/>
      <c r="Z726" s="456"/>
      <c r="AA726" s="456"/>
      <c r="AB726" s="456"/>
      <c r="AC726" s="385"/>
      <c r="AD726" s="385"/>
      <c r="AE726" s="385"/>
      <c r="AF726" s="385"/>
      <c r="AG726" s="385"/>
      <c r="AH726" s="385"/>
      <c r="AI726" s="385"/>
      <c r="AJ726" s="385"/>
      <c r="AK726" s="385"/>
      <c r="AL726" s="385"/>
      <c r="AM726" s="398"/>
      <c r="AN726" s="520"/>
      <c r="AT726" s="11"/>
      <c r="AU726" s="11"/>
      <c r="AV726" s="11"/>
      <c r="AW726" s="11"/>
      <c r="AX726" s="11"/>
      <c r="AY726" s="11"/>
      <c r="AZ726" s="11"/>
    </row>
    <row r="727" spans="1:81" s="416" customFormat="1">
      <c r="A727" s="398"/>
      <c r="B727" s="385"/>
      <c r="C727" s="388" t="s">
        <v>2539</v>
      </c>
      <c r="D727" s="754"/>
      <c r="E727" s="456"/>
      <c r="F727" s="456"/>
      <c r="G727" s="456"/>
      <c r="H727" s="456"/>
      <c r="I727" s="456"/>
      <c r="J727" s="456"/>
      <c r="K727" s="456"/>
      <c r="L727" s="456"/>
      <c r="M727" s="456"/>
      <c r="N727" s="456"/>
      <c r="O727" s="456"/>
      <c r="P727" s="456"/>
      <c r="Q727" s="456"/>
      <c r="R727" s="456"/>
      <c r="S727" s="456"/>
      <c r="T727" s="456"/>
      <c r="U727" s="456"/>
      <c r="V727" s="456"/>
      <c r="W727" s="456"/>
      <c r="X727" s="456"/>
      <c r="Y727" s="456"/>
      <c r="Z727" s="456"/>
      <c r="AA727" s="456"/>
      <c r="AB727" s="456"/>
      <c r="AC727" s="385"/>
      <c r="AD727" s="385"/>
      <c r="AE727" s="385"/>
      <c r="AF727" s="385"/>
      <c r="AG727" s="385"/>
      <c r="AH727" s="385"/>
      <c r="AI727" s="385"/>
      <c r="AJ727" s="385"/>
      <c r="AK727" s="385"/>
      <c r="AL727" s="385"/>
      <c r="AM727" s="398"/>
      <c r="AN727" s="520"/>
      <c r="AT727" s="11"/>
      <c r="AU727" s="11"/>
      <c r="AV727" s="11"/>
      <c r="AW727" s="11"/>
      <c r="AX727" s="11"/>
      <c r="AY727" s="11"/>
      <c r="AZ727" s="11"/>
    </row>
    <row r="728" spans="1:81" s="416" customFormat="1">
      <c r="A728" s="398"/>
      <c r="B728" s="451"/>
      <c r="C728" s="735"/>
      <c r="D728" s="739"/>
      <c r="E728" s="456"/>
      <c r="F728" s="456"/>
      <c r="G728" s="456"/>
      <c r="H728" s="456"/>
      <c r="I728" s="456"/>
      <c r="J728" s="456"/>
      <c r="K728" s="456"/>
      <c r="L728" s="456"/>
      <c r="M728" s="456"/>
      <c r="N728" s="456"/>
      <c r="O728" s="456"/>
      <c r="P728" s="456"/>
      <c r="Q728" s="456"/>
      <c r="R728" s="456"/>
      <c r="S728" s="456"/>
      <c r="T728" s="456"/>
      <c r="U728" s="456"/>
      <c r="V728" s="456"/>
      <c r="W728" s="456"/>
      <c r="X728" s="456"/>
      <c r="Y728" s="456"/>
      <c r="Z728" s="456"/>
      <c r="AA728" s="456"/>
      <c r="AB728" s="456"/>
      <c r="AC728" s="385"/>
      <c r="AD728" s="385"/>
      <c r="AE728" s="385"/>
      <c r="AF728" s="385"/>
      <c r="AG728" s="385"/>
      <c r="AH728" s="385"/>
      <c r="AI728" s="385"/>
      <c r="AJ728" s="385"/>
      <c r="AK728" s="385"/>
      <c r="AL728" s="385"/>
      <c r="AM728" s="398"/>
      <c r="AN728" s="520"/>
      <c r="AT728" s="11"/>
      <c r="AU728" s="11"/>
      <c r="AV728" s="11"/>
      <c r="AW728" s="11"/>
      <c r="AX728" s="11"/>
      <c r="AY728" s="11"/>
      <c r="AZ728" s="11"/>
    </row>
    <row r="729" spans="1:81" s="416" customFormat="1">
      <c r="A729" s="398"/>
      <c r="B729" s="385"/>
      <c r="C729" s="735"/>
      <c r="D729" s="500" t="s">
        <v>22</v>
      </c>
      <c r="E729" s="2351" t="s">
        <v>2540</v>
      </c>
      <c r="F729" s="2351"/>
      <c r="G729" s="2351"/>
      <c r="H729" s="2351"/>
      <c r="I729" s="2351"/>
      <c r="J729" s="2351"/>
      <c r="K729" s="2351"/>
      <c r="L729" s="2351"/>
      <c r="M729" s="2351"/>
      <c r="N729" s="2351"/>
      <c r="O729" s="2351"/>
      <c r="P729" s="2351"/>
      <c r="Q729" s="2351"/>
      <c r="R729" s="2351"/>
      <c r="S729" s="2351"/>
      <c r="T729" s="2351"/>
      <c r="U729" s="2351"/>
      <c r="V729" s="2351"/>
      <c r="W729" s="2351"/>
      <c r="X729" s="2351"/>
      <c r="Y729" s="2351"/>
      <c r="Z729" s="2351"/>
      <c r="AA729" s="2351"/>
      <c r="AB729" s="2351"/>
      <c r="AC729" s="385"/>
      <c r="AD729" s="385"/>
      <c r="AE729" s="385"/>
      <c r="AF729" s="2451" t="s">
        <v>2207</v>
      </c>
      <c r="AG729" s="2451"/>
      <c r="AH729" s="2451"/>
      <c r="AI729" s="2451"/>
      <c r="AJ729" s="2451"/>
      <c r="AK729" s="2451"/>
      <c r="AL729" s="2451"/>
      <c r="AM729" s="398"/>
      <c r="AN729" s="520"/>
      <c r="AT729" s="11"/>
      <c r="AU729" s="11"/>
      <c r="AV729" s="11"/>
      <c r="AW729" s="11"/>
      <c r="AX729" s="11"/>
      <c r="AY729" s="11"/>
      <c r="AZ729" s="11"/>
    </row>
    <row r="730" spans="1:81" s="416" customFormat="1">
      <c r="A730" s="398"/>
      <c r="B730" s="385"/>
      <c r="C730" s="737"/>
      <c r="D730" s="500"/>
      <c r="E730" s="2351"/>
      <c r="F730" s="2351"/>
      <c r="G730" s="2351"/>
      <c r="H730" s="2351"/>
      <c r="I730" s="2351"/>
      <c r="J730" s="2351"/>
      <c r="K730" s="2351"/>
      <c r="L730" s="2351"/>
      <c r="M730" s="2351"/>
      <c r="N730" s="2351"/>
      <c r="O730" s="2351"/>
      <c r="P730" s="2351"/>
      <c r="Q730" s="2351"/>
      <c r="R730" s="2351"/>
      <c r="S730" s="2351"/>
      <c r="T730" s="2351"/>
      <c r="U730" s="2351"/>
      <c r="V730" s="2351"/>
      <c r="W730" s="2351"/>
      <c r="X730" s="2351"/>
      <c r="Y730" s="2351"/>
      <c r="Z730" s="2351"/>
      <c r="AA730" s="2351"/>
      <c r="AB730" s="2351"/>
      <c r="AC730" s="385"/>
      <c r="AD730" s="385"/>
      <c r="AE730" s="385"/>
      <c r="AF730" s="385"/>
      <c r="AG730" s="385"/>
      <c r="AH730" s="385"/>
      <c r="AI730" s="385"/>
      <c r="AJ730" s="385"/>
      <c r="AK730" s="385"/>
      <c r="AL730" s="385"/>
      <c r="AM730" s="398"/>
      <c r="AN730" s="520"/>
      <c r="AT730" s="11"/>
      <c r="AU730" s="11"/>
      <c r="AV730" s="11"/>
      <c r="AW730" s="11"/>
      <c r="AX730" s="11"/>
      <c r="AY730" s="11"/>
      <c r="AZ730" s="11"/>
    </row>
    <row r="731" spans="1:81" s="416" customFormat="1">
      <c r="A731" s="398"/>
      <c r="B731" s="451"/>
      <c r="C731" s="735"/>
      <c r="D731" s="500"/>
      <c r="E731" s="456"/>
      <c r="F731" s="456"/>
      <c r="G731" s="456"/>
      <c r="H731" s="456"/>
      <c r="I731" s="456"/>
      <c r="J731" s="456"/>
      <c r="K731" s="456"/>
      <c r="L731" s="456"/>
      <c r="M731" s="456"/>
      <c r="N731" s="456"/>
      <c r="O731" s="456"/>
      <c r="P731" s="456"/>
      <c r="Q731" s="456"/>
      <c r="R731" s="456"/>
      <c r="S731" s="456"/>
      <c r="T731" s="456"/>
      <c r="U731" s="456"/>
      <c r="V731" s="456"/>
      <c r="W731" s="456"/>
      <c r="X731" s="456"/>
      <c r="Y731" s="456"/>
      <c r="Z731" s="456"/>
      <c r="AA731" s="456"/>
      <c r="AB731" s="456"/>
      <c r="AC731" s="385"/>
      <c r="AD731" s="385"/>
      <c r="AE731" s="385"/>
      <c r="AF731" s="385"/>
      <c r="AG731" s="385"/>
      <c r="AH731" s="385"/>
      <c r="AI731" s="385"/>
      <c r="AJ731" s="385"/>
      <c r="AK731" s="385"/>
      <c r="AL731" s="385"/>
      <c r="AM731" s="398"/>
      <c r="AN731" s="520"/>
      <c r="AT731" s="11"/>
      <c r="AU731" s="11"/>
      <c r="AV731" s="11"/>
      <c r="AW731" s="11"/>
      <c r="AX731" s="11"/>
      <c r="AY731" s="11"/>
      <c r="AZ731" s="11"/>
    </row>
    <row r="732" spans="1:81" s="416" customFormat="1" ht="12.75" customHeight="1">
      <c r="A732" s="398"/>
      <c r="B732" s="385"/>
      <c r="C732" s="735"/>
      <c r="D732" s="500" t="s">
        <v>27</v>
      </c>
      <c r="E732" s="2351" t="s">
        <v>2541</v>
      </c>
      <c r="F732" s="2351"/>
      <c r="G732" s="2351"/>
      <c r="H732" s="2351"/>
      <c r="I732" s="2351"/>
      <c r="J732" s="2351"/>
      <c r="K732" s="2351"/>
      <c r="L732" s="2351"/>
      <c r="M732" s="2351"/>
      <c r="N732" s="2351"/>
      <c r="O732" s="2351"/>
      <c r="P732" s="2351"/>
      <c r="Q732" s="2351"/>
      <c r="R732" s="2351"/>
      <c r="S732" s="2351"/>
      <c r="T732" s="2351"/>
      <c r="U732" s="2351"/>
      <c r="V732" s="2351"/>
      <c r="W732" s="2351"/>
      <c r="X732" s="2351"/>
      <c r="Y732" s="2351"/>
      <c r="Z732" s="2351"/>
      <c r="AA732" s="2351"/>
      <c r="AB732" s="2351"/>
      <c r="AC732" s="385"/>
      <c r="AD732" s="385"/>
      <c r="AE732" s="385"/>
      <c r="AF732" s="2451" t="s">
        <v>2495</v>
      </c>
      <c r="AG732" s="2451"/>
      <c r="AH732" s="2451"/>
      <c r="AI732" s="2451"/>
      <c r="AJ732" s="2451"/>
      <c r="AK732" s="2451"/>
      <c r="AL732" s="2451"/>
      <c r="AM732" s="398"/>
      <c r="AN732" s="520"/>
      <c r="AT732" s="11"/>
      <c r="AU732" s="11"/>
      <c r="AV732" s="11"/>
      <c r="AW732" s="11"/>
      <c r="AX732" s="11"/>
      <c r="AY732" s="11"/>
      <c r="AZ732" s="11"/>
    </row>
    <row r="733" spans="1:81" s="416" customFormat="1">
      <c r="A733" s="398"/>
      <c r="B733" s="385"/>
      <c r="C733" s="737"/>
      <c r="D733" s="385"/>
      <c r="E733" s="2351"/>
      <c r="F733" s="2351"/>
      <c r="G733" s="2351"/>
      <c r="H733" s="2351"/>
      <c r="I733" s="2351"/>
      <c r="J733" s="2351"/>
      <c r="K733" s="2351"/>
      <c r="L733" s="2351"/>
      <c r="M733" s="2351"/>
      <c r="N733" s="2351"/>
      <c r="O733" s="2351"/>
      <c r="P733" s="2351"/>
      <c r="Q733" s="2351"/>
      <c r="R733" s="2351"/>
      <c r="S733" s="2351"/>
      <c r="T733" s="2351"/>
      <c r="U733" s="2351"/>
      <c r="V733" s="2351"/>
      <c r="W733" s="2351"/>
      <c r="X733" s="2351"/>
      <c r="Y733" s="2351"/>
      <c r="Z733" s="2351"/>
      <c r="AA733" s="2351"/>
      <c r="AB733" s="2351"/>
      <c r="AC733" s="385"/>
      <c r="AD733" s="385"/>
      <c r="AE733" s="385"/>
      <c r="AF733" s="385"/>
      <c r="AG733" s="385"/>
      <c r="AH733" s="385"/>
      <c r="AI733" s="385"/>
      <c r="AJ733" s="385"/>
      <c r="AK733" s="385"/>
      <c r="AL733" s="385"/>
      <c r="AM733" s="398"/>
      <c r="AN733" s="520"/>
      <c r="AT733" s="11"/>
      <c r="AU733" s="11"/>
      <c r="AV733" s="11"/>
      <c r="AW733" s="11"/>
      <c r="AX733" s="11"/>
      <c r="AY733" s="11"/>
      <c r="AZ733" s="11"/>
    </row>
    <row r="734" spans="1:81" s="416" customFormat="1">
      <c r="A734" s="398"/>
      <c r="B734" s="385"/>
      <c r="C734" s="737"/>
      <c r="D734" s="385"/>
      <c r="E734" s="1191"/>
      <c r="F734" s="1191"/>
      <c r="G734" s="1191"/>
      <c r="H734" s="1191"/>
      <c r="I734" s="1191"/>
      <c r="J734" s="1191"/>
      <c r="K734" s="1191"/>
      <c r="L734" s="1191"/>
      <c r="M734" s="1191"/>
      <c r="N734" s="1191"/>
      <c r="O734" s="1191"/>
      <c r="P734" s="1191"/>
      <c r="Q734" s="1191"/>
      <c r="R734" s="1191"/>
      <c r="S734" s="1191"/>
      <c r="T734" s="1191"/>
      <c r="U734" s="1191"/>
      <c r="V734" s="1191"/>
      <c r="W734" s="1191"/>
      <c r="X734" s="1191"/>
      <c r="Y734" s="1191"/>
      <c r="Z734" s="1191"/>
      <c r="AA734" s="1191"/>
      <c r="AB734" s="1191"/>
      <c r="AC734" s="385"/>
      <c r="AD734" s="385"/>
      <c r="AE734" s="385"/>
      <c r="AF734" s="385"/>
      <c r="AG734" s="385"/>
      <c r="AH734" s="385"/>
      <c r="AI734" s="385"/>
      <c r="AJ734" s="385"/>
      <c r="AK734" s="385"/>
      <c r="AL734" s="385"/>
      <c r="AM734" s="398"/>
      <c r="AN734" s="520"/>
      <c r="AT734" s="11"/>
      <c r="AU734" s="11"/>
      <c r="AV734" s="11"/>
      <c r="AW734" s="11"/>
      <c r="AX734" s="11"/>
      <c r="AY734" s="11"/>
      <c r="AZ734" s="11"/>
    </row>
    <row r="735" spans="1:81" s="416" customFormat="1" ht="12.75" customHeight="1">
      <c r="A735" s="398"/>
      <c r="B735" s="385"/>
      <c r="C735" s="737"/>
      <c r="D735" s="385" t="s">
        <v>2481</v>
      </c>
      <c r="E735" s="1208"/>
      <c r="F735" s="1208"/>
      <c r="G735" s="1208"/>
      <c r="H735" s="2375" t="s">
        <v>810</v>
      </c>
      <c r="I735" s="2375"/>
      <c r="J735" s="1191"/>
      <c r="K735" s="1191"/>
      <c r="L735" s="1191"/>
      <c r="M735" s="1191"/>
      <c r="N735" s="1191"/>
      <c r="O735" s="1191"/>
      <c r="P735" s="1191"/>
      <c r="Q735" s="1191"/>
      <c r="R735" s="1191"/>
      <c r="S735" s="1191"/>
      <c r="T735" s="1191"/>
      <c r="U735" s="1191"/>
      <c r="V735" s="1191"/>
      <c r="W735" s="1191"/>
      <c r="X735" s="1191"/>
      <c r="Y735" s="1191"/>
      <c r="Z735" s="1191"/>
      <c r="AA735" s="1191"/>
      <c r="AB735" s="1191"/>
      <c r="AC735" s="385"/>
      <c r="AD735" s="385"/>
      <c r="AE735" s="385"/>
      <c r="AF735" s="385"/>
      <c r="AG735" s="385"/>
      <c r="AH735" s="385"/>
      <c r="AI735" s="385"/>
      <c r="AJ735" s="385"/>
      <c r="AK735" s="385"/>
      <c r="AL735" s="385"/>
      <c r="AM735" s="398"/>
      <c r="AN735" s="520"/>
      <c r="AT735" s="11"/>
      <c r="AU735" s="11"/>
      <c r="AV735" s="11"/>
      <c r="AW735" s="11"/>
      <c r="AX735" s="11"/>
      <c r="AY735" s="11"/>
      <c r="AZ735" s="11"/>
    </row>
    <row r="736" spans="1:81" s="416" customFormat="1">
      <c r="A736" s="398"/>
      <c r="B736" s="385"/>
      <c r="C736" s="737"/>
      <c r="D736" s="385"/>
      <c r="E736" s="1191"/>
      <c r="F736" s="1191"/>
      <c r="G736" s="1191"/>
      <c r="H736" s="1191"/>
      <c r="I736" s="1191"/>
      <c r="J736" s="1191"/>
      <c r="K736" s="1191"/>
      <c r="L736" s="1191"/>
      <c r="M736" s="1191"/>
      <c r="N736" s="1191"/>
      <c r="O736" s="1191"/>
      <c r="P736" s="1191"/>
      <c r="Q736" s="1191"/>
      <c r="R736" s="1191"/>
      <c r="S736" s="1191"/>
      <c r="T736" s="1191"/>
      <c r="U736" s="1191"/>
      <c r="V736" s="1191"/>
      <c r="W736" s="1191"/>
      <c r="X736" s="1191"/>
      <c r="Y736" s="1191"/>
      <c r="Z736" s="1191"/>
      <c r="AA736" s="1191"/>
      <c r="AB736" s="1191"/>
      <c r="AC736" s="385"/>
      <c r="AD736" s="385"/>
      <c r="AE736" s="385"/>
      <c r="AF736" s="385"/>
      <c r="AG736" s="385"/>
      <c r="AH736" s="385"/>
      <c r="AI736" s="385"/>
      <c r="AJ736" s="385"/>
      <c r="AK736" s="385"/>
      <c r="AL736" s="385"/>
      <c r="AM736" s="398"/>
      <c r="AN736" s="520"/>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6" customFormat="1">
      <c r="A737" s="447"/>
      <c r="B737" s="443"/>
      <c r="C737" s="741"/>
      <c r="D737" s="443"/>
      <c r="E737" s="752"/>
      <c r="F737" s="752"/>
      <c r="G737" s="752"/>
      <c r="H737" s="752"/>
      <c r="I737" s="752"/>
      <c r="J737" s="752"/>
      <c r="K737" s="752"/>
      <c r="L737" s="752"/>
      <c r="M737" s="752"/>
      <c r="N737" s="752"/>
      <c r="O737" s="752"/>
      <c r="P737" s="752"/>
      <c r="Q737" s="752"/>
      <c r="R737" s="752"/>
      <c r="S737" s="752"/>
      <c r="T737" s="752"/>
      <c r="U737" s="752"/>
      <c r="V737" s="502"/>
      <c r="W737" s="502"/>
      <c r="X737" s="502"/>
      <c r="Y737" s="742"/>
      <c r="Z737" s="742"/>
      <c r="AA737" s="742"/>
      <c r="AB737" s="443"/>
      <c r="AC737" s="443"/>
      <c r="AD737" s="443"/>
      <c r="AE737" s="443"/>
      <c r="AF737" s="443"/>
      <c r="AG737" s="443"/>
      <c r="AH737" s="443"/>
      <c r="AI737" s="411" t="s">
        <v>2542</v>
      </c>
      <c r="AJ737" s="2358">
        <f>VLOOKUP($H$735,$AO$666:$AP$668,2,FALSE)</f>
        <v>0</v>
      </c>
      <c r="AK737" s="2360"/>
      <c r="AL737" s="437"/>
      <c r="AM737" s="398"/>
      <c r="AN737" s="520"/>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6" customFormat="1" ht="12.75" customHeight="1">
      <c r="A738" s="398"/>
      <c r="B738" s="385"/>
      <c r="C738" s="737"/>
      <c r="D738" s="385"/>
      <c r="E738" s="385"/>
      <c r="F738" s="385"/>
      <c r="G738" s="385"/>
      <c r="H738" s="385"/>
      <c r="I738" s="385"/>
      <c r="J738" s="1191"/>
      <c r="K738" s="1191"/>
      <c r="L738" s="1191"/>
      <c r="M738" s="1191"/>
      <c r="N738" s="385"/>
      <c r="O738" s="385"/>
      <c r="P738" s="385"/>
      <c r="Q738" s="385"/>
      <c r="R738" s="385"/>
      <c r="S738" s="385"/>
      <c r="T738" s="385"/>
      <c r="U738" s="385"/>
      <c r="V738" s="385"/>
      <c r="W738" s="385"/>
      <c r="X738" s="385"/>
      <c r="Y738" s="385"/>
      <c r="Z738" s="385"/>
      <c r="AA738" s="385"/>
      <c r="AB738" s="385"/>
      <c r="AC738" s="385"/>
      <c r="AD738" s="385"/>
      <c r="AE738" s="385"/>
      <c r="AF738" s="385"/>
      <c r="AG738" s="385"/>
      <c r="AH738" s="385"/>
      <c r="AI738" s="385"/>
      <c r="AJ738" s="385"/>
      <c r="AK738" s="385"/>
      <c r="AL738" s="385"/>
      <c r="AM738" s="398"/>
      <c r="AN738" s="520"/>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6" customFormat="1" ht="12.75" customHeight="1">
      <c r="A739" s="398"/>
      <c r="B739" s="385"/>
      <c r="C739" s="388" t="s">
        <v>2543</v>
      </c>
      <c r="D739" s="385"/>
      <c r="E739" s="385"/>
      <c r="F739" s="385"/>
      <c r="G739" s="385"/>
      <c r="H739" s="385"/>
      <c r="I739" s="385"/>
      <c r="J739" s="385"/>
      <c r="K739" s="385"/>
      <c r="L739" s="385"/>
      <c r="M739" s="385"/>
      <c r="N739" s="385"/>
      <c r="O739" s="385"/>
      <c r="P739" s="385"/>
      <c r="Q739" s="385"/>
      <c r="R739" s="385"/>
      <c r="S739" s="385"/>
      <c r="T739" s="385"/>
      <c r="U739" s="385"/>
      <c r="V739" s="385"/>
      <c r="W739" s="385"/>
      <c r="X739" s="385"/>
      <c r="Y739" s="385"/>
      <c r="Z739" s="385"/>
      <c r="AA739" s="385"/>
      <c r="AB739" s="385"/>
      <c r="AC739" s="385"/>
      <c r="AD739" s="385"/>
      <c r="AE739" s="385"/>
      <c r="AF739" s="385"/>
      <c r="AG739" s="385"/>
      <c r="AH739" s="385"/>
      <c r="AI739" s="385"/>
      <c r="AJ739" s="385"/>
      <c r="AK739" s="385"/>
      <c r="AL739" s="385"/>
      <c r="AM739" s="398"/>
      <c r="AN739" s="520"/>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6" customFormat="1">
      <c r="A740" s="398"/>
      <c r="B740" s="451"/>
      <c r="C740" s="755"/>
      <c r="D740" s="451"/>
      <c r="E740" s="451"/>
      <c r="F740" s="385"/>
      <c r="G740" s="385"/>
      <c r="H740" s="451"/>
      <c r="I740" s="451"/>
      <c r="J740" s="451"/>
      <c r="K740" s="451"/>
      <c r="L740" s="451"/>
      <c r="M740" s="451"/>
      <c r="N740" s="451"/>
      <c r="O740" s="451"/>
      <c r="P740" s="451"/>
      <c r="Q740" s="451"/>
      <c r="R740" s="451"/>
      <c r="S740" s="451"/>
      <c r="T740" s="385"/>
      <c r="U740" s="385"/>
      <c r="V740" s="385"/>
      <c r="W740" s="385"/>
      <c r="X740" s="437"/>
      <c r="Y740" s="437"/>
      <c r="Z740" s="437"/>
      <c r="AA740" s="437"/>
      <c r="AB740" s="437"/>
      <c r="AC740" s="385"/>
      <c r="AD740" s="385"/>
      <c r="AE740" s="385"/>
      <c r="AF740" s="385"/>
      <c r="AG740" s="385"/>
      <c r="AH740" s="385"/>
      <c r="AI740" s="385"/>
      <c r="AJ740" s="385"/>
      <c r="AK740" s="385"/>
      <c r="AL740" s="385"/>
      <c r="AM740" s="398"/>
      <c r="AN740" s="520"/>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6" customFormat="1">
      <c r="A741" s="398"/>
      <c r="B741" s="385"/>
      <c r="C741" s="735"/>
      <c r="D741" s="500" t="s">
        <v>22</v>
      </c>
      <c r="E741" s="2351" t="s">
        <v>2544</v>
      </c>
      <c r="F741" s="2351"/>
      <c r="G741" s="2351"/>
      <c r="H741" s="2351"/>
      <c r="I741" s="2351"/>
      <c r="J741" s="2351"/>
      <c r="K741" s="2351"/>
      <c r="L741" s="2351"/>
      <c r="M741" s="2351"/>
      <c r="N741" s="2351"/>
      <c r="O741" s="2351"/>
      <c r="P741" s="2351"/>
      <c r="Q741" s="2351"/>
      <c r="R741" s="2351"/>
      <c r="S741" s="2351"/>
      <c r="T741" s="2351"/>
      <c r="U741" s="2351"/>
      <c r="V741" s="2351"/>
      <c r="W741" s="2351"/>
      <c r="X741" s="2351"/>
      <c r="Y741" s="2351"/>
      <c r="Z741" s="2351"/>
      <c r="AA741" s="2351"/>
      <c r="AB741" s="2351"/>
      <c r="AC741" s="385"/>
      <c r="AD741" s="385"/>
      <c r="AE741" s="385"/>
      <c r="AF741" s="2451" t="s">
        <v>2207</v>
      </c>
      <c r="AG741" s="2451"/>
      <c r="AH741" s="2451"/>
      <c r="AI741" s="2451"/>
      <c r="AJ741" s="2451"/>
      <c r="AK741" s="2451"/>
      <c r="AL741" s="2451"/>
      <c r="AM741" s="398"/>
      <c r="AN741" s="520"/>
      <c r="AT741" s="11"/>
      <c r="AU741" s="11"/>
      <c r="AV741" s="11"/>
      <c r="AW741" s="11"/>
      <c r="AX741" s="11"/>
      <c r="AY741" s="11"/>
      <c r="AZ741" s="11"/>
    </row>
    <row r="742" spans="1:81" s="416" customFormat="1">
      <c r="A742" s="398"/>
      <c r="B742" s="385"/>
      <c r="C742" s="735"/>
      <c r="D742" s="500"/>
      <c r="E742" s="2351"/>
      <c r="F742" s="2351"/>
      <c r="G742" s="2351"/>
      <c r="H742" s="2351"/>
      <c r="I742" s="2351"/>
      <c r="J742" s="2351"/>
      <c r="K742" s="2351"/>
      <c r="L742" s="2351"/>
      <c r="M742" s="2351"/>
      <c r="N742" s="2351"/>
      <c r="O742" s="2351"/>
      <c r="P742" s="2351"/>
      <c r="Q742" s="2351"/>
      <c r="R742" s="2351"/>
      <c r="S742" s="2351"/>
      <c r="T742" s="2351"/>
      <c r="U742" s="2351"/>
      <c r="V742" s="2351"/>
      <c r="W742" s="2351"/>
      <c r="X742" s="2351"/>
      <c r="Y742" s="2351"/>
      <c r="Z742" s="2351"/>
      <c r="AA742" s="2351"/>
      <c r="AB742" s="2351"/>
      <c r="AC742" s="385"/>
      <c r="AD742" s="385"/>
      <c r="AE742" s="385"/>
      <c r="AF742" s="1205"/>
      <c r="AG742" s="1205"/>
      <c r="AH742" s="1205"/>
      <c r="AI742" s="1205"/>
      <c r="AJ742" s="1205"/>
      <c r="AK742" s="1205"/>
      <c r="AL742" s="1205"/>
      <c r="AM742" s="398"/>
      <c r="AN742" s="520"/>
      <c r="AT742" s="11"/>
      <c r="AU742" s="11"/>
      <c r="AV742" s="11"/>
      <c r="AW742" s="11"/>
      <c r="AX742" s="11"/>
      <c r="AY742" s="11"/>
      <c r="AZ742" s="11"/>
    </row>
    <row r="743" spans="1:81" s="416" customFormat="1">
      <c r="A743" s="398"/>
      <c r="B743" s="385"/>
      <c r="C743" s="737"/>
      <c r="D743" s="500"/>
      <c r="E743" s="2351"/>
      <c r="F743" s="2351"/>
      <c r="G743" s="2351"/>
      <c r="H743" s="2351"/>
      <c r="I743" s="2351"/>
      <c r="J743" s="2351"/>
      <c r="K743" s="2351"/>
      <c r="L743" s="2351"/>
      <c r="M743" s="2351"/>
      <c r="N743" s="2351"/>
      <c r="O743" s="2351"/>
      <c r="P743" s="2351"/>
      <c r="Q743" s="2351"/>
      <c r="R743" s="2351"/>
      <c r="S743" s="2351"/>
      <c r="T743" s="2351"/>
      <c r="U743" s="2351"/>
      <c r="V743" s="2351"/>
      <c r="W743" s="2351"/>
      <c r="X743" s="2351"/>
      <c r="Y743" s="2351"/>
      <c r="Z743" s="2351"/>
      <c r="AA743" s="2351"/>
      <c r="AB743" s="2351"/>
      <c r="AC743" s="385"/>
      <c r="AD743" s="385"/>
      <c r="AE743" s="385"/>
      <c r="AF743" s="385"/>
      <c r="AG743" s="385"/>
      <c r="AH743" s="385"/>
      <c r="AI743" s="385"/>
      <c r="AJ743" s="385"/>
      <c r="AK743" s="385"/>
      <c r="AL743" s="385"/>
      <c r="AM743" s="398"/>
      <c r="AN743" s="520"/>
    </row>
    <row r="744" spans="1:81" s="416" customFormat="1" ht="12.75" customHeight="1">
      <c r="A744" s="398"/>
      <c r="B744" s="385"/>
      <c r="C744" s="737"/>
      <c r="D744" s="500"/>
      <c r="E744" s="2351"/>
      <c r="F744" s="2351"/>
      <c r="G744" s="2351"/>
      <c r="H744" s="2351"/>
      <c r="I744" s="2351"/>
      <c r="J744" s="2351"/>
      <c r="K744" s="2351"/>
      <c r="L744" s="2351"/>
      <c r="M744" s="2351"/>
      <c r="N744" s="2351"/>
      <c r="O744" s="2351"/>
      <c r="P744" s="2351"/>
      <c r="Q744" s="2351"/>
      <c r="R744" s="2351"/>
      <c r="S744" s="2351"/>
      <c r="T744" s="2351"/>
      <c r="U744" s="2351"/>
      <c r="V744" s="2351"/>
      <c r="W744" s="2351"/>
      <c r="X744" s="2351"/>
      <c r="Y744" s="2351"/>
      <c r="Z744" s="2351"/>
      <c r="AA744" s="2351"/>
      <c r="AB744" s="2351"/>
      <c r="AC744" s="385"/>
      <c r="AD744" s="385"/>
      <c r="AE744" s="385"/>
      <c r="AF744" s="385"/>
      <c r="AG744" s="385"/>
      <c r="AH744" s="385"/>
      <c r="AI744" s="385"/>
      <c r="AJ744" s="385"/>
      <c r="AK744" s="385"/>
      <c r="AL744" s="385"/>
      <c r="AM744" s="398"/>
      <c r="AN744" s="383"/>
      <c r="AO744" s="11"/>
    </row>
    <row r="745" spans="1:81" s="416" customFormat="1">
      <c r="A745" s="1195"/>
      <c r="B745" s="437"/>
      <c r="C745" s="735"/>
      <c r="D745" s="500"/>
      <c r="E745" s="749"/>
      <c r="F745" s="749"/>
      <c r="G745" s="749"/>
      <c r="H745" s="749"/>
      <c r="I745" s="749"/>
      <c r="J745" s="749"/>
      <c r="K745" s="749"/>
      <c r="L745" s="749"/>
      <c r="M745" s="749"/>
      <c r="N745" s="749"/>
      <c r="O745" s="749"/>
      <c r="P745" s="749"/>
      <c r="Q745" s="749"/>
      <c r="R745" s="749"/>
      <c r="S745" s="749"/>
      <c r="T745" s="749"/>
      <c r="U745" s="749"/>
      <c r="V745" s="749"/>
      <c r="W745" s="749"/>
      <c r="X745" s="749"/>
      <c r="Y745" s="749"/>
      <c r="Z745" s="749"/>
      <c r="AA745" s="749"/>
      <c r="AB745" s="749"/>
      <c r="AC745" s="385"/>
      <c r="AD745" s="385"/>
      <c r="AE745" s="385"/>
      <c r="AF745" s="385"/>
      <c r="AG745" s="385"/>
      <c r="AH745" s="385"/>
      <c r="AI745" s="385"/>
      <c r="AJ745" s="385"/>
      <c r="AK745" s="385"/>
      <c r="AL745" s="385"/>
      <c r="AM745" s="398"/>
      <c r="AN745" s="520"/>
      <c r="AO745" s="23"/>
      <c r="AP745" s="11"/>
    </row>
    <row r="746" spans="1:81" s="416" customFormat="1">
      <c r="A746" s="398"/>
      <c r="B746" s="385"/>
      <c r="C746" s="735"/>
      <c r="D746" s="500" t="s">
        <v>27</v>
      </c>
      <c r="E746" s="2351" t="s">
        <v>2545</v>
      </c>
      <c r="F746" s="2351"/>
      <c r="G746" s="2351"/>
      <c r="H746" s="2351"/>
      <c r="I746" s="2351"/>
      <c r="J746" s="2351"/>
      <c r="K746" s="2351"/>
      <c r="L746" s="2351"/>
      <c r="M746" s="2351"/>
      <c r="N746" s="2351"/>
      <c r="O746" s="2351"/>
      <c r="P746" s="2351"/>
      <c r="Q746" s="2351"/>
      <c r="R746" s="2351"/>
      <c r="S746" s="2351"/>
      <c r="T746" s="2351"/>
      <c r="U746" s="2351"/>
      <c r="V746" s="2351"/>
      <c r="W746" s="2351"/>
      <c r="X746" s="2351"/>
      <c r="Y746" s="2351"/>
      <c r="Z746" s="2351"/>
      <c r="AA746" s="2351"/>
      <c r="AB746" s="420"/>
      <c r="AC746" s="385"/>
      <c r="AD746" s="385"/>
      <c r="AE746" s="385"/>
      <c r="AF746" s="2451" t="s">
        <v>2495</v>
      </c>
      <c r="AG746" s="2451"/>
      <c r="AH746" s="2451"/>
      <c r="AI746" s="2451"/>
      <c r="AJ746" s="2451"/>
      <c r="AK746" s="2451"/>
      <c r="AL746" s="2451"/>
      <c r="AM746" s="398"/>
      <c r="AN746" s="520"/>
      <c r="AO746" s="23"/>
      <c r="AP746" s="11"/>
    </row>
    <row r="747" spans="1:81" s="416" customFormat="1">
      <c r="A747" s="398"/>
      <c r="B747" s="385"/>
      <c r="C747" s="735"/>
      <c r="D747" s="500"/>
      <c r="E747" s="2351"/>
      <c r="F747" s="2351"/>
      <c r="G747" s="2351"/>
      <c r="H747" s="2351"/>
      <c r="I747" s="2351"/>
      <c r="J747" s="2351"/>
      <c r="K747" s="2351"/>
      <c r="L747" s="2351"/>
      <c r="M747" s="2351"/>
      <c r="N747" s="2351"/>
      <c r="O747" s="2351"/>
      <c r="P747" s="2351"/>
      <c r="Q747" s="2351"/>
      <c r="R747" s="2351"/>
      <c r="S747" s="2351"/>
      <c r="T747" s="2351"/>
      <c r="U747" s="2351"/>
      <c r="V747" s="2351"/>
      <c r="W747" s="2351"/>
      <c r="X747" s="2351"/>
      <c r="Y747" s="2351"/>
      <c r="Z747" s="2351"/>
      <c r="AA747" s="2351"/>
      <c r="AB747" s="420"/>
      <c r="AC747" s="385"/>
      <c r="AD747" s="385"/>
      <c r="AE747" s="385"/>
      <c r="AF747" s="1205"/>
      <c r="AG747" s="1205"/>
      <c r="AH747" s="1205"/>
      <c r="AI747" s="1205"/>
      <c r="AJ747" s="1205"/>
      <c r="AK747" s="1205"/>
      <c r="AL747" s="1205"/>
      <c r="AM747" s="398"/>
      <c r="AN747" s="520"/>
      <c r="AO747" s="23"/>
      <c r="AP747" s="11"/>
    </row>
    <row r="748" spans="1:81" s="416" customFormat="1">
      <c r="A748" s="398"/>
      <c r="B748" s="385"/>
      <c r="C748" s="735"/>
      <c r="D748" s="385"/>
      <c r="E748" s="2351"/>
      <c r="F748" s="2351"/>
      <c r="G748" s="2351"/>
      <c r="H748" s="2351"/>
      <c r="I748" s="2351"/>
      <c r="J748" s="2351"/>
      <c r="K748" s="2351"/>
      <c r="L748" s="2351"/>
      <c r="M748" s="2351"/>
      <c r="N748" s="2351"/>
      <c r="O748" s="2351"/>
      <c r="P748" s="2351"/>
      <c r="Q748" s="2351"/>
      <c r="R748" s="2351"/>
      <c r="S748" s="2351"/>
      <c r="T748" s="2351"/>
      <c r="U748" s="2351"/>
      <c r="V748" s="2351"/>
      <c r="W748" s="2351"/>
      <c r="X748" s="2351"/>
      <c r="Y748" s="2351"/>
      <c r="Z748" s="2351"/>
      <c r="AA748" s="2351"/>
      <c r="AB748" s="420"/>
      <c r="AC748" s="1205"/>
      <c r="AD748" s="1205"/>
      <c r="AE748" s="1205"/>
      <c r="AF748" s="1205"/>
      <c r="AG748" s="1205"/>
      <c r="AH748" s="1205"/>
      <c r="AI748" s="1205"/>
      <c r="AJ748" s="385"/>
      <c r="AK748" s="385"/>
      <c r="AL748" s="385"/>
      <c r="AM748" s="398"/>
      <c r="AN748" s="520"/>
      <c r="AO748" s="23"/>
      <c r="AP748" s="11"/>
    </row>
    <row r="749" spans="1:81" s="416" customFormat="1">
      <c r="A749" s="398"/>
      <c r="B749" s="385"/>
      <c r="C749" s="735"/>
      <c r="D749" s="385"/>
      <c r="E749" s="2351"/>
      <c r="F749" s="2351"/>
      <c r="G749" s="2351"/>
      <c r="H749" s="2351"/>
      <c r="I749" s="2351"/>
      <c r="J749" s="2351"/>
      <c r="K749" s="2351"/>
      <c r="L749" s="2351"/>
      <c r="M749" s="2351"/>
      <c r="N749" s="2351"/>
      <c r="O749" s="2351"/>
      <c r="P749" s="2351"/>
      <c r="Q749" s="2351"/>
      <c r="R749" s="2351"/>
      <c r="S749" s="2351"/>
      <c r="T749" s="2351"/>
      <c r="U749" s="2351"/>
      <c r="V749" s="2351"/>
      <c r="W749" s="2351"/>
      <c r="X749" s="2351"/>
      <c r="Y749" s="2351"/>
      <c r="Z749" s="2351"/>
      <c r="AA749" s="2351"/>
      <c r="AB749" s="420"/>
      <c r="AC749" s="1205"/>
      <c r="AD749" s="1205"/>
      <c r="AE749" s="1205"/>
      <c r="AF749" s="1205"/>
      <c r="AG749" s="1205"/>
      <c r="AH749" s="1205"/>
      <c r="AI749" s="1205"/>
      <c r="AJ749" s="385"/>
      <c r="AK749" s="385"/>
      <c r="AL749" s="385"/>
      <c r="AM749" s="398"/>
      <c r="AN749" s="520"/>
      <c r="AO749" s="23"/>
      <c r="AP749" s="11"/>
    </row>
    <row r="750" spans="1:81" s="416" customFormat="1">
      <c r="A750" s="398"/>
      <c r="B750" s="385"/>
      <c r="C750" s="735"/>
      <c r="D750" s="385"/>
      <c r="E750" s="481"/>
      <c r="F750" s="481"/>
      <c r="G750" s="481"/>
      <c r="H750" s="481"/>
      <c r="I750" s="481"/>
      <c r="J750" s="481"/>
      <c r="K750" s="481"/>
      <c r="L750" s="481"/>
      <c r="M750" s="481"/>
      <c r="N750" s="481"/>
      <c r="O750" s="481"/>
      <c r="P750" s="481"/>
      <c r="Q750" s="481"/>
      <c r="R750" s="481"/>
      <c r="S750" s="481"/>
      <c r="T750" s="481"/>
      <c r="U750" s="481"/>
      <c r="V750" s="481"/>
      <c r="W750" s="481"/>
      <c r="X750" s="481"/>
      <c r="Y750" s="481"/>
      <c r="Z750" s="481"/>
      <c r="AA750" s="481"/>
      <c r="AB750" s="481"/>
      <c r="AC750" s="1205"/>
      <c r="AD750" s="1205"/>
      <c r="AE750" s="1205"/>
      <c r="AF750" s="1205"/>
      <c r="AG750" s="1205"/>
      <c r="AH750" s="1205"/>
      <c r="AI750" s="1205"/>
      <c r="AJ750" s="385"/>
      <c r="AK750" s="385"/>
      <c r="AL750" s="385"/>
      <c r="AM750" s="398"/>
      <c r="AN750" s="520"/>
    </row>
    <row r="751" spans="1:81" s="416" customFormat="1" ht="12.75" customHeight="1">
      <c r="A751" s="398"/>
      <c r="B751" s="385"/>
      <c r="C751" s="735"/>
      <c r="D751" s="385" t="s">
        <v>2481</v>
      </c>
      <c r="E751" s="1208"/>
      <c r="F751" s="1208"/>
      <c r="G751" s="1208"/>
      <c r="H751" s="2375" t="s">
        <v>22</v>
      </c>
      <c r="I751" s="2375"/>
      <c r="J751" s="481"/>
      <c r="K751" s="481"/>
      <c r="L751" s="481"/>
      <c r="M751" s="481"/>
      <c r="N751" s="481"/>
      <c r="O751" s="481"/>
      <c r="P751" s="481"/>
      <c r="Q751" s="481"/>
      <c r="R751" s="481"/>
      <c r="S751" s="481"/>
      <c r="T751" s="481"/>
      <c r="U751" s="481"/>
      <c r="V751" s="481"/>
      <c r="W751" s="481"/>
      <c r="X751" s="481"/>
      <c r="Y751" s="481"/>
      <c r="Z751" s="481"/>
      <c r="AA751" s="481"/>
      <c r="AB751" s="481"/>
      <c r="AC751" s="1205"/>
      <c r="AD751" s="1205"/>
      <c r="AE751" s="1205"/>
      <c r="AF751" s="1205"/>
      <c r="AG751" s="1205"/>
      <c r="AH751" s="1205"/>
      <c r="AI751" s="1205"/>
      <c r="AJ751" s="385"/>
      <c r="AK751" s="385"/>
      <c r="AL751" s="385"/>
      <c r="AM751" s="398"/>
      <c r="AN751" s="520"/>
    </row>
    <row r="752" spans="1:81" s="416" customFormat="1" ht="12.75" customHeight="1">
      <c r="A752" s="398"/>
      <c r="B752" s="385"/>
      <c r="C752" s="735"/>
      <c r="D752" s="385"/>
      <c r="E752" s="481"/>
      <c r="F752" s="481"/>
      <c r="G752" s="481"/>
      <c r="H752" s="481"/>
      <c r="I752" s="481"/>
      <c r="J752" s="481"/>
      <c r="K752" s="481"/>
      <c r="L752" s="481"/>
      <c r="M752" s="481"/>
      <c r="N752" s="481"/>
      <c r="O752" s="481"/>
      <c r="P752" s="481"/>
      <c r="Q752" s="481"/>
      <c r="R752" s="481"/>
      <c r="S752" s="481"/>
      <c r="T752" s="481"/>
      <c r="U752" s="481"/>
      <c r="V752" s="481"/>
      <c r="W752" s="481"/>
      <c r="X752" s="481"/>
      <c r="Y752" s="481"/>
      <c r="Z752" s="481"/>
      <c r="AA752" s="481"/>
      <c r="AB752" s="481"/>
      <c r="AC752" s="1205"/>
      <c r="AD752" s="1205"/>
      <c r="AE752" s="1205"/>
      <c r="AF752" s="1205"/>
      <c r="AG752" s="1205"/>
      <c r="AH752" s="1205"/>
      <c r="AI752" s="1205"/>
      <c r="AJ752" s="385"/>
      <c r="AK752" s="385"/>
      <c r="AL752" s="385"/>
      <c r="AM752" s="398"/>
      <c r="AN752" s="383"/>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6" customFormat="1">
      <c r="A753" s="447"/>
      <c r="B753" s="443"/>
      <c r="C753" s="747"/>
      <c r="D753" s="443"/>
      <c r="E753" s="756"/>
      <c r="F753" s="756"/>
      <c r="G753" s="756"/>
      <c r="H753" s="756"/>
      <c r="I753" s="756"/>
      <c r="J753" s="756"/>
      <c r="K753" s="756"/>
      <c r="L753" s="756"/>
      <c r="M753" s="756"/>
      <c r="N753" s="756"/>
      <c r="O753" s="756"/>
      <c r="P753" s="756"/>
      <c r="Q753" s="756"/>
      <c r="R753" s="756"/>
      <c r="S753" s="756"/>
      <c r="T753" s="756"/>
      <c r="U753" s="756"/>
      <c r="V753" s="756"/>
      <c r="W753" s="756"/>
      <c r="X753" s="756"/>
      <c r="Y753" s="756"/>
      <c r="Z753" s="756"/>
      <c r="AA753" s="756"/>
      <c r="AB753" s="523"/>
      <c r="AC753" s="523"/>
      <c r="AD753" s="523"/>
      <c r="AE753" s="523"/>
      <c r="AF753" s="523"/>
      <c r="AG753" s="523"/>
      <c r="AH753" s="443"/>
      <c r="AI753" s="411" t="s">
        <v>2546</v>
      </c>
      <c r="AJ753" s="2358">
        <f>VLOOKUP($H$751,$AO$680:$AP$682,2,FALSE)</f>
        <v>3</v>
      </c>
      <c r="AK753" s="2360"/>
      <c r="AL753" s="437"/>
      <c r="AM753" s="398"/>
      <c r="AN753" s="383"/>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6" customFormat="1" ht="12.75" customHeight="1">
      <c r="A754" s="477"/>
      <c r="B754" s="385"/>
      <c r="C754" s="737"/>
      <c r="D754" s="385"/>
      <c r="E754" s="385"/>
      <c r="F754" s="385"/>
      <c r="G754" s="385"/>
      <c r="H754" s="385"/>
      <c r="I754" s="385"/>
      <c r="J754" s="481"/>
      <c r="K754" s="481"/>
      <c r="L754" s="1191"/>
      <c r="M754" s="1191"/>
      <c r="N754" s="1191"/>
      <c r="O754" s="1191"/>
      <c r="P754" s="1191"/>
      <c r="Q754" s="1191"/>
      <c r="R754" s="1191"/>
      <c r="S754" s="1191"/>
      <c r="T754" s="1191"/>
      <c r="U754" s="1191"/>
      <c r="V754" s="456"/>
      <c r="W754" s="456"/>
      <c r="X754" s="456"/>
      <c r="Y754" s="456"/>
      <c r="Z754" s="1208"/>
      <c r="AA754" s="1208"/>
      <c r="AB754" s="1208"/>
      <c r="AC754" s="385"/>
      <c r="AD754" s="385"/>
      <c r="AE754" s="385"/>
      <c r="AF754" s="385"/>
      <c r="AG754" s="385"/>
      <c r="AH754" s="385"/>
      <c r="AI754" s="385"/>
      <c r="AJ754" s="385"/>
      <c r="AK754" s="385"/>
      <c r="AL754" s="385"/>
      <c r="AM754" s="398"/>
      <c r="AN754" s="383"/>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6" customFormat="1">
      <c r="A755" s="398"/>
      <c r="B755" s="385"/>
      <c r="C755" s="388" t="s">
        <v>2535</v>
      </c>
      <c r="D755" s="456"/>
      <c r="E755" s="385"/>
      <c r="F755" s="385"/>
      <c r="G755" s="385"/>
      <c r="H755" s="385"/>
      <c r="I755" s="385"/>
      <c r="J755" s="385"/>
      <c r="K755" s="385"/>
      <c r="L755" s="385"/>
      <c r="M755" s="385"/>
      <c r="N755" s="385"/>
      <c r="O755" s="385"/>
      <c r="P755" s="385"/>
      <c r="Q755" s="385"/>
      <c r="R755" s="385"/>
      <c r="S755" s="385"/>
      <c r="T755" s="385"/>
      <c r="U755" s="385"/>
      <c r="V755" s="385"/>
      <c r="W755" s="385"/>
      <c r="X755" s="385"/>
      <c r="Y755" s="385"/>
      <c r="Z755" s="385"/>
      <c r="AA755" s="385"/>
      <c r="AB755" s="385"/>
      <c r="AC755" s="385"/>
      <c r="AD755" s="385"/>
      <c r="AE755" s="385"/>
      <c r="AF755" s="385"/>
      <c r="AG755" s="385"/>
      <c r="AH755" s="385"/>
      <c r="AI755" s="385"/>
      <c r="AJ755" s="385"/>
      <c r="AK755" s="385"/>
      <c r="AL755" s="385"/>
      <c r="AM755" s="398"/>
      <c r="AN755" s="383"/>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6" customFormat="1">
      <c r="A756" s="398"/>
      <c r="B756" s="456"/>
      <c r="C756" s="385"/>
      <c r="D756" s="385"/>
      <c r="E756" s="456"/>
      <c r="F756" s="456"/>
      <c r="G756" s="456"/>
      <c r="H756" s="456"/>
      <c r="I756" s="456"/>
      <c r="J756" s="456"/>
      <c r="K756" s="456"/>
      <c r="L756" s="456"/>
      <c r="M756" s="456"/>
      <c r="N756" s="456"/>
      <c r="O756" s="456"/>
      <c r="P756" s="456"/>
      <c r="Q756" s="456"/>
      <c r="R756" s="456"/>
      <c r="S756" s="456"/>
      <c r="T756" s="456"/>
      <c r="U756" s="456"/>
      <c r="V756" s="456"/>
      <c r="W756" s="456"/>
      <c r="X756" s="456"/>
      <c r="Y756" s="456"/>
      <c r="Z756" s="456"/>
      <c r="AA756" s="456"/>
      <c r="AB756" s="456"/>
      <c r="AC756" s="456"/>
      <c r="AD756" s="456"/>
      <c r="AE756" s="456"/>
      <c r="AF756" s="456"/>
      <c r="AG756" s="456"/>
      <c r="AH756" s="456"/>
      <c r="AI756" s="385"/>
      <c r="AJ756" s="385"/>
      <c r="AK756" s="385"/>
      <c r="AL756" s="385"/>
      <c r="AM756" s="398"/>
      <c r="AN756" s="383"/>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6" customFormat="1">
      <c r="A757" s="398"/>
      <c r="B757" s="385"/>
      <c r="C757" s="735"/>
      <c r="D757" s="500" t="s">
        <v>22</v>
      </c>
      <c r="E757" s="2351" t="s">
        <v>2547</v>
      </c>
      <c r="F757" s="2351"/>
      <c r="G757" s="2351"/>
      <c r="H757" s="2351"/>
      <c r="I757" s="2351"/>
      <c r="J757" s="2351"/>
      <c r="K757" s="2351"/>
      <c r="L757" s="2351"/>
      <c r="M757" s="2351"/>
      <c r="N757" s="2351"/>
      <c r="O757" s="2351"/>
      <c r="P757" s="2351"/>
      <c r="Q757" s="2351"/>
      <c r="R757" s="2351"/>
      <c r="S757" s="2351"/>
      <c r="T757" s="2351"/>
      <c r="U757" s="2351"/>
      <c r="V757" s="2351"/>
      <c r="W757" s="2351"/>
      <c r="X757" s="2351"/>
      <c r="Y757" s="2351"/>
      <c r="Z757" s="2351"/>
      <c r="AA757" s="2351"/>
      <c r="AB757" s="2351"/>
      <c r="AC757" s="385"/>
      <c r="AD757" s="385"/>
      <c r="AE757" s="385"/>
      <c r="AF757" s="2451" t="s">
        <v>2495</v>
      </c>
      <c r="AG757" s="2451"/>
      <c r="AH757" s="2451"/>
      <c r="AI757" s="2451"/>
      <c r="AJ757" s="2451"/>
      <c r="AK757" s="2451"/>
      <c r="AL757" s="2451"/>
      <c r="AM757" s="398"/>
      <c r="AN757" s="383"/>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6" customFormat="1">
      <c r="A758" s="398"/>
      <c r="B758" s="385"/>
      <c r="C758" s="737"/>
      <c r="D758" s="500"/>
      <c r="E758" s="2351"/>
      <c r="F758" s="2351"/>
      <c r="G758" s="2351"/>
      <c r="H758" s="2351"/>
      <c r="I758" s="2351"/>
      <c r="J758" s="2351"/>
      <c r="K758" s="2351"/>
      <c r="L758" s="2351"/>
      <c r="M758" s="2351"/>
      <c r="N758" s="2351"/>
      <c r="O758" s="2351"/>
      <c r="P758" s="2351"/>
      <c r="Q758" s="2351"/>
      <c r="R758" s="2351"/>
      <c r="S758" s="2351"/>
      <c r="T758" s="2351"/>
      <c r="U758" s="2351"/>
      <c r="V758" s="2351"/>
      <c r="W758" s="2351"/>
      <c r="X758" s="2351"/>
      <c r="Y758" s="2351"/>
      <c r="Z758" s="2351"/>
      <c r="AA758" s="2351"/>
      <c r="AB758" s="2351"/>
      <c r="AC758" s="385"/>
      <c r="AD758" s="385"/>
      <c r="AE758" s="385"/>
      <c r="AF758" s="385"/>
      <c r="AG758" s="385"/>
      <c r="AH758" s="385"/>
      <c r="AI758" s="385"/>
      <c r="AJ758" s="385"/>
      <c r="AK758" s="385"/>
      <c r="AL758" s="385"/>
      <c r="AM758" s="398"/>
      <c r="AN758" s="383"/>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6" customFormat="1">
      <c r="A759" s="398"/>
      <c r="B759" s="456"/>
      <c r="C759" s="743"/>
      <c r="D759" s="500"/>
      <c r="E759" s="456"/>
      <c r="F759" s="456"/>
      <c r="G759" s="456"/>
      <c r="H759" s="456"/>
      <c r="I759" s="456"/>
      <c r="J759" s="456"/>
      <c r="K759" s="456"/>
      <c r="L759" s="456"/>
      <c r="M759" s="456"/>
      <c r="N759" s="456"/>
      <c r="O759" s="456"/>
      <c r="P759" s="456"/>
      <c r="Q759" s="456"/>
      <c r="R759" s="456"/>
      <c r="S759" s="456"/>
      <c r="T759" s="456"/>
      <c r="U759" s="456"/>
      <c r="V759" s="456"/>
      <c r="W759" s="456"/>
      <c r="X759" s="456"/>
      <c r="Y759" s="456"/>
      <c r="Z759" s="456"/>
      <c r="AA759" s="456"/>
      <c r="AB759" s="456"/>
      <c r="AC759" s="385"/>
      <c r="AD759" s="385"/>
      <c r="AE759" s="456"/>
      <c r="AF759" s="456"/>
      <c r="AG759" s="456"/>
      <c r="AH759" s="456"/>
      <c r="AI759" s="456"/>
      <c r="AJ759" s="456"/>
      <c r="AK759" s="385"/>
      <c r="AL759" s="385"/>
      <c r="AM759" s="398"/>
      <c r="AN759" s="383"/>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6" customFormat="1">
      <c r="A760" s="477"/>
      <c r="B760" s="385"/>
      <c r="C760" s="735"/>
      <c r="D760" s="500" t="s">
        <v>27</v>
      </c>
      <c r="E760" s="2351" t="s">
        <v>2548</v>
      </c>
      <c r="F760" s="2351"/>
      <c r="G760" s="2351"/>
      <c r="H760" s="2351"/>
      <c r="I760" s="2351"/>
      <c r="J760" s="2351"/>
      <c r="K760" s="2351"/>
      <c r="L760" s="2351"/>
      <c r="M760" s="2351"/>
      <c r="N760" s="2351"/>
      <c r="O760" s="2351"/>
      <c r="P760" s="2351"/>
      <c r="Q760" s="2351"/>
      <c r="R760" s="2351"/>
      <c r="S760" s="2351"/>
      <c r="T760" s="2351"/>
      <c r="U760" s="2351"/>
      <c r="V760" s="2351"/>
      <c r="W760" s="2351"/>
      <c r="X760" s="2351"/>
      <c r="Y760" s="2351"/>
      <c r="Z760" s="2351"/>
      <c r="AA760" s="2351"/>
      <c r="AB760" s="2351"/>
      <c r="AC760" s="385"/>
      <c r="AD760" s="385"/>
      <c r="AE760" s="385"/>
      <c r="AF760" s="2451" t="s">
        <v>2513</v>
      </c>
      <c r="AG760" s="2451"/>
      <c r="AH760" s="2451"/>
      <c r="AI760" s="2451"/>
      <c r="AJ760" s="2451"/>
      <c r="AK760" s="2451"/>
      <c r="AL760" s="2451"/>
      <c r="AM760" s="398"/>
      <c r="AN760" s="383"/>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6" customFormat="1" ht="12.75" customHeight="1">
      <c r="A761" s="477"/>
      <c r="B761" s="385"/>
      <c r="C761" s="735"/>
      <c r="D761" s="500"/>
      <c r="E761" s="2351"/>
      <c r="F761" s="2351"/>
      <c r="G761" s="2351"/>
      <c r="H761" s="2351"/>
      <c r="I761" s="2351"/>
      <c r="J761" s="2351"/>
      <c r="K761" s="2351"/>
      <c r="L761" s="2351"/>
      <c r="M761" s="2351"/>
      <c r="N761" s="2351"/>
      <c r="O761" s="2351"/>
      <c r="P761" s="2351"/>
      <c r="Q761" s="2351"/>
      <c r="R761" s="2351"/>
      <c r="S761" s="2351"/>
      <c r="T761" s="2351"/>
      <c r="U761" s="2351"/>
      <c r="V761" s="2351"/>
      <c r="W761" s="2351"/>
      <c r="X761" s="2351"/>
      <c r="Y761" s="2351"/>
      <c r="Z761" s="2351"/>
      <c r="AA761" s="2351"/>
      <c r="AB761" s="2351"/>
      <c r="AC761" s="385"/>
      <c r="AD761" s="385"/>
      <c r="AE761" s="1205"/>
      <c r="AF761" s="385"/>
      <c r="AG761" s="385"/>
      <c r="AH761" s="385"/>
      <c r="AI761" s="385"/>
      <c r="AJ761" s="385"/>
      <c r="AK761" s="385"/>
      <c r="AL761" s="385"/>
      <c r="AM761" s="398"/>
      <c r="AN761" s="383"/>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6" customFormat="1">
      <c r="A762" s="398"/>
      <c r="B762" s="385"/>
      <c r="C762" s="737"/>
      <c r="D762" s="385"/>
      <c r="E762" s="1191"/>
      <c r="F762" s="1191"/>
      <c r="G762" s="1191"/>
      <c r="H762" s="1191"/>
      <c r="I762" s="1191"/>
      <c r="J762" s="1191"/>
      <c r="K762" s="1191"/>
      <c r="L762" s="1191"/>
      <c r="M762" s="1191"/>
      <c r="N762" s="1191"/>
      <c r="O762" s="1191"/>
      <c r="P762" s="1191"/>
      <c r="Q762" s="1191"/>
      <c r="R762" s="1191"/>
      <c r="S762" s="1191"/>
      <c r="T762" s="1191"/>
      <c r="U762" s="1191"/>
      <c r="V762" s="1191"/>
      <c r="W762" s="1191"/>
      <c r="X762" s="1191"/>
      <c r="Y762" s="1191"/>
      <c r="Z762" s="1191"/>
      <c r="AA762" s="1191"/>
      <c r="AB762" s="1191"/>
      <c r="AC762" s="385"/>
      <c r="AD762" s="385"/>
      <c r="AE762" s="456"/>
      <c r="AF762" s="456"/>
      <c r="AG762" s="456"/>
      <c r="AH762" s="456"/>
      <c r="AI762" s="385"/>
      <c r="AJ762" s="385"/>
      <c r="AK762" s="385"/>
      <c r="AL762" s="385"/>
      <c r="AM762" s="398"/>
      <c r="AN762" s="383"/>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6" customFormat="1" ht="12.75" customHeight="1">
      <c r="A763" s="398"/>
      <c r="B763" s="385"/>
      <c r="C763" s="385"/>
      <c r="D763" s="385" t="s">
        <v>2481</v>
      </c>
      <c r="E763" s="1208"/>
      <c r="F763" s="1208"/>
      <c r="G763" s="1208"/>
      <c r="H763" s="2375" t="s">
        <v>22</v>
      </c>
      <c r="I763" s="2375"/>
      <c r="J763" s="1191"/>
      <c r="K763" s="1191"/>
      <c r="L763" s="1191"/>
      <c r="M763" s="1191"/>
      <c r="N763" s="1191"/>
      <c r="O763" s="1191"/>
      <c r="P763" s="1191"/>
      <c r="Q763" s="385"/>
      <c r="R763" s="385"/>
      <c r="S763" s="385"/>
      <c r="T763" s="385"/>
      <c r="U763" s="385"/>
      <c r="V763" s="385"/>
      <c r="W763" s="1191"/>
      <c r="X763" s="1191"/>
      <c r="Y763" s="1191"/>
      <c r="Z763" s="1191"/>
      <c r="AA763" s="1191"/>
      <c r="AB763" s="1191"/>
      <c r="AC763" s="385"/>
      <c r="AD763" s="385"/>
      <c r="AE763" s="456"/>
      <c r="AF763" s="456"/>
      <c r="AG763" s="456"/>
      <c r="AH763" s="456"/>
      <c r="AI763" s="385"/>
      <c r="AJ763" s="385"/>
      <c r="AK763" s="385"/>
      <c r="AL763" s="385"/>
      <c r="AM763" s="398"/>
      <c r="AN763" s="383"/>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6" customFormat="1" ht="12.75" customHeight="1">
      <c r="A764" s="398"/>
      <c r="B764" s="456"/>
      <c r="C764" s="743"/>
      <c r="D764" s="456"/>
      <c r="E764" s="456"/>
      <c r="F764" s="456"/>
      <c r="G764" s="456"/>
      <c r="H764" s="456"/>
      <c r="I764" s="456"/>
      <c r="J764" s="456"/>
      <c r="K764" s="456"/>
      <c r="L764" s="456"/>
      <c r="M764" s="456"/>
      <c r="N764" s="456"/>
      <c r="O764" s="456"/>
      <c r="P764" s="456"/>
      <c r="Q764" s="456"/>
      <c r="R764" s="456"/>
      <c r="S764" s="456"/>
      <c r="T764" s="456"/>
      <c r="U764" s="456"/>
      <c r="V764" s="456"/>
      <c r="W764" s="456"/>
      <c r="X764" s="456"/>
      <c r="Y764" s="456"/>
      <c r="Z764" s="456"/>
      <c r="AA764" s="456"/>
      <c r="AB764" s="456"/>
      <c r="AC764" s="456"/>
      <c r="AD764" s="456"/>
      <c r="AE764" s="456"/>
      <c r="AF764" s="456"/>
      <c r="AG764" s="456"/>
      <c r="AH764" s="456"/>
      <c r="AI764" s="385"/>
      <c r="AJ764" s="385"/>
      <c r="AK764" s="385"/>
      <c r="AL764" s="385"/>
      <c r="AM764" s="398"/>
      <c r="AN764" s="383"/>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6" customFormat="1" ht="13.95" customHeight="1">
      <c r="A765" s="447"/>
      <c r="B765" s="502"/>
      <c r="C765" s="757"/>
      <c r="D765" s="502"/>
      <c r="E765" s="502"/>
      <c r="F765" s="502"/>
      <c r="G765" s="502"/>
      <c r="H765" s="502"/>
      <c r="I765" s="502"/>
      <c r="J765" s="502"/>
      <c r="K765" s="502"/>
      <c r="L765" s="502"/>
      <c r="M765" s="502"/>
      <c r="N765" s="502"/>
      <c r="O765" s="502"/>
      <c r="P765" s="502"/>
      <c r="Q765" s="502"/>
      <c r="R765" s="502"/>
      <c r="S765" s="502"/>
      <c r="T765" s="502"/>
      <c r="U765" s="502"/>
      <c r="V765" s="502"/>
      <c r="W765" s="502"/>
      <c r="X765" s="502"/>
      <c r="Y765" s="502"/>
      <c r="Z765" s="502"/>
      <c r="AA765" s="502"/>
      <c r="AB765" s="502"/>
      <c r="AC765" s="502"/>
      <c r="AD765" s="502"/>
      <c r="AE765" s="502"/>
      <c r="AF765" s="502"/>
      <c r="AG765" s="502"/>
      <c r="AH765" s="443"/>
      <c r="AI765" s="411" t="s">
        <v>2549</v>
      </c>
      <c r="AJ765" s="2358">
        <f>VLOOKUP($H$763,$AO$697:$AP$699,2,FALSE)</f>
        <v>2</v>
      </c>
      <c r="AK765" s="2360"/>
      <c r="AL765" s="437"/>
      <c r="AM765" s="398"/>
      <c r="AN765" s="383"/>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6" customFormat="1">
      <c r="A766" s="398"/>
      <c r="B766" s="456"/>
      <c r="C766" s="743"/>
      <c r="D766" s="456"/>
      <c r="E766" s="456"/>
      <c r="F766" s="456"/>
      <c r="G766" s="456"/>
      <c r="H766" s="456"/>
      <c r="I766" s="456"/>
      <c r="J766" s="456"/>
      <c r="K766" s="456"/>
      <c r="L766" s="456"/>
      <c r="M766" s="456"/>
      <c r="N766" s="456"/>
      <c r="O766" s="456"/>
      <c r="P766" s="456"/>
      <c r="Q766" s="456"/>
      <c r="R766" s="456"/>
      <c r="S766" s="456"/>
      <c r="T766" s="456"/>
      <c r="U766" s="456"/>
      <c r="V766" s="456"/>
      <c r="W766" s="456"/>
      <c r="X766" s="456"/>
      <c r="Y766" s="456"/>
      <c r="Z766" s="456"/>
      <c r="AA766" s="456"/>
      <c r="AB766" s="456"/>
      <c r="AC766" s="456"/>
      <c r="AD766" s="456"/>
      <c r="AE766" s="456"/>
      <c r="AF766" s="456"/>
      <c r="AG766" s="456"/>
      <c r="AH766" s="385"/>
      <c r="AI766" s="1200"/>
      <c r="AJ766" s="437"/>
      <c r="AK766" s="437"/>
      <c r="AL766" s="437"/>
      <c r="AM766" s="398"/>
      <c r="AN766" s="383"/>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6" customFormat="1">
      <c r="A767" s="398"/>
      <c r="B767" s="456"/>
      <c r="C767" s="388" t="s">
        <v>2536</v>
      </c>
      <c r="D767" s="456"/>
      <c r="E767" s="456"/>
      <c r="F767" s="456"/>
      <c r="G767" s="456"/>
      <c r="H767" s="456"/>
      <c r="I767" s="456"/>
      <c r="J767" s="456"/>
      <c r="K767" s="456"/>
      <c r="L767" s="456"/>
      <c r="M767" s="456"/>
      <c r="N767" s="456"/>
      <c r="O767" s="456"/>
      <c r="P767" s="456"/>
      <c r="Q767" s="456"/>
      <c r="R767" s="456"/>
      <c r="S767" s="456"/>
      <c r="T767" s="456"/>
      <c r="U767" s="456"/>
      <c r="V767" s="456"/>
      <c r="W767" s="456"/>
      <c r="X767" s="456"/>
      <c r="Y767" s="456"/>
      <c r="Z767" s="456"/>
      <c r="AA767" s="456"/>
      <c r="AB767" s="456"/>
      <c r="AC767" s="456"/>
      <c r="AD767" s="456"/>
      <c r="AE767" s="456"/>
      <c r="AF767" s="456"/>
      <c r="AG767" s="456"/>
      <c r="AH767" s="385"/>
      <c r="AI767" s="1200"/>
      <c r="AJ767" s="437"/>
      <c r="AK767" s="437"/>
      <c r="AL767" s="437"/>
      <c r="AM767" s="398"/>
      <c r="AN767" s="383"/>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6" customFormat="1">
      <c r="A768" s="398"/>
      <c r="B768" s="456"/>
      <c r="C768" s="743"/>
      <c r="D768" s="456"/>
      <c r="E768" s="456"/>
      <c r="F768" s="456"/>
      <c r="G768" s="456"/>
      <c r="H768" s="456"/>
      <c r="I768" s="456"/>
      <c r="J768" s="456"/>
      <c r="K768" s="456"/>
      <c r="L768" s="456"/>
      <c r="M768" s="456"/>
      <c r="N768" s="456"/>
      <c r="O768" s="456"/>
      <c r="P768" s="456"/>
      <c r="Q768" s="456"/>
      <c r="R768" s="456"/>
      <c r="S768" s="456"/>
      <c r="T768" s="456"/>
      <c r="U768" s="456"/>
      <c r="V768" s="456"/>
      <c r="W768" s="456"/>
      <c r="X768" s="456"/>
      <c r="Y768" s="456"/>
      <c r="Z768" s="456"/>
      <c r="AA768" s="456"/>
      <c r="AB768" s="456"/>
      <c r="AC768" s="456"/>
      <c r="AD768" s="456"/>
      <c r="AE768" s="456"/>
      <c r="AF768" s="456"/>
      <c r="AG768" s="456"/>
      <c r="AH768" s="385"/>
      <c r="AI768" s="1200"/>
      <c r="AJ768" s="437"/>
      <c r="AK768" s="437"/>
      <c r="AL768" s="437"/>
      <c r="AM768" s="398"/>
      <c r="AN768" s="520"/>
    </row>
    <row r="769" spans="1:81" s="416" customFormat="1" ht="13.95" customHeight="1">
      <c r="A769" s="398"/>
      <c r="B769" s="456"/>
      <c r="C769" s="743"/>
      <c r="D769" s="500" t="s">
        <v>22</v>
      </c>
      <c r="E769" s="2351" t="s">
        <v>2550</v>
      </c>
      <c r="F769" s="2351"/>
      <c r="G769" s="2351"/>
      <c r="H769" s="2351"/>
      <c r="I769" s="2351"/>
      <c r="J769" s="2351"/>
      <c r="K769" s="2351"/>
      <c r="L769" s="2351"/>
      <c r="M769" s="2351"/>
      <c r="N769" s="2351"/>
      <c r="O769" s="2351"/>
      <c r="P769" s="2351"/>
      <c r="Q769" s="2351"/>
      <c r="R769" s="2351"/>
      <c r="S769" s="2351"/>
      <c r="T769" s="2351"/>
      <c r="U769" s="2351"/>
      <c r="V769" s="2351"/>
      <c r="W769" s="2351"/>
      <c r="X769" s="2351"/>
      <c r="Y769" s="2351"/>
      <c r="Z769" s="2351"/>
      <c r="AA769" s="2351"/>
      <c r="AB769" s="2351"/>
      <c r="AC769" s="2351"/>
      <c r="AD769" s="2351"/>
      <c r="AE769" s="385"/>
      <c r="AF769" s="2451" t="s">
        <v>2495</v>
      </c>
      <c r="AG769" s="2451"/>
      <c r="AH769" s="2451"/>
      <c r="AI769" s="2451"/>
      <c r="AJ769" s="2451"/>
      <c r="AK769" s="2451"/>
      <c r="AL769" s="2451"/>
      <c r="AM769" s="454"/>
      <c r="AN769" s="520"/>
      <c r="AO769" s="398" t="s">
        <v>810</v>
      </c>
      <c r="AP769" s="510">
        <v>0</v>
      </c>
    </row>
    <row r="770" spans="1:81" s="416" customFormat="1" ht="13.95" customHeight="1">
      <c r="A770" s="398"/>
      <c r="B770" s="456"/>
      <c r="C770" s="743"/>
      <c r="D770" s="500"/>
      <c r="E770" s="2351"/>
      <c r="F770" s="2351"/>
      <c r="G770" s="2351"/>
      <c r="H770" s="2351"/>
      <c r="I770" s="2351"/>
      <c r="J770" s="2351"/>
      <c r="K770" s="2351"/>
      <c r="L770" s="2351"/>
      <c r="M770" s="2351"/>
      <c r="N770" s="2351"/>
      <c r="O770" s="2351"/>
      <c r="P770" s="2351"/>
      <c r="Q770" s="2351"/>
      <c r="R770" s="2351"/>
      <c r="S770" s="2351"/>
      <c r="T770" s="2351"/>
      <c r="U770" s="2351"/>
      <c r="V770" s="2351"/>
      <c r="W770" s="2351"/>
      <c r="X770" s="2351"/>
      <c r="Y770" s="2351"/>
      <c r="Z770" s="2351"/>
      <c r="AA770" s="2351"/>
      <c r="AB770" s="2351"/>
      <c r="AC770" s="2351"/>
      <c r="AD770" s="2351"/>
      <c r="AE770" s="385"/>
      <c r="AF770" s="1205"/>
      <c r="AG770" s="1205"/>
      <c r="AH770" s="1205"/>
      <c r="AI770" s="1205"/>
      <c r="AJ770" s="1205"/>
      <c r="AK770" s="1205"/>
      <c r="AL770" s="1205"/>
      <c r="AM770" s="454"/>
      <c r="AN770" s="520"/>
      <c r="AO770" s="452" t="s">
        <v>22</v>
      </c>
      <c r="AP770" s="398">
        <v>2</v>
      </c>
    </row>
    <row r="771" spans="1:81" s="416" customFormat="1">
      <c r="A771" s="398"/>
      <c r="B771" s="456"/>
      <c r="C771" s="743"/>
      <c r="D771" s="500"/>
      <c r="E771" s="2351"/>
      <c r="F771" s="2351"/>
      <c r="G771" s="2351"/>
      <c r="H771" s="2351"/>
      <c r="I771" s="2351"/>
      <c r="J771" s="2351"/>
      <c r="K771" s="2351"/>
      <c r="L771" s="2351"/>
      <c r="M771" s="2351"/>
      <c r="N771" s="2351"/>
      <c r="O771" s="2351"/>
      <c r="P771" s="2351"/>
      <c r="Q771" s="2351"/>
      <c r="R771" s="2351"/>
      <c r="S771" s="2351"/>
      <c r="T771" s="2351"/>
      <c r="U771" s="2351"/>
      <c r="V771" s="2351"/>
      <c r="W771" s="2351"/>
      <c r="X771" s="2351"/>
      <c r="Y771" s="2351"/>
      <c r="Z771" s="2351"/>
      <c r="AA771" s="2351"/>
      <c r="AB771" s="2351"/>
      <c r="AC771" s="2351"/>
      <c r="AD771" s="2351"/>
      <c r="AE771" s="385"/>
      <c r="AF771" s="385"/>
      <c r="AG771" s="385"/>
      <c r="AH771" s="385"/>
      <c r="AI771" s="385"/>
      <c r="AJ771" s="385"/>
      <c r="AK771" s="385"/>
      <c r="AL771" s="1205"/>
      <c r="AM771" s="454"/>
      <c r="AN771" s="383"/>
      <c r="AO771" s="452" t="s">
        <v>27</v>
      </c>
      <c r="AP771" s="398">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6" customFormat="1" ht="18.600000000000001" customHeight="1">
      <c r="A772" s="398"/>
      <c r="B772" s="456"/>
      <c r="C772" s="743"/>
      <c r="D772" s="500"/>
      <c r="E772" s="2351"/>
      <c r="F772" s="2351"/>
      <c r="G772" s="2351"/>
      <c r="H772" s="2351"/>
      <c r="I772" s="2351"/>
      <c r="J772" s="2351"/>
      <c r="K772" s="2351"/>
      <c r="L772" s="2351"/>
      <c r="M772" s="2351"/>
      <c r="N772" s="2351"/>
      <c r="O772" s="2351"/>
      <c r="P772" s="2351"/>
      <c r="Q772" s="2351"/>
      <c r="R772" s="2351"/>
      <c r="S772" s="2351"/>
      <c r="T772" s="2351"/>
      <c r="U772" s="2351"/>
      <c r="V772" s="2351"/>
      <c r="W772" s="2351"/>
      <c r="X772" s="2351"/>
      <c r="Y772" s="2351"/>
      <c r="Z772" s="2351"/>
      <c r="AA772" s="2351"/>
      <c r="AB772" s="2351"/>
      <c r="AC772" s="2351"/>
      <c r="AD772" s="2351"/>
      <c r="AE772" s="1205"/>
      <c r="AF772" s="1205"/>
      <c r="AG772" s="1205"/>
      <c r="AH772" s="1205"/>
      <c r="AI772" s="1205"/>
      <c r="AJ772" s="1205"/>
      <c r="AK772" s="1205"/>
      <c r="AL772" s="1205"/>
      <c r="AM772" s="454"/>
      <c r="AN772" s="383"/>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8" customFormat="1" ht="12.75" customHeight="1">
      <c r="B773" s="456"/>
      <c r="C773" s="743"/>
      <c r="D773" s="500"/>
      <c r="E773" s="1211"/>
      <c r="F773" s="1211"/>
      <c r="G773" s="1211"/>
      <c r="H773" s="1211"/>
      <c r="I773" s="1211"/>
      <c r="J773" s="1211"/>
      <c r="K773" s="1211"/>
      <c r="L773" s="1211"/>
      <c r="M773" s="1211"/>
      <c r="N773" s="1211"/>
      <c r="O773" s="1211"/>
      <c r="P773" s="1211"/>
      <c r="Q773" s="1211"/>
      <c r="R773" s="1211"/>
      <c r="S773" s="1211"/>
      <c r="T773" s="1211"/>
      <c r="U773" s="1211"/>
      <c r="V773" s="1211"/>
      <c r="W773" s="1211"/>
      <c r="X773" s="1211"/>
      <c r="Y773" s="1211"/>
      <c r="Z773" s="1211"/>
      <c r="AA773" s="1211"/>
      <c r="AB773" s="1211"/>
      <c r="AC773" s="1211"/>
      <c r="AD773" s="1211"/>
      <c r="AE773" s="1205"/>
      <c r="AF773" s="385"/>
      <c r="AG773" s="385"/>
      <c r="AH773" s="385"/>
      <c r="AI773" s="385"/>
      <c r="AJ773" s="385"/>
      <c r="AK773" s="385"/>
      <c r="AL773" s="385"/>
      <c r="AM773" s="454"/>
      <c r="AN773" s="439"/>
    </row>
    <row r="774" spans="1:81" s="398" customFormat="1" ht="12.75" customHeight="1">
      <c r="B774" s="456"/>
      <c r="C774" s="743"/>
      <c r="D774" s="500" t="s">
        <v>27</v>
      </c>
      <c r="E774" s="2462" t="s">
        <v>2551</v>
      </c>
      <c r="F774" s="2462"/>
      <c r="G774" s="2462"/>
      <c r="H774" s="2462"/>
      <c r="I774" s="2462"/>
      <c r="J774" s="2462"/>
      <c r="K774" s="2462"/>
      <c r="L774" s="2462"/>
      <c r="M774" s="2462"/>
      <c r="N774" s="2462"/>
      <c r="O774" s="2462"/>
      <c r="P774" s="2462"/>
      <c r="Q774" s="2462"/>
      <c r="R774" s="2462"/>
      <c r="S774" s="2462"/>
      <c r="T774" s="2462"/>
      <c r="U774" s="2462"/>
      <c r="V774" s="2462"/>
      <c r="W774" s="2462"/>
      <c r="X774" s="2462"/>
      <c r="Y774" s="2462"/>
      <c r="Z774" s="2462"/>
      <c r="AA774" s="2462"/>
      <c r="AB774" s="2462"/>
      <c r="AC774" s="2462"/>
      <c r="AD774" s="2462"/>
      <c r="AE774" s="385"/>
      <c r="AF774" s="2451" t="s">
        <v>2207</v>
      </c>
      <c r="AG774" s="2451"/>
      <c r="AH774" s="2451"/>
      <c r="AI774" s="2451"/>
      <c r="AJ774" s="2451"/>
      <c r="AK774" s="2451"/>
      <c r="AL774" s="2451"/>
      <c r="AM774" s="454"/>
      <c r="AN774" s="439"/>
    </row>
    <row r="775" spans="1:81" s="398" customFormat="1" ht="12.75" customHeight="1">
      <c r="B775" s="456"/>
      <c r="C775" s="743"/>
      <c r="D775" s="500"/>
      <c r="E775" s="2462"/>
      <c r="F775" s="2462"/>
      <c r="G775" s="2462"/>
      <c r="H775" s="2462"/>
      <c r="I775" s="2462"/>
      <c r="J775" s="2462"/>
      <c r="K775" s="2462"/>
      <c r="L775" s="2462"/>
      <c r="M775" s="2462"/>
      <c r="N775" s="2462"/>
      <c r="O775" s="2462"/>
      <c r="P775" s="2462"/>
      <c r="Q775" s="2462"/>
      <c r="R775" s="2462"/>
      <c r="S775" s="2462"/>
      <c r="T775" s="2462"/>
      <c r="U775" s="2462"/>
      <c r="V775" s="2462"/>
      <c r="W775" s="2462"/>
      <c r="X775" s="2462"/>
      <c r="Y775" s="2462"/>
      <c r="Z775" s="2462"/>
      <c r="AA775" s="2462"/>
      <c r="AB775" s="2462"/>
      <c r="AC775" s="2462"/>
      <c r="AD775" s="2462"/>
      <c r="AE775" s="1205"/>
      <c r="AF775" s="1205"/>
      <c r="AG775" s="1205"/>
      <c r="AH775" s="1205"/>
      <c r="AI775" s="1205"/>
      <c r="AJ775" s="1205"/>
      <c r="AK775" s="1205"/>
      <c r="AL775" s="1205"/>
      <c r="AM775" s="454"/>
      <c r="AN775" s="439"/>
    </row>
    <row r="776" spans="1:81" s="398" customFormat="1" ht="12.75" customHeight="1">
      <c r="B776" s="456"/>
      <c r="C776" s="743"/>
      <c r="D776" s="500"/>
      <c r="E776" s="2462"/>
      <c r="F776" s="2462"/>
      <c r="G776" s="2462"/>
      <c r="H776" s="2462"/>
      <c r="I776" s="2462"/>
      <c r="J776" s="2462"/>
      <c r="K776" s="2462"/>
      <c r="L776" s="2462"/>
      <c r="M776" s="2462"/>
      <c r="N776" s="2462"/>
      <c r="O776" s="2462"/>
      <c r="P776" s="2462"/>
      <c r="Q776" s="2462"/>
      <c r="R776" s="2462"/>
      <c r="S776" s="2462"/>
      <c r="T776" s="2462"/>
      <c r="U776" s="2462"/>
      <c r="V776" s="2462"/>
      <c r="W776" s="2462"/>
      <c r="X776" s="2462"/>
      <c r="Y776" s="2462"/>
      <c r="Z776" s="2462"/>
      <c r="AA776" s="2462"/>
      <c r="AB776" s="2462"/>
      <c r="AC776" s="2462"/>
      <c r="AD776" s="2462"/>
      <c r="AE776" s="1205"/>
      <c r="AF776" s="1205"/>
      <c r="AG776" s="1205"/>
      <c r="AH776" s="1205"/>
      <c r="AI776" s="1205"/>
      <c r="AJ776" s="1205"/>
      <c r="AK776" s="1205"/>
      <c r="AL776" s="1205"/>
      <c r="AM776" s="454"/>
      <c r="AN776" s="439"/>
    </row>
    <row r="777" spans="1:81" s="398" customFormat="1" ht="12.75" customHeight="1">
      <c r="B777" s="456"/>
      <c r="C777" s="743"/>
      <c r="D777" s="500"/>
      <c r="E777" s="2462"/>
      <c r="F777" s="2462"/>
      <c r="G777" s="2462"/>
      <c r="H777" s="2462"/>
      <c r="I777" s="2462"/>
      <c r="J777" s="2462"/>
      <c r="K777" s="2462"/>
      <c r="L777" s="2462"/>
      <c r="M777" s="2462"/>
      <c r="N777" s="2462"/>
      <c r="O777" s="2462"/>
      <c r="P777" s="2462"/>
      <c r="Q777" s="2462"/>
      <c r="R777" s="2462"/>
      <c r="S777" s="2462"/>
      <c r="T777" s="2462"/>
      <c r="U777" s="2462"/>
      <c r="V777" s="2462"/>
      <c r="W777" s="2462"/>
      <c r="X777" s="2462"/>
      <c r="Y777" s="2462"/>
      <c r="Z777" s="2462"/>
      <c r="AA777" s="2462"/>
      <c r="AB777" s="2462"/>
      <c r="AC777" s="2462"/>
      <c r="AD777" s="2462"/>
      <c r="AE777" s="1205"/>
      <c r="AF777" s="1205"/>
      <c r="AG777" s="1205"/>
      <c r="AH777" s="1205"/>
      <c r="AI777" s="1205"/>
      <c r="AJ777" s="1205"/>
      <c r="AK777" s="1205"/>
      <c r="AL777" s="1205"/>
      <c r="AM777" s="454"/>
      <c r="AN777" s="439"/>
    </row>
    <row r="778" spans="1:81" s="398" customFormat="1" ht="12.75" customHeight="1">
      <c r="A778" s="416"/>
      <c r="B778" s="385"/>
      <c r="C778" s="385"/>
      <c r="D778" s="385"/>
      <c r="E778" s="385"/>
      <c r="F778" s="385"/>
      <c r="G778" s="385"/>
      <c r="H778" s="385"/>
      <c r="I778" s="385"/>
      <c r="J778" s="385"/>
      <c r="K778" s="385"/>
      <c r="L778" s="385"/>
      <c r="M778" s="385"/>
      <c r="N778" s="385"/>
      <c r="O778" s="385"/>
      <c r="P778" s="385"/>
      <c r="Q778" s="385"/>
      <c r="R778" s="385"/>
      <c r="S778" s="385"/>
      <c r="T778" s="385"/>
      <c r="U778" s="385"/>
      <c r="V778" s="385"/>
      <c r="W778" s="385"/>
      <c r="X778" s="385"/>
      <c r="Y778" s="385"/>
      <c r="Z778" s="385"/>
      <c r="AA778" s="385"/>
      <c r="AB778" s="385"/>
      <c r="AC778" s="385"/>
      <c r="AD778" s="385"/>
      <c r="AE778" s="385"/>
      <c r="AF778" s="385"/>
      <c r="AG778" s="385"/>
      <c r="AH778" s="385"/>
      <c r="AI778" s="385"/>
      <c r="AJ778" s="385"/>
      <c r="AK778" s="385"/>
      <c r="AL778" s="385"/>
      <c r="AM778" s="416"/>
      <c r="AN778" s="439"/>
    </row>
    <row r="779" spans="1:81" s="398" customFormat="1" ht="12.75" customHeight="1">
      <c r="B779" s="456"/>
      <c r="C779" s="743"/>
      <c r="D779" s="385" t="s">
        <v>2481</v>
      </c>
      <c r="E779" s="1208"/>
      <c r="F779" s="1208"/>
      <c r="G779" s="1208"/>
      <c r="H779" s="2375" t="s">
        <v>810</v>
      </c>
      <c r="I779" s="2375"/>
      <c r="J779" s="1191"/>
      <c r="K779" s="1191"/>
      <c r="L779" s="1191"/>
      <c r="M779" s="1191"/>
      <c r="N779" s="1191"/>
      <c r="O779" s="1191"/>
      <c r="P779" s="1191"/>
      <c r="Q779" s="1191"/>
      <c r="R779" s="1191"/>
      <c r="S779" s="1191"/>
      <c r="T779" s="1191"/>
      <c r="U779" s="1191"/>
      <c r="V779" s="1191"/>
      <c r="W779" s="1191"/>
      <c r="X779" s="1191"/>
      <c r="Y779" s="1191"/>
      <c r="Z779" s="1191"/>
      <c r="AA779" s="1191"/>
      <c r="AB779" s="1191"/>
      <c r="AC779" s="1191"/>
      <c r="AD779" s="1191"/>
      <c r="AE779" s="1191"/>
      <c r="AF779" s="1191"/>
      <c r="AG779" s="456"/>
      <c r="AH779" s="385"/>
      <c r="AI779" s="1200"/>
      <c r="AJ779" s="437"/>
      <c r="AK779" s="437"/>
      <c r="AL779" s="437"/>
      <c r="AN779" s="439"/>
    </row>
    <row r="780" spans="1:81" s="398" customFormat="1" ht="12.75" customHeight="1">
      <c r="B780" s="456"/>
      <c r="C780" s="743"/>
      <c r="D780" s="456"/>
      <c r="E780" s="456"/>
      <c r="F780" s="456"/>
      <c r="G780" s="456"/>
      <c r="H780" s="456"/>
      <c r="I780" s="456"/>
      <c r="J780" s="456"/>
      <c r="K780" s="456"/>
      <c r="L780" s="456"/>
      <c r="M780" s="456"/>
      <c r="N780" s="456"/>
      <c r="O780" s="456"/>
      <c r="P780" s="456"/>
      <c r="Q780" s="456"/>
      <c r="R780" s="456"/>
      <c r="S780" s="456"/>
      <c r="T780" s="456"/>
      <c r="U780" s="456"/>
      <c r="V780" s="456"/>
      <c r="W780" s="456"/>
      <c r="X780" s="456"/>
      <c r="Y780" s="456"/>
      <c r="Z780" s="456"/>
      <c r="AA780" s="456"/>
      <c r="AB780" s="456"/>
      <c r="AC780" s="456"/>
      <c r="AD780" s="456"/>
      <c r="AE780" s="456"/>
      <c r="AF780" s="456"/>
      <c r="AG780" s="456"/>
      <c r="AH780" s="385"/>
      <c r="AI780" s="1200"/>
      <c r="AJ780" s="437"/>
      <c r="AK780" s="437"/>
      <c r="AL780" s="437"/>
      <c r="AN780" s="439"/>
    </row>
    <row r="781" spans="1:81" s="398" customFormat="1" ht="12.75" customHeight="1">
      <c r="A781" s="447"/>
      <c r="B781" s="502"/>
      <c r="C781" s="757"/>
      <c r="D781" s="502"/>
      <c r="E781" s="502"/>
      <c r="F781" s="502"/>
      <c r="G781" s="502"/>
      <c r="H781" s="502"/>
      <c r="I781" s="502"/>
      <c r="J781" s="502"/>
      <c r="K781" s="502"/>
      <c r="L781" s="502"/>
      <c r="M781" s="502"/>
      <c r="N781" s="502"/>
      <c r="O781" s="502"/>
      <c r="P781" s="502"/>
      <c r="Q781" s="502"/>
      <c r="R781" s="502"/>
      <c r="S781" s="502"/>
      <c r="T781" s="502"/>
      <c r="U781" s="502"/>
      <c r="V781" s="502"/>
      <c r="W781" s="502"/>
      <c r="X781" s="502"/>
      <c r="Y781" s="502"/>
      <c r="Z781" s="502"/>
      <c r="AA781" s="502"/>
      <c r="AB781" s="502"/>
      <c r="AC781" s="502"/>
      <c r="AD781" s="502"/>
      <c r="AE781" s="502"/>
      <c r="AF781" s="502"/>
      <c r="AG781" s="502"/>
      <c r="AH781" s="443"/>
      <c r="AI781" s="411" t="s">
        <v>2552</v>
      </c>
      <c r="AJ781" s="2358">
        <f>VLOOKUP($H$779,$AO$769:$AP$771,2,FALSE)</f>
        <v>0</v>
      </c>
      <c r="AK781" s="2360"/>
      <c r="AL781" s="437"/>
      <c r="AN781" s="439"/>
    </row>
    <row r="782" spans="1:81" s="416" customFormat="1">
      <c r="A782" s="398"/>
      <c r="B782" s="456"/>
      <c r="C782" s="743"/>
      <c r="D782" s="456"/>
      <c r="E782" s="456"/>
      <c r="F782" s="456"/>
      <c r="G782" s="456"/>
      <c r="H782" s="456"/>
      <c r="I782" s="456"/>
      <c r="J782" s="456"/>
      <c r="K782" s="456"/>
      <c r="L782" s="456"/>
      <c r="M782" s="456"/>
      <c r="N782" s="456"/>
      <c r="O782" s="456"/>
      <c r="P782" s="456"/>
      <c r="Q782" s="456"/>
      <c r="R782" s="456"/>
      <c r="S782" s="456"/>
      <c r="T782" s="456"/>
      <c r="U782" s="456"/>
      <c r="V782" s="456"/>
      <c r="W782" s="456"/>
      <c r="X782" s="456"/>
      <c r="Y782" s="456"/>
      <c r="Z782" s="456"/>
      <c r="AA782" s="456"/>
      <c r="AB782" s="456"/>
      <c r="AC782" s="456"/>
      <c r="AD782" s="456"/>
      <c r="AE782" s="456"/>
      <c r="AF782" s="456"/>
      <c r="AG782" s="456"/>
      <c r="AH782" s="385"/>
      <c r="AI782" s="1200"/>
      <c r="AJ782" s="437"/>
      <c r="AK782" s="437"/>
      <c r="AL782" s="437"/>
      <c r="AM782" s="398"/>
      <c r="AN782" s="520"/>
      <c r="AS782" s="511"/>
      <c r="AT782" s="511"/>
      <c r="AU782" s="511"/>
      <c r="AV782" s="511"/>
      <c r="AW782" s="511"/>
      <c r="AX782" s="511"/>
      <c r="AY782" s="511"/>
      <c r="AZ782" s="511"/>
      <c r="BA782" s="511"/>
      <c r="BB782" s="511"/>
      <c r="BC782" s="511"/>
      <c r="BD782" s="526"/>
      <c r="BE782" s="526"/>
      <c r="BF782" s="526"/>
      <c r="BG782" s="526"/>
      <c r="BH782" s="526"/>
      <c r="BI782" s="511"/>
      <c r="BJ782" s="511"/>
      <c r="BK782" s="511"/>
      <c r="BL782" s="511"/>
      <c r="BM782" s="511"/>
      <c r="BN782" s="511"/>
      <c r="BO782" s="511"/>
      <c r="BP782" s="511"/>
      <c r="BQ782" s="511"/>
      <c r="BR782" s="511"/>
      <c r="BS782" s="511"/>
      <c r="BT782" s="511"/>
      <c r="BU782" s="511"/>
      <c r="BV782" s="511"/>
      <c r="BW782" s="511"/>
      <c r="BX782" s="511"/>
      <c r="BY782" s="511"/>
      <c r="BZ782" s="511"/>
      <c r="CA782" s="511"/>
      <c r="CB782" s="511"/>
      <c r="CC782" s="511"/>
    </row>
    <row r="783" spans="1:81" s="416" customFormat="1">
      <c r="A783" s="398"/>
      <c r="B783" s="456"/>
      <c r="C783" s="388" t="s">
        <v>2553</v>
      </c>
      <c r="D783" s="456"/>
      <c r="E783" s="456"/>
      <c r="F783" s="456"/>
      <c r="G783" s="456"/>
      <c r="H783" s="456"/>
      <c r="I783" s="456"/>
      <c r="J783" s="456"/>
      <c r="K783" s="456"/>
      <c r="L783" s="456"/>
      <c r="M783" s="456"/>
      <c r="N783" s="456"/>
      <c r="O783" s="456"/>
      <c r="P783" s="456"/>
      <c r="Q783" s="456"/>
      <c r="R783" s="456"/>
      <c r="S783" s="456"/>
      <c r="T783" s="456"/>
      <c r="U783" s="456"/>
      <c r="V783" s="456"/>
      <c r="W783" s="456"/>
      <c r="X783" s="456"/>
      <c r="Y783" s="456"/>
      <c r="Z783" s="456"/>
      <c r="AA783" s="456"/>
      <c r="AB783" s="456"/>
      <c r="AC783" s="456"/>
      <c r="AD783" s="456"/>
      <c r="AE783" s="456"/>
      <c r="AF783" s="456"/>
      <c r="AG783" s="456"/>
      <c r="AH783" s="385"/>
      <c r="AI783" s="1200"/>
      <c r="AJ783" s="437"/>
      <c r="AK783" s="437"/>
      <c r="AL783" s="437"/>
      <c r="AM783" s="398"/>
      <c r="AN783" s="520"/>
      <c r="AT783" s="511"/>
      <c r="AU783" s="511"/>
      <c r="AV783" s="511"/>
      <c r="AW783" s="511"/>
      <c r="AX783" s="511"/>
      <c r="AY783" s="511"/>
      <c r="AZ783" s="511"/>
    </row>
    <row r="784" spans="1:81" s="416" customFormat="1">
      <c r="A784" s="398"/>
      <c r="B784" s="456"/>
      <c r="C784" s="743"/>
      <c r="D784" s="456"/>
      <c r="E784" s="456"/>
      <c r="F784" s="456"/>
      <c r="G784" s="456"/>
      <c r="H784" s="456"/>
      <c r="I784" s="456"/>
      <c r="J784" s="456"/>
      <c r="K784" s="456"/>
      <c r="L784" s="456"/>
      <c r="M784" s="456"/>
      <c r="N784" s="456"/>
      <c r="O784" s="456"/>
      <c r="P784" s="456"/>
      <c r="Q784" s="456"/>
      <c r="R784" s="456"/>
      <c r="S784" s="456"/>
      <c r="T784" s="456"/>
      <c r="U784" s="456"/>
      <c r="V784" s="456"/>
      <c r="W784" s="456"/>
      <c r="X784" s="456"/>
      <c r="Y784" s="456"/>
      <c r="Z784" s="456"/>
      <c r="AA784" s="456"/>
      <c r="AB784" s="456"/>
      <c r="AC784" s="456"/>
      <c r="AD784" s="456"/>
      <c r="AE784" s="385"/>
      <c r="AF784" s="385"/>
      <c r="AG784" s="385"/>
      <c r="AH784" s="385"/>
      <c r="AI784" s="385"/>
      <c r="AJ784" s="385"/>
      <c r="AK784" s="385"/>
      <c r="AL784" s="437"/>
      <c r="AM784" s="398"/>
      <c r="AN784" s="520"/>
      <c r="AO784" s="398" t="s">
        <v>810</v>
      </c>
      <c r="AP784" s="516">
        <v>0</v>
      </c>
      <c r="AS784" s="511"/>
      <c r="AT784" s="511"/>
      <c r="AU784" s="511"/>
      <c r="AV784" s="511"/>
      <c r="AW784" s="511"/>
      <c r="AX784" s="511"/>
      <c r="AY784" s="511"/>
      <c r="AZ784" s="511"/>
      <c r="BA784" s="511"/>
      <c r="BB784" s="511"/>
      <c r="BC784" s="511"/>
      <c r="BD784" s="526"/>
      <c r="BE784" s="526"/>
      <c r="BF784" s="526"/>
      <c r="BG784" s="526"/>
      <c r="BH784" s="526"/>
      <c r="BI784" s="511"/>
      <c r="BJ784" s="511"/>
      <c r="BK784" s="511"/>
      <c r="BL784" s="511"/>
      <c r="BM784" s="511"/>
      <c r="BN784" s="511"/>
      <c r="BO784" s="511"/>
      <c r="BP784" s="511"/>
      <c r="BQ784" s="511"/>
      <c r="BR784" s="511"/>
      <c r="BS784" s="511"/>
      <c r="BT784" s="511"/>
      <c r="BU784" s="511"/>
      <c r="BV784" s="511"/>
      <c r="BW784" s="511"/>
      <c r="BX784" s="511"/>
      <c r="BY784" s="511"/>
      <c r="BZ784" s="511"/>
      <c r="CA784" s="511"/>
      <c r="CB784" s="511"/>
      <c r="CC784" s="511"/>
    </row>
    <row r="785" spans="1:81" s="416" customFormat="1" ht="13.95" customHeight="1">
      <c r="A785" s="398"/>
      <c r="B785" s="456"/>
      <c r="C785" s="743"/>
      <c r="D785" s="500" t="s">
        <v>22</v>
      </c>
      <c r="E785" s="2351" t="s">
        <v>2554</v>
      </c>
      <c r="F785" s="2351"/>
      <c r="G785" s="2351"/>
      <c r="H785" s="2351"/>
      <c r="I785" s="2351"/>
      <c r="J785" s="2351"/>
      <c r="K785" s="2351"/>
      <c r="L785" s="2351"/>
      <c r="M785" s="2351"/>
      <c r="N785" s="2351"/>
      <c r="O785" s="2351"/>
      <c r="P785" s="2351"/>
      <c r="Q785" s="2351"/>
      <c r="R785" s="2351"/>
      <c r="S785" s="2351"/>
      <c r="T785" s="2351"/>
      <c r="U785" s="2351"/>
      <c r="V785" s="2351"/>
      <c r="W785" s="2351"/>
      <c r="X785" s="2351"/>
      <c r="Y785" s="2351"/>
      <c r="Z785" s="2351"/>
      <c r="AA785" s="2351"/>
      <c r="AB785" s="2351"/>
      <c r="AC785" s="2351"/>
      <c r="AD785" s="2351"/>
      <c r="AE785" s="385"/>
      <c r="AF785" s="2451" t="s">
        <v>2207</v>
      </c>
      <c r="AG785" s="2451"/>
      <c r="AH785" s="2451"/>
      <c r="AI785" s="2451"/>
      <c r="AJ785" s="2451"/>
      <c r="AK785" s="2451"/>
      <c r="AL785" s="2451"/>
      <c r="AM785" s="454"/>
      <c r="AN785" s="520"/>
      <c r="AO785" s="452" t="s">
        <v>694</v>
      </c>
      <c r="AP785" s="398">
        <v>3</v>
      </c>
      <c r="AT785" s="511"/>
      <c r="AU785" s="511"/>
      <c r="AV785" s="511"/>
      <c r="AW785" s="511"/>
      <c r="AX785" s="511"/>
      <c r="AY785" s="511"/>
      <c r="AZ785" s="511"/>
    </row>
    <row r="786" spans="1:81" s="416" customFormat="1" ht="13.95" customHeight="1">
      <c r="A786" s="398"/>
      <c r="B786" s="456"/>
      <c r="C786" s="743"/>
      <c r="D786" s="500"/>
      <c r="E786" s="2351"/>
      <c r="F786" s="2351"/>
      <c r="G786" s="2351"/>
      <c r="H786" s="2351"/>
      <c r="I786" s="2351"/>
      <c r="J786" s="2351"/>
      <c r="K786" s="2351"/>
      <c r="L786" s="2351"/>
      <c r="M786" s="2351"/>
      <c r="N786" s="2351"/>
      <c r="O786" s="2351"/>
      <c r="P786" s="2351"/>
      <c r="Q786" s="2351"/>
      <c r="R786" s="2351"/>
      <c r="S786" s="2351"/>
      <c r="T786" s="2351"/>
      <c r="U786" s="2351"/>
      <c r="V786" s="2351"/>
      <c r="W786" s="2351"/>
      <c r="X786" s="2351"/>
      <c r="Y786" s="2351"/>
      <c r="Z786" s="2351"/>
      <c r="AA786" s="2351"/>
      <c r="AB786" s="2351"/>
      <c r="AC786" s="2351"/>
      <c r="AD786" s="2351"/>
      <c r="AE786" s="385"/>
      <c r="AF786" s="1205"/>
      <c r="AG786" s="1205"/>
      <c r="AH786" s="1205"/>
      <c r="AI786" s="1205"/>
      <c r="AJ786" s="1205"/>
      <c r="AK786" s="1205"/>
      <c r="AL786" s="1205"/>
      <c r="AM786" s="454"/>
      <c r="AN786" s="520"/>
      <c r="AO786" s="452"/>
      <c r="AP786" s="398"/>
      <c r="AT786" s="511"/>
      <c r="AU786" s="511"/>
      <c r="AV786" s="511"/>
      <c r="AW786" s="511"/>
      <c r="AX786" s="511"/>
      <c r="AY786" s="511"/>
      <c r="AZ786" s="511"/>
    </row>
    <row r="787" spans="1:81" s="416" customFormat="1">
      <c r="A787" s="398"/>
      <c r="B787" s="456"/>
      <c r="C787" s="743"/>
      <c r="D787" s="500"/>
      <c r="E787" s="2351"/>
      <c r="F787" s="2351"/>
      <c r="G787" s="2351"/>
      <c r="H787" s="2351"/>
      <c r="I787" s="2351"/>
      <c r="J787" s="2351"/>
      <c r="K787" s="2351"/>
      <c r="L787" s="2351"/>
      <c r="M787" s="2351"/>
      <c r="N787" s="2351"/>
      <c r="O787" s="2351"/>
      <c r="P787" s="2351"/>
      <c r="Q787" s="2351"/>
      <c r="R787" s="2351"/>
      <c r="S787" s="2351"/>
      <c r="T787" s="2351"/>
      <c r="U787" s="2351"/>
      <c r="V787" s="2351"/>
      <c r="W787" s="2351"/>
      <c r="X787" s="2351"/>
      <c r="Y787" s="2351"/>
      <c r="Z787" s="2351"/>
      <c r="AA787" s="2351"/>
      <c r="AB787" s="2351"/>
      <c r="AC787" s="2351"/>
      <c r="AD787" s="2351"/>
      <c r="AE787" s="1205"/>
      <c r="AF787" s="1205"/>
      <c r="AG787" s="1205"/>
      <c r="AH787" s="1205"/>
      <c r="AI787" s="1205"/>
      <c r="AJ787" s="1205"/>
      <c r="AK787" s="1205"/>
      <c r="AL787" s="1205"/>
      <c r="AM787" s="454"/>
      <c r="AN787" s="520"/>
      <c r="AO787" s="452"/>
      <c r="AP787" s="398"/>
      <c r="AT787" s="511"/>
      <c r="AU787" s="511"/>
      <c r="AV787" s="511"/>
      <c r="AW787" s="511"/>
      <c r="AX787" s="511"/>
      <c r="AY787" s="511"/>
      <c r="AZ787" s="511"/>
    </row>
    <row r="788" spans="1:81" s="416" customFormat="1">
      <c r="A788" s="398"/>
      <c r="B788" s="456"/>
      <c r="C788" s="743"/>
      <c r="D788" s="500"/>
      <c r="E788" s="2351"/>
      <c r="F788" s="2351"/>
      <c r="G788" s="2351"/>
      <c r="H788" s="2351"/>
      <c r="I788" s="2351"/>
      <c r="J788" s="2351"/>
      <c r="K788" s="2351"/>
      <c r="L788" s="2351"/>
      <c r="M788" s="2351"/>
      <c r="N788" s="2351"/>
      <c r="O788" s="2351"/>
      <c r="P788" s="2351"/>
      <c r="Q788" s="2351"/>
      <c r="R788" s="2351"/>
      <c r="S788" s="2351"/>
      <c r="T788" s="2351"/>
      <c r="U788" s="2351"/>
      <c r="V788" s="2351"/>
      <c r="W788" s="2351"/>
      <c r="X788" s="2351"/>
      <c r="Y788" s="2351"/>
      <c r="Z788" s="2351"/>
      <c r="AA788" s="2351"/>
      <c r="AB788" s="2351"/>
      <c r="AC788" s="2351"/>
      <c r="AD788" s="2351"/>
      <c r="AE788" s="1205"/>
      <c r="AF788" s="1205"/>
      <c r="AG788" s="1205"/>
      <c r="AH788" s="1205"/>
      <c r="AI788" s="1205"/>
      <c r="AJ788" s="1205"/>
      <c r="AK788" s="1205"/>
      <c r="AL788" s="1205"/>
      <c r="AM788" s="454"/>
      <c r="AN788" s="520"/>
      <c r="AO788" s="527"/>
      <c r="AT788" s="511"/>
      <c r="AU788" s="511"/>
      <c r="AV788" s="511"/>
      <c r="AW788" s="511"/>
      <c r="AX788" s="511"/>
      <c r="AY788" s="511"/>
      <c r="AZ788" s="511"/>
    </row>
    <row r="789" spans="1:81" s="416" customFormat="1">
      <c r="A789" s="398"/>
      <c r="B789" s="456"/>
      <c r="C789" s="743"/>
      <c r="D789" s="500"/>
      <c r="E789" s="1191"/>
      <c r="F789" s="1191"/>
      <c r="G789" s="1191"/>
      <c r="H789" s="1191"/>
      <c r="I789" s="1191"/>
      <c r="J789" s="1191"/>
      <c r="K789" s="1191"/>
      <c r="L789" s="1191"/>
      <c r="M789" s="1191"/>
      <c r="N789" s="1191"/>
      <c r="O789" s="1191"/>
      <c r="P789" s="1191"/>
      <c r="Q789" s="1191"/>
      <c r="R789" s="1191"/>
      <c r="S789" s="1191"/>
      <c r="T789" s="1191"/>
      <c r="U789" s="1191"/>
      <c r="V789" s="1191"/>
      <c r="W789" s="1191"/>
      <c r="X789" s="1191"/>
      <c r="Y789" s="1191"/>
      <c r="Z789" s="1191"/>
      <c r="AA789" s="1191"/>
      <c r="AB789" s="1191"/>
      <c r="AC789" s="1191"/>
      <c r="AD789" s="1191"/>
      <c r="AE789" s="1205"/>
      <c r="AF789" s="1205"/>
      <c r="AG789" s="1205"/>
      <c r="AH789" s="1205"/>
      <c r="AI789" s="1205"/>
      <c r="AJ789" s="1205"/>
      <c r="AK789" s="1205"/>
      <c r="AL789" s="1205"/>
      <c r="AM789" s="454"/>
      <c r="AN789" s="520"/>
      <c r="AO789" s="527"/>
      <c r="AT789" s="511"/>
      <c r="AU789" s="511"/>
      <c r="AV789" s="511"/>
      <c r="AW789" s="511"/>
      <c r="AX789" s="511"/>
      <c r="AY789" s="511"/>
      <c r="AZ789" s="511"/>
    </row>
    <row r="790" spans="1:81" s="416" customFormat="1">
      <c r="A790" s="398"/>
      <c r="B790" s="456"/>
      <c r="C790" s="743"/>
      <c r="D790" s="385" t="s">
        <v>2481</v>
      </c>
      <c r="E790" s="1208"/>
      <c r="F790" s="1208"/>
      <c r="G790" s="1208"/>
      <c r="H790" s="2375" t="s">
        <v>694</v>
      </c>
      <c r="I790" s="2375"/>
      <c r="J790" s="456"/>
      <c r="K790" s="456"/>
      <c r="L790" s="456"/>
      <c r="M790" s="456"/>
      <c r="N790" s="456"/>
      <c r="O790" s="456"/>
      <c r="P790" s="456"/>
      <c r="Q790" s="456"/>
      <c r="R790" s="456"/>
      <c r="S790" s="456"/>
      <c r="T790" s="456"/>
      <c r="U790" s="456"/>
      <c r="V790" s="456"/>
      <c r="W790" s="456"/>
      <c r="X790" s="456"/>
      <c r="Y790" s="456"/>
      <c r="Z790" s="456"/>
      <c r="AA790" s="456"/>
      <c r="AB790" s="456"/>
      <c r="AC790" s="456"/>
      <c r="AD790" s="456"/>
      <c r="AE790" s="456"/>
      <c r="AF790" s="456"/>
      <c r="AG790" s="456"/>
      <c r="AH790" s="385"/>
      <c r="AI790" s="1200"/>
      <c r="AJ790" s="437"/>
      <c r="AK790" s="437"/>
      <c r="AL790" s="437"/>
      <c r="AM790" s="398"/>
      <c r="AN790" s="520"/>
      <c r="AS790" s="511"/>
      <c r="AT790" s="511"/>
      <c r="AU790" s="511"/>
      <c r="AV790" s="511"/>
      <c r="AW790" s="511"/>
      <c r="AX790" s="511"/>
      <c r="AY790" s="511"/>
      <c r="AZ790" s="511"/>
      <c r="BA790" s="511"/>
      <c r="BB790" s="511"/>
      <c r="BC790" s="511"/>
      <c r="BD790" s="526"/>
      <c r="BE790" s="526"/>
      <c r="BF790" s="526"/>
      <c r="BG790" s="526"/>
      <c r="BH790" s="526"/>
      <c r="BI790" s="511"/>
      <c r="BJ790" s="511"/>
      <c r="BK790" s="511"/>
      <c r="BL790" s="511"/>
      <c r="BM790" s="511"/>
      <c r="BN790" s="511"/>
      <c r="BO790" s="511"/>
      <c r="BP790" s="511"/>
      <c r="BQ790" s="511"/>
      <c r="BR790" s="511"/>
      <c r="BS790" s="511"/>
      <c r="BT790" s="511"/>
      <c r="BU790" s="511"/>
      <c r="BV790" s="511"/>
      <c r="BW790" s="511"/>
      <c r="BX790" s="511"/>
      <c r="BY790" s="511"/>
      <c r="BZ790" s="511"/>
      <c r="CA790" s="511"/>
      <c r="CB790" s="511"/>
      <c r="CC790" s="511"/>
    </row>
    <row r="791" spans="1:81" s="416" customFormat="1">
      <c r="A791" s="398"/>
      <c r="B791" s="456"/>
      <c r="C791" s="524"/>
      <c r="D791" s="399"/>
      <c r="E791" s="399"/>
      <c r="F791" s="399"/>
      <c r="G791" s="399"/>
      <c r="H791" s="399"/>
      <c r="I791" s="399"/>
      <c r="J791" s="399"/>
      <c r="K791" s="399"/>
      <c r="L791" s="399"/>
      <c r="M791" s="399"/>
      <c r="N791" s="399"/>
      <c r="O791" s="399"/>
      <c r="P791" s="399"/>
      <c r="Q791" s="399"/>
      <c r="R791" s="399"/>
      <c r="S791" s="399"/>
      <c r="T791" s="399"/>
      <c r="U791" s="399"/>
      <c r="V791" s="399"/>
      <c r="W791" s="399"/>
      <c r="X791" s="399"/>
      <c r="Y791" s="399"/>
      <c r="Z791" s="399"/>
      <c r="AA791" s="399"/>
      <c r="AB791" s="399"/>
      <c r="AC791" s="399"/>
      <c r="AD791" s="456"/>
      <c r="AE791" s="399"/>
      <c r="AF791" s="399"/>
      <c r="AG791" s="399"/>
      <c r="AH791" s="399"/>
      <c r="AI791" s="398"/>
      <c r="AJ791" s="398"/>
      <c r="AK791" s="398"/>
      <c r="AL791" s="398"/>
      <c r="AM791" s="398"/>
      <c r="AN791" s="520"/>
      <c r="AT791" s="511"/>
      <c r="AU791" s="511"/>
      <c r="AV791" s="511"/>
      <c r="AW791" s="511"/>
      <c r="AX791" s="511"/>
      <c r="AY791" s="511"/>
      <c r="AZ791" s="511"/>
    </row>
    <row r="792" spans="1:81" s="416" customFormat="1">
      <c r="A792" s="447"/>
      <c r="B792" s="502"/>
      <c r="C792" s="525"/>
      <c r="D792" s="501"/>
      <c r="E792" s="501"/>
      <c r="F792" s="501"/>
      <c r="G792" s="501"/>
      <c r="H792" s="501"/>
      <c r="I792" s="501"/>
      <c r="J792" s="501"/>
      <c r="K792" s="501"/>
      <c r="L792" s="501"/>
      <c r="M792" s="501"/>
      <c r="N792" s="501"/>
      <c r="O792" s="501"/>
      <c r="P792" s="501"/>
      <c r="Q792" s="501"/>
      <c r="R792" s="501"/>
      <c r="S792" s="501"/>
      <c r="T792" s="501"/>
      <c r="U792" s="501"/>
      <c r="V792" s="501"/>
      <c r="W792" s="501"/>
      <c r="X792" s="501"/>
      <c r="Y792" s="501"/>
      <c r="Z792" s="501"/>
      <c r="AA792" s="501"/>
      <c r="AB792" s="501"/>
      <c r="AC792" s="502"/>
      <c r="AD792" s="501"/>
      <c r="AE792" s="501"/>
      <c r="AF792" s="501"/>
      <c r="AG792" s="501"/>
      <c r="AH792" s="410"/>
      <c r="AI792" s="411" t="s">
        <v>2555</v>
      </c>
      <c r="AJ792" s="2358">
        <f>VLOOKUP($H$790,$AO$784:$AP$785,2,FALSE)</f>
        <v>3</v>
      </c>
      <c r="AK792" s="2360"/>
      <c r="AL792" s="437"/>
      <c r="AM792" s="398"/>
      <c r="AN792" s="520"/>
      <c r="AS792" s="511"/>
      <c r="AT792" s="511"/>
      <c r="AU792" s="511"/>
      <c r="AV792" s="511"/>
      <c r="AW792" s="511"/>
      <c r="AX792" s="511"/>
      <c r="AY792" s="511"/>
      <c r="AZ792" s="511"/>
      <c r="BA792" s="511"/>
      <c r="BB792" s="511"/>
      <c r="BC792" s="511"/>
      <c r="BD792" s="526"/>
      <c r="BE792" s="526"/>
      <c r="BF792" s="526"/>
      <c r="BG792" s="526"/>
      <c r="BH792" s="526"/>
      <c r="BI792" s="511"/>
      <c r="BJ792" s="511"/>
      <c r="BK792" s="511"/>
      <c r="BL792" s="511"/>
      <c r="BM792" s="511"/>
      <c r="BN792" s="511"/>
      <c r="BO792" s="511"/>
      <c r="BP792" s="511"/>
      <c r="BQ792" s="511"/>
      <c r="BR792" s="511"/>
      <c r="BS792" s="511"/>
      <c r="BT792" s="511"/>
      <c r="BU792" s="511"/>
      <c r="BV792" s="511"/>
      <c r="BW792" s="511"/>
      <c r="BX792" s="511"/>
      <c r="BY792" s="511"/>
      <c r="BZ792" s="511"/>
      <c r="CA792" s="511"/>
      <c r="CB792" s="511"/>
      <c r="CC792" s="511"/>
    </row>
    <row r="793" spans="1:81" s="398" customFormat="1" ht="12.75" customHeight="1">
      <c r="B793" s="456"/>
      <c r="C793" s="524"/>
      <c r="D793" s="399"/>
      <c r="E793" s="399"/>
      <c r="F793" s="399"/>
      <c r="G793" s="399"/>
      <c r="H793" s="399"/>
      <c r="I793" s="399"/>
      <c r="J793" s="399"/>
      <c r="K793" s="399"/>
      <c r="L793" s="399"/>
      <c r="M793" s="399"/>
      <c r="N793" s="399"/>
      <c r="O793" s="399"/>
      <c r="P793" s="399"/>
      <c r="Q793" s="399"/>
      <c r="R793" s="399"/>
      <c r="S793" s="399"/>
      <c r="T793" s="399"/>
      <c r="U793" s="399"/>
      <c r="V793" s="399"/>
      <c r="W793" s="399"/>
      <c r="X793" s="399"/>
      <c r="Y793" s="399"/>
      <c r="Z793" s="399"/>
      <c r="AA793" s="399"/>
      <c r="AB793" s="399"/>
      <c r="AC793" s="399"/>
      <c r="AD793" s="456"/>
      <c r="AE793" s="399"/>
      <c r="AF793" s="399"/>
      <c r="AG793" s="399"/>
      <c r="AH793" s="399"/>
      <c r="AN793" s="439"/>
    </row>
    <row r="794" spans="1:81" s="398" customFormat="1" ht="12.75" customHeight="1">
      <c r="A794" s="447"/>
      <c r="B794" s="501"/>
      <c r="C794" s="501"/>
      <c r="D794" s="501"/>
      <c r="E794" s="501"/>
      <c r="F794" s="501"/>
      <c r="G794" s="501"/>
      <c r="H794" s="501"/>
      <c r="I794" s="501"/>
      <c r="J794" s="501"/>
      <c r="K794" s="501"/>
      <c r="L794" s="501"/>
      <c r="M794" s="501"/>
      <c r="N794" s="501"/>
      <c r="O794" s="501"/>
      <c r="P794" s="501"/>
      <c r="Q794" s="501"/>
      <c r="R794" s="501"/>
      <c r="S794" s="501"/>
      <c r="T794" s="501"/>
      <c r="U794" s="501"/>
      <c r="V794" s="501"/>
      <c r="W794" s="501"/>
      <c r="X794" s="501"/>
      <c r="Y794" s="501"/>
      <c r="Z794" s="501"/>
      <c r="AA794" s="501"/>
      <c r="AB794" s="501"/>
      <c r="AC794" s="502"/>
      <c r="AD794" s="501"/>
      <c r="AE794" s="410"/>
      <c r="AF794" s="410"/>
      <c r="AG794" s="410"/>
      <c r="AH794" s="410"/>
      <c r="AI794" s="411"/>
      <c r="AJ794" s="411" t="s">
        <v>2556</v>
      </c>
      <c r="AK794" s="2358">
        <f>IF(($AJ$621+$AJ$640+$AJ$652+$AJ$687+$AJ$711+$AJ$725+$AJ$737+$AJ$753+$AJ$765+$AJ$781+AJ792)&gt;10,10,($AJ$621+$AJ$640+$AJ$652+$AJ$687+$AJ$711+$AJ$725+$AJ$737+$AJ$753+$AJ$765+$AJ$781+AJ792))</f>
        <v>10</v>
      </c>
      <c r="AL794" s="2359"/>
      <c r="AM794" s="2360"/>
      <c r="AN794" s="439"/>
    </row>
    <row r="795" spans="1:81" s="398" customFormat="1" ht="12.75" customHeight="1">
      <c r="B795" s="399"/>
      <c r="C795" s="399"/>
      <c r="D795" s="399"/>
      <c r="E795" s="399"/>
      <c r="F795" s="399"/>
      <c r="G795" s="399"/>
      <c r="H795" s="399"/>
      <c r="I795" s="399"/>
      <c r="J795" s="399"/>
      <c r="K795" s="399"/>
      <c r="L795" s="399"/>
      <c r="M795" s="399"/>
      <c r="N795" s="399"/>
      <c r="O795" s="399"/>
      <c r="P795" s="399"/>
      <c r="Q795" s="399"/>
      <c r="R795" s="399"/>
      <c r="S795" s="399"/>
      <c r="T795" s="399"/>
      <c r="U795" s="399"/>
      <c r="V795" s="399"/>
      <c r="W795" s="399"/>
      <c r="X795" s="399"/>
      <c r="Y795" s="399"/>
      <c r="Z795" s="399"/>
      <c r="AA795" s="399"/>
      <c r="AB795" s="399"/>
      <c r="AC795" s="456"/>
      <c r="AD795" s="399"/>
      <c r="AI795" s="1200"/>
      <c r="AJ795" s="1200"/>
      <c r="AK795" s="437"/>
      <c r="AL795" s="437"/>
      <c r="AM795" s="437"/>
      <c r="AN795" s="439"/>
    </row>
    <row r="796" spans="1:81">
      <c r="B796" s="398"/>
      <c r="C796" s="398"/>
      <c r="D796" s="398"/>
      <c r="E796" s="398"/>
      <c r="F796" s="398"/>
      <c r="G796" s="398"/>
      <c r="H796" s="398"/>
      <c r="I796" s="398"/>
      <c r="J796" s="398"/>
      <c r="K796" s="398"/>
      <c r="L796" s="398"/>
      <c r="M796" s="398"/>
      <c r="N796" s="398"/>
      <c r="O796" s="398"/>
      <c r="P796" s="398"/>
      <c r="Q796" s="398"/>
      <c r="R796" s="398"/>
      <c r="S796" s="398"/>
      <c r="T796" s="398"/>
      <c r="U796" s="398"/>
      <c r="V796" s="398"/>
      <c r="W796" s="398"/>
      <c r="X796" s="398"/>
      <c r="Y796" s="398"/>
      <c r="Z796" s="398"/>
      <c r="AA796" s="398"/>
      <c r="AB796" s="398"/>
      <c r="AC796" s="398"/>
      <c r="AD796" s="398"/>
      <c r="AE796" s="398"/>
      <c r="AF796" s="398"/>
      <c r="AG796" s="398"/>
      <c r="AH796" s="398"/>
      <c r="AI796" s="398"/>
      <c r="AJ796" s="398"/>
      <c r="AK796" s="398"/>
      <c r="AL796" s="398"/>
      <c r="AM796" s="398"/>
    </row>
    <row r="797" spans="1:81">
      <c r="A797" s="2442" t="s">
        <v>2557</v>
      </c>
      <c r="B797" s="2443"/>
      <c r="C797" s="2443"/>
      <c r="D797" s="2443"/>
      <c r="E797" s="2443"/>
      <c r="F797" s="2443"/>
      <c r="G797" s="2443"/>
      <c r="H797" s="2443"/>
      <c r="I797" s="2443"/>
      <c r="J797" s="2443"/>
      <c r="K797" s="2443"/>
      <c r="L797" s="2443"/>
      <c r="M797" s="2443"/>
      <c r="N797" s="2443"/>
      <c r="O797" s="2443"/>
      <c r="P797" s="2443"/>
      <c r="Q797" s="2443"/>
      <c r="R797" s="2443"/>
      <c r="S797" s="2443"/>
      <c r="T797" s="2443"/>
      <c r="U797" s="2443"/>
      <c r="V797" s="2443"/>
      <c r="W797" s="2443"/>
      <c r="X797" s="2443"/>
      <c r="Y797" s="2443"/>
      <c r="Z797" s="2443"/>
      <c r="AA797" s="2443"/>
      <c r="AB797" s="2443"/>
      <c r="AC797" s="2443"/>
      <c r="AD797" s="2443"/>
      <c r="AE797" s="2443"/>
      <c r="AF797" s="2443"/>
      <c r="AG797" s="2443"/>
      <c r="AH797" s="2443"/>
      <c r="AI797" s="2443"/>
      <c r="AJ797" s="2443"/>
      <c r="AK797" s="2443"/>
      <c r="AL797" s="2443"/>
      <c r="AM797" s="2443"/>
    </row>
    <row r="798" spans="1:81">
      <c r="A798" s="2444"/>
      <c r="B798" s="2444"/>
      <c r="C798" s="2444"/>
      <c r="D798" s="2444"/>
      <c r="E798" s="2444"/>
      <c r="F798" s="2444"/>
      <c r="G798" s="2444"/>
      <c r="H798" s="2444"/>
      <c r="I798" s="2444"/>
      <c r="J798" s="2444"/>
      <c r="K798" s="2444"/>
      <c r="L798" s="2444"/>
      <c r="M798" s="2444"/>
      <c r="N798" s="2444"/>
      <c r="O798" s="2444"/>
      <c r="P798" s="2444"/>
      <c r="Q798" s="2444"/>
      <c r="R798" s="2444"/>
      <c r="S798" s="2444"/>
      <c r="T798" s="2444"/>
      <c r="U798" s="2444"/>
      <c r="V798" s="2444"/>
      <c r="W798" s="2444"/>
      <c r="X798" s="2444"/>
      <c r="Y798" s="2444"/>
      <c r="Z798" s="2444"/>
      <c r="AA798" s="2444"/>
      <c r="AB798" s="2444"/>
      <c r="AC798" s="2444"/>
      <c r="AD798" s="2444"/>
      <c r="AE798" s="2444"/>
      <c r="AF798" s="2444"/>
      <c r="AG798" s="2444"/>
      <c r="AH798" s="2444"/>
      <c r="AI798" s="2444"/>
      <c r="AJ798" s="2444"/>
      <c r="AK798" s="2444"/>
      <c r="AL798" s="2444"/>
      <c r="AM798" s="2444"/>
      <c r="AO798" s="646"/>
      <c r="AP798" s="646"/>
      <c r="AQ798" s="646"/>
    </row>
    <row r="799" spans="1:81">
      <c r="A799" s="398"/>
      <c r="B799" s="417"/>
      <c r="C799" s="418"/>
      <c r="D799" s="418"/>
      <c r="E799" s="418"/>
      <c r="F799" s="418"/>
      <c r="G799" s="418"/>
      <c r="H799" s="418"/>
      <c r="I799" s="1194"/>
      <c r="J799" s="1194"/>
      <c r="K799" s="1194"/>
      <c r="L799" s="1194"/>
      <c r="M799" s="1194"/>
      <c r="N799" s="1194"/>
      <c r="O799" s="1194"/>
      <c r="P799" s="1194"/>
      <c r="Q799" s="1194"/>
      <c r="S799" s="388"/>
      <c r="T799" s="388"/>
      <c r="U799" s="388"/>
      <c r="V799" s="388"/>
      <c r="W799" s="388"/>
      <c r="X799" s="388"/>
      <c r="Y799" s="388"/>
      <c r="Z799" s="388"/>
      <c r="AA799" s="388"/>
      <c r="AB799" s="388"/>
      <c r="AC799" s="388"/>
      <c r="AD799" s="388"/>
      <c r="AE799" s="388"/>
      <c r="AG799" s="388"/>
      <c r="AH799" s="388"/>
      <c r="AI799" s="388"/>
      <c r="AJ799" s="388"/>
      <c r="AK799" s="398"/>
      <c r="AL799" s="398"/>
      <c r="AM799" s="386"/>
      <c r="AO799" s="646"/>
      <c r="AP799" s="646"/>
      <c r="AQ799" s="646"/>
    </row>
    <row r="800" spans="1:81">
      <c r="A800" s="2373"/>
      <c r="B800" s="2373"/>
      <c r="C800" s="2373"/>
      <c r="D800" s="2373"/>
      <c r="E800" s="2373"/>
      <c r="F800" s="2373"/>
      <c r="G800" s="2373"/>
      <c r="H800" s="2373"/>
      <c r="I800" s="2373"/>
      <c r="J800" s="2373"/>
      <c r="K800" s="2373"/>
      <c r="L800" s="2373"/>
      <c r="M800" s="2373"/>
      <c r="N800" s="2373"/>
      <c r="O800" s="2373"/>
      <c r="P800" s="2373"/>
      <c r="Q800" s="2373"/>
      <c r="R800" s="2373"/>
      <c r="S800" s="2373"/>
      <c r="T800" s="2373"/>
      <c r="U800" s="2373"/>
      <c r="V800" s="2373"/>
      <c r="W800" s="2373"/>
      <c r="X800" s="2373"/>
      <c r="Y800" s="2373"/>
      <c r="Z800" s="2373"/>
      <c r="AA800" s="2373"/>
      <c r="AB800" s="2373"/>
      <c r="AC800" s="2373"/>
      <c r="AD800" s="2373"/>
      <c r="AE800" s="2373"/>
      <c r="AF800" s="2373"/>
      <c r="AG800" s="2373"/>
      <c r="AH800" s="2373"/>
      <c r="AI800" s="2373"/>
      <c r="AJ800" s="2373"/>
      <c r="AK800" s="2373"/>
      <c r="AL800" s="2373"/>
      <c r="AM800" s="2373"/>
      <c r="AP800" s="646"/>
      <c r="AQ800" s="646"/>
    </row>
    <row r="801" spans="1:81">
      <c r="A801" s="2373"/>
      <c r="B801" s="2373"/>
      <c r="C801" s="2373"/>
      <c r="D801" s="2373"/>
      <c r="E801" s="2373"/>
      <c r="F801" s="2373"/>
      <c r="G801" s="2373"/>
      <c r="H801" s="2373"/>
      <c r="I801" s="2373"/>
      <c r="J801" s="2373"/>
      <c r="K801" s="2373"/>
      <c r="L801" s="2373"/>
      <c r="M801" s="2373"/>
      <c r="N801" s="2373"/>
      <c r="O801" s="2373"/>
      <c r="P801" s="2373"/>
      <c r="Q801" s="2373"/>
      <c r="R801" s="2373"/>
      <c r="S801" s="2373"/>
      <c r="T801" s="2373"/>
      <c r="U801" s="2373"/>
      <c r="V801" s="2373"/>
      <c r="W801" s="2373"/>
      <c r="X801" s="2373"/>
      <c r="Y801" s="2373"/>
      <c r="Z801" s="2373"/>
      <c r="AA801" s="2373"/>
      <c r="AB801" s="2373"/>
      <c r="AC801" s="2373"/>
      <c r="AD801" s="2373"/>
      <c r="AE801" s="2373"/>
      <c r="AF801" s="2373"/>
      <c r="AG801" s="2373"/>
      <c r="AH801" s="2373"/>
      <c r="AI801" s="2373"/>
      <c r="AJ801" s="2373"/>
      <c r="AK801" s="2373"/>
      <c r="AL801" s="2373"/>
      <c r="AM801" s="2373"/>
      <c r="AO801" s="646"/>
      <c r="AQ801" s="646"/>
    </row>
    <row r="802" spans="1:81">
      <c r="A802" s="647"/>
      <c r="B802" s="504"/>
      <c r="C802" s="504"/>
      <c r="D802" s="504"/>
      <c r="E802" s="504"/>
      <c r="F802" s="504"/>
      <c r="G802" s="504"/>
      <c r="H802" s="504"/>
      <c r="I802" s="504"/>
      <c r="J802" s="504"/>
      <c r="K802" s="504"/>
      <c r="L802" s="504"/>
      <c r="M802" s="504"/>
      <c r="N802" s="504"/>
      <c r="O802" s="504"/>
      <c r="P802" s="504"/>
      <c r="Q802" s="504"/>
      <c r="R802" s="504"/>
      <c r="S802" s="506"/>
      <c r="T802" s="2445" t="s">
        <v>2558</v>
      </c>
      <c r="U802" s="2446"/>
      <c r="V802" s="2446"/>
      <c r="W802" s="2446"/>
      <c r="X802" s="2446"/>
      <c r="Y802" s="2447"/>
      <c r="Z802" s="2445" t="s">
        <v>2559</v>
      </c>
      <c r="AA802" s="2446"/>
      <c r="AB802" s="2446"/>
      <c r="AC802" s="2446"/>
      <c r="AD802" s="2446"/>
      <c r="AE802" s="2447"/>
      <c r="AF802" s="2445" t="s">
        <v>2560</v>
      </c>
      <c r="AG802" s="2446"/>
      <c r="AH802" s="2446"/>
      <c r="AI802" s="2446"/>
      <c r="AJ802" s="2446"/>
      <c r="AK802" s="2447"/>
      <c r="AL802" s="648"/>
      <c r="AM802" s="438"/>
      <c r="AO802" s="646"/>
      <c r="AP802" s="646"/>
      <c r="AQ802" s="646"/>
    </row>
    <row r="803" spans="1:81">
      <c r="A803" s="649"/>
      <c r="B803" s="529"/>
      <c r="C803" s="529"/>
      <c r="D803" s="529"/>
      <c r="E803" s="529"/>
      <c r="F803" s="529"/>
      <c r="G803" s="529"/>
      <c r="H803" s="529"/>
      <c r="I803" s="529"/>
      <c r="J803" s="529"/>
      <c r="K803" s="529"/>
      <c r="L803" s="529"/>
      <c r="M803" s="529"/>
      <c r="N803" s="529"/>
      <c r="O803" s="529"/>
      <c r="P803" s="529"/>
      <c r="Q803" s="529"/>
      <c r="R803" s="529"/>
      <c r="S803" s="543"/>
      <c r="T803" s="2448"/>
      <c r="U803" s="2449"/>
      <c r="V803" s="2449"/>
      <c r="W803" s="2449"/>
      <c r="X803" s="2449"/>
      <c r="Y803" s="2450"/>
      <c r="Z803" s="2448"/>
      <c r="AA803" s="2449"/>
      <c r="AB803" s="2449"/>
      <c r="AC803" s="2449"/>
      <c r="AD803" s="2449"/>
      <c r="AE803" s="2450"/>
      <c r="AF803" s="2448"/>
      <c r="AG803" s="2449"/>
      <c r="AH803" s="2449"/>
      <c r="AI803" s="2449"/>
      <c r="AJ803" s="2449"/>
      <c r="AK803" s="2450"/>
      <c r="AL803" s="648"/>
      <c r="AM803" s="438"/>
      <c r="AO803" s="646"/>
      <c r="AP803" s="646"/>
      <c r="AQ803" s="646"/>
    </row>
    <row r="804" spans="1:81">
      <c r="A804" s="649" t="s">
        <v>53</v>
      </c>
      <c r="B804" s="2402" t="s">
        <v>2122</v>
      </c>
      <c r="C804" s="2402"/>
      <c r="D804" s="2402"/>
      <c r="E804" s="2402"/>
      <c r="F804" s="2402"/>
      <c r="G804" s="2402"/>
      <c r="H804" s="2402"/>
      <c r="I804" s="2402"/>
      <c r="J804" s="2402"/>
      <c r="K804" s="2402"/>
      <c r="L804" s="2402"/>
      <c r="M804" s="2402"/>
      <c r="N804" s="2402"/>
      <c r="O804" s="2402"/>
      <c r="P804" s="2402"/>
      <c r="Q804" s="2402"/>
      <c r="R804" s="2402"/>
      <c r="S804" s="2403"/>
      <c r="T804" s="2430">
        <f>AK62</f>
        <v>0</v>
      </c>
      <c r="U804" s="2406"/>
      <c r="V804" s="2406"/>
      <c r="W804" s="2406"/>
      <c r="X804" s="2406"/>
      <c r="Y804" s="2407"/>
      <c r="Z804" s="2405">
        <v>20</v>
      </c>
      <c r="AA804" s="2406"/>
      <c r="AB804" s="2406"/>
      <c r="AC804" s="2406"/>
      <c r="AD804" s="2406"/>
      <c r="AE804" s="2407"/>
      <c r="AF804" s="2370">
        <f>IF(T804&gt;Z804,Z804,T804)</f>
        <v>0</v>
      </c>
      <c r="AG804" s="2370"/>
      <c r="AH804" s="2370"/>
      <c r="AI804" s="2370"/>
      <c r="AJ804" s="2370"/>
      <c r="AK804" s="2370"/>
      <c r="AL804" s="648"/>
      <c r="AM804" s="438"/>
      <c r="AO804" s="646"/>
      <c r="AP804" s="646"/>
      <c r="AQ804" s="646"/>
    </row>
    <row r="805" spans="1:81">
      <c r="A805" s="649" t="s">
        <v>2413</v>
      </c>
      <c r="B805" s="2402" t="s">
        <v>619</v>
      </c>
      <c r="C805" s="2402"/>
      <c r="D805" s="2402"/>
      <c r="E805" s="2402"/>
      <c r="F805" s="2402"/>
      <c r="G805" s="2402"/>
      <c r="H805" s="2402"/>
      <c r="I805" s="2402"/>
      <c r="J805" s="2402"/>
      <c r="K805" s="2402"/>
      <c r="L805" s="2402"/>
      <c r="M805" s="2402"/>
      <c r="N805" s="2402"/>
      <c r="O805" s="2402"/>
      <c r="P805" s="2402"/>
      <c r="Q805" s="2402"/>
      <c r="R805" s="2402"/>
      <c r="S805" s="2403"/>
      <c r="T805" s="2430">
        <f>AK84</f>
        <v>10</v>
      </c>
      <c r="U805" s="2406"/>
      <c r="V805" s="2406"/>
      <c r="W805" s="2406"/>
      <c r="X805" s="2406"/>
      <c r="Y805" s="2407"/>
      <c r="Z805" s="2405">
        <v>10</v>
      </c>
      <c r="AA805" s="2406"/>
      <c r="AB805" s="2406"/>
      <c r="AC805" s="2406"/>
      <c r="AD805" s="2406"/>
      <c r="AE805" s="2407"/>
      <c r="AF805" s="2370">
        <f>IF(T805&gt;Z805,Z805,T805)</f>
        <v>10</v>
      </c>
      <c r="AG805" s="2370"/>
      <c r="AH805" s="2370"/>
      <c r="AI805" s="2370"/>
      <c r="AJ805" s="2370"/>
      <c r="AK805" s="2370"/>
      <c r="AL805" s="648"/>
      <c r="AM805" s="438"/>
      <c r="AO805" s="646"/>
      <c r="AP805" s="646"/>
      <c r="AQ805" s="646"/>
    </row>
    <row r="806" spans="1:81">
      <c r="A806" s="649" t="s">
        <v>2422</v>
      </c>
      <c r="B806" s="2402" t="s">
        <v>2162</v>
      </c>
      <c r="C806" s="2402"/>
      <c r="D806" s="2402"/>
      <c r="E806" s="2402"/>
      <c r="F806" s="2402"/>
      <c r="G806" s="2402"/>
      <c r="H806" s="2402"/>
      <c r="I806" s="2402"/>
      <c r="J806" s="2402"/>
      <c r="K806" s="2402"/>
      <c r="L806" s="2402"/>
      <c r="M806" s="2402"/>
      <c r="N806" s="2402"/>
      <c r="O806" s="2402"/>
      <c r="P806" s="2402"/>
      <c r="Q806" s="2402"/>
      <c r="R806" s="2402"/>
      <c r="S806" s="2403"/>
      <c r="T806" s="2430">
        <f ca="1">AK109</f>
        <v>20</v>
      </c>
      <c r="U806" s="2406"/>
      <c r="V806" s="2406"/>
      <c r="W806" s="2406"/>
      <c r="X806" s="2406"/>
      <c r="Y806" s="2407"/>
      <c r="Z806" s="2405">
        <v>20</v>
      </c>
      <c r="AA806" s="2406"/>
      <c r="AB806" s="2406"/>
      <c r="AC806" s="2406"/>
      <c r="AD806" s="2406"/>
      <c r="AE806" s="2407"/>
      <c r="AF806" s="2370">
        <f ca="1">IF(T806&gt;Z806,Z806,T806)</f>
        <v>20</v>
      </c>
      <c r="AG806" s="2370"/>
      <c r="AH806" s="2370"/>
      <c r="AI806" s="2370"/>
      <c r="AJ806" s="2370"/>
      <c r="AK806" s="2370"/>
      <c r="AL806" s="648"/>
      <c r="AM806" s="438"/>
      <c r="AO806" s="646"/>
      <c r="AP806" s="646"/>
      <c r="AQ806" s="646"/>
    </row>
    <row r="807" spans="1:81">
      <c r="A807" s="649" t="s">
        <v>2561</v>
      </c>
      <c r="B807" s="2402" t="s">
        <v>2173</v>
      </c>
      <c r="C807" s="2402"/>
      <c r="D807" s="2402"/>
      <c r="E807" s="2402"/>
      <c r="F807" s="2402"/>
      <c r="G807" s="2402"/>
      <c r="H807" s="2402"/>
      <c r="I807" s="2402"/>
      <c r="J807" s="2402"/>
      <c r="K807" s="2402"/>
      <c r="L807" s="2402"/>
      <c r="M807" s="2402"/>
      <c r="N807" s="2402"/>
      <c r="O807" s="2402"/>
      <c r="P807" s="2402"/>
      <c r="Q807" s="2402"/>
      <c r="R807" s="2402"/>
      <c r="S807" s="2403"/>
      <c r="T807" s="2430">
        <f>AK143</f>
        <v>10</v>
      </c>
      <c r="U807" s="2406"/>
      <c r="V807" s="2406"/>
      <c r="W807" s="2406"/>
      <c r="X807" s="2406"/>
      <c r="Y807" s="2407"/>
      <c r="Z807" s="2405">
        <v>10</v>
      </c>
      <c r="AA807" s="2406"/>
      <c r="AB807" s="2406"/>
      <c r="AC807" s="2406"/>
      <c r="AD807" s="2406"/>
      <c r="AE807" s="2407"/>
      <c r="AF807" s="2370">
        <f>IF(T807&gt;Z807,Z807,T807)</f>
        <v>10</v>
      </c>
      <c r="AG807" s="2370"/>
      <c r="AH807" s="2370"/>
      <c r="AI807" s="2370"/>
      <c r="AJ807" s="2370"/>
      <c r="AK807" s="2370"/>
      <c r="AL807" s="648"/>
      <c r="AM807" s="438"/>
      <c r="AO807" s="646"/>
      <c r="AP807" s="646"/>
      <c r="AQ807" s="646"/>
    </row>
    <row r="808" spans="1:81">
      <c r="A808" s="1204" t="s">
        <v>2562</v>
      </c>
      <c r="B808" s="2402" t="s">
        <v>2563</v>
      </c>
      <c r="C808" s="2402"/>
      <c r="D808" s="2402"/>
      <c r="E808" s="2402"/>
      <c r="F808" s="2402"/>
      <c r="G808" s="2402"/>
      <c r="H808" s="2402"/>
      <c r="I808" s="2402"/>
      <c r="J808" s="2402"/>
      <c r="K808" s="2402"/>
      <c r="L808" s="2402"/>
      <c r="M808" s="2402"/>
      <c r="N808" s="2402"/>
      <c r="O808" s="2402"/>
      <c r="P808" s="2402"/>
      <c r="Q808" s="2402"/>
      <c r="R808" s="2402"/>
      <c r="S808" s="2403"/>
      <c r="T808" s="2404">
        <f>SUM(T809:Y810)</f>
        <v>10</v>
      </c>
      <c r="U808" s="2404"/>
      <c r="V808" s="2404"/>
      <c r="W808" s="2404"/>
      <c r="X808" s="2404"/>
      <c r="Y808" s="2404"/>
      <c r="Z808" s="2370">
        <v>10</v>
      </c>
      <c r="AA808" s="2370"/>
      <c r="AB808" s="2370"/>
      <c r="AC808" s="2370"/>
      <c r="AD808" s="2370"/>
      <c r="AE808" s="2370"/>
      <c r="AF808" s="2370">
        <f>IF(T808&gt;Z808,Z808,T808)</f>
        <v>10</v>
      </c>
      <c r="AG808" s="2370"/>
      <c r="AH808" s="2370"/>
      <c r="AI808" s="2370"/>
      <c r="AJ808" s="2370"/>
      <c r="AK808" s="2370"/>
      <c r="AL808" s="648"/>
      <c r="AM808" s="438"/>
    </row>
    <row r="809" spans="1:81">
      <c r="A809" s="384"/>
      <c r="B809" s="443"/>
      <c r="C809" s="2408" t="s">
        <v>2564</v>
      </c>
      <c r="D809" s="2408"/>
      <c r="E809" s="2408"/>
      <c r="F809" s="2408"/>
      <c r="G809" s="2408"/>
      <c r="H809" s="2408"/>
      <c r="I809" s="2408"/>
      <c r="J809" s="2408"/>
      <c r="K809" s="2408"/>
      <c r="L809" s="2408"/>
      <c r="M809" s="2408"/>
      <c r="N809" s="2408"/>
      <c r="O809" s="2408"/>
      <c r="P809" s="2408"/>
      <c r="Q809" s="2408"/>
      <c r="R809" s="2408"/>
      <c r="S809" s="2409"/>
      <c r="T809" s="2410">
        <f>AJ166</f>
        <v>7</v>
      </c>
      <c r="U809" s="2410"/>
      <c r="V809" s="2410"/>
      <c r="W809" s="2410"/>
      <c r="X809" s="2410"/>
      <c r="Y809" s="2410"/>
      <c r="Z809" s="2411">
        <v>7</v>
      </c>
      <c r="AA809" s="2411"/>
      <c r="AB809" s="2411"/>
      <c r="AC809" s="2411"/>
      <c r="AD809" s="2411"/>
      <c r="AE809" s="2411"/>
      <c r="AF809" s="2412"/>
      <c r="AG809" s="2412"/>
      <c r="AH809" s="2412"/>
      <c r="AI809" s="2412"/>
      <c r="AJ809" s="2412"/>
      <c r="AK809" s="2412"/>
      <c r="AL809" s="648"/>
      <c r="AM809" s="438"/>
    </row>
    <row r="810" spans="1:81">
      <c r="A810" s="442"/>
      <c r="B810" s="443"/>
      <c r="C810" s="2408" t="s">
        <v>1992</v>
      </c>
      <c r="D810" s="2408"/>
      <c r="E810" s="2408"/>
      <c r="F810" s="2408"/>
      <c r="G810" s="2408"/>
      <c r="H810" s="2408"/>
      <c r="I810" s="2408"/>
      <c r="J810" s="2408"/>
      <c r="K810" s="2408"/>
      <c r="L810" s="2408"/>
      <c r="M810" s="2408"/>
      <c r="N810" s="2408"/>
      <c r="O810" s="2408"/>
      <c r="P810" s="2408"/>
      <c r="Q810" s="2408"/>
      <c r="R810" s="2408"/>
      <c r="S810" s="2409"/>
      <c r="T810" s="2410">
        <f>AJ180</f>
        <v>3</v>
      </c>
      <c r="U810" s="2410"/>
      <c r="V810" s="2410"/>
      <c r="W810" s="2410"/>
      <c r="X810" s="2410"/>
      <c r="Y810" s="2410"/>
      <c r="Z810" s="2411">
        <v>3</v>
      </c>
      <c r="AA810" s="2411"/>
      <c r="AB810" s="2411"/>
      <c r="AC810" s="2411"/>
      <c r="AD810" s="2411"/>
      <c r="AE810" s="2411"/>
      <c r="AF810" s="2412"/>
      <c r="AG810" s="2412"/>
      <c r="AH810" s="2412"/>
      <c r="AI810" s="2412"/>
      <c r="AJ810" s="2412"/>
      <c r="AK810" s="2412"/>
      <c r="AL810" s="648"/>
      <c r="AM810" s="438"/>
      <c r="AO810" s="398"/>
    </row>
    <row r="811" spans="1:81">
      <c r="A811" s="1204" t="s">
        <v>2219</v>
      </c>
      <c r="B811" s="2402" t="s">
        <v>2565</v>
      </c>
      <c r="C811" s="2402"/>
      <c r="D811" s="2402"/>
      <c r="E811" s="2402"/>
      <c r="F811" s="2402"/>
      <c r="G811" s="2402"/>
      <c r="H811" s="2402"/>
      <c r="I811" s="2402"/>
      <c r="J811" s="2402"/>
      <c r="K811" s="2402"/>
      <c r="L811" s="2402"/>
      <c r="M811" s="2402"/>
      <c r="N811" s="2402"/>
      <c r="O811" s="2402"/>
      <c r="P811" s="2402"/>
      <c r="Q811" s="2402"/>
      <c r="R811" s="2402"/>
      <c r="S811" s="2403"/>
      <c r="T811" s="2404">
        <f>AK191</f>
        <v>10</v>
      </c>
      <c r="U811" s="2404"/>
      <c r="V811" s="2404"/>
      <c r="W811" s="2404"/>
      <c r="X811" s="2404"/>
      <c r="Y811" s="2404"/>
      <c r="Z811" s="2370">
        <v>10</v>
      </c>
      <c r="AA811" s="2370"/>
      <c r="AB811" s="2370"/>
      <c r="AC811" s="2370"/>
      <c r="AD811" s="2370"/>
      <c r="AE811" s="2370"/>
      <c r="AF811" s="2370">
        <f>IF(T811&gt;Z811,Z811,T811)</f>
        <v>10</v>
      </c>
      <c r="AG811" s="2370"/>
      <c r="AH811" s="2370"/>
      <c r="AI811" s="2370"/>
      <c r="AJ811" s="2370"/>
      <c r="AK811" s="2370"/>
      <c r="AL811" s="648"/>
      <c r="AM811" s="438"/>
    </row>
    <row r="812" spans="1:81">
      <c r="A812" s="649" t="s">
        <v>2229</v>
      </c>
      <c r="B812" s="2402" t="s">
        <v>2230</v>
      </c>
      <c r="C812" s="2402"/>
      <c r="D812" s="2402"/>
      <c r="E812" s="2402"/>
      <c r="F812" s="2402"/>
      <c r="G812" s="2402"/>
      <c r="H812" s="2402"/>
      <c r="I812" s="2402"/>
      <c r="J812" s="2402"/>
      <c r="K812" s="2402"/>
      <c r="L812" s="2402"/>
      <c r="M812" s="2402"/>
      <c r="N812" s="2402"/>
      <c r="O812" s="2402"/>
      <c r="P812" s="2402"/>
      <c r="Q812" s="2402"/>
      <c r="R812" s="2402"/>
      <c r="S812" s="2403"/>
      <c r="T812" s="2404">
        <f>AK273</f>
        <v>8</v>
      </c>
      <c r="U812" s="2404"/>
      <c r="V812" s="2404"/>
      <c r="W812" s="2404"/>
      <c r="X812" s="2404"/>
      <c r="Y812" s="2404"/>
      <c r="Z812" s="2405">
        <v>8</v>
      </c>
      <c r="AA812" s="2406"/>
      <c r="AB812" s="2406"/>
      <c r="AC812" s="2406"/>
      <c r="AD812" s="2406"/>
      <c r="AE812" s="2407"/>
      <c r="AF812" s="2370">
        <f>IF(T812&gt;Z812,Z812,T812)</f>
        <v>8</v>
      </c>
      <c r="AG812" s="2370"/>
      <c r="AH812" s="2370"/>
      <c r="AI812" s="2370"/>
      <c r="AJ812" s="2370"/>
      <c r="AK812" s="2370"/>
      <c r="AL812" s="648"/>
      <c r="AM812" s="438"/>
    </row>
    <row r="813" spans="1:81" s="383" customFormat="1" hidden="1">
      <c r="A813" s="1204" t="s">
        <v>1008</v>
      </c>
      <c r="B813" s="2402" t="s">
        <v>2566</v>
      </c>
      <c r="C813" s="2402"/>
      <c r="D813" s="2402"/>
      <c r="E813" s="2402"/>
      <c r="F813" s="2402"/>
      <c r="G813" s="2402"/>
      <c r="H813" s="2402"/>
      <c r="I813" s="2402"/>
      <c r="J813" s="2402"/>
      <c r="K813" s="2402"/>
      <c r="L813" s="2402"/>
      <c r="M813" s="2402"/>
      <c r="N813" s="2402"/>
      <c r="O813" s="2402"/>
      <c r="P813" s="2402"/>
      <c r="Q813" s="2402"/>
      <c r="R813" s="2402"/>
      <c r="S813" s="2403"/>
      <c r="T813" s="2404">
        <f>IF(AK535&gt;5,5,AK535)</f>
        <v>0</v>
      </c>
      <c r="U813" s="2404"/>
      <c r="V813" s="2404"/>
      <c r="W813" s="2404"/>
      <c r="X813" s="2404"/>
      <c r="Y813" s="2404"/>
      <c r="Z813" s="2370">
        <v>5</v>
      </c>
      <c r="AA813" s="2370"/>
      <c r="AB813" s="2370"/>
      <c r="AC813" s="2370"/>
      <c r="AD813" s="2370"/>
      <c r="AE813" s="2370"/>
      <c r="AF813" s="2370">
        <f>IF(T813&gt;Z813,5,T813)</f>
        <v>0</v>
      </c>
      <c r="AG813" s="2370"/>
      <c r="AH813" s="2370"/>
      <c r="AI813" s="2370"/>
      <c r="AJ813" s="2370"/>
      <c r="AK813" s="2370"/>
      <c r="AL813" s="648"/>
      <c r="AM813" s="438"/>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3" customFormat="1">
      <c r="A814" s="649" t="s">
        <v>2281</v>
      </c>
      <c r="B814" s="2402" t="s">
        <v>2567</v>
      </c>
      <c r="C814" s="2402"/>
      <c r="D814" s="2402"/>
      <c r="E814" s="2402"/>
      <c r="F814" s="2402"/>
      <c r="G814" s="2402"/>
      <c r="H814" s="2402"/>
      <c r="I814" s="2402"/>
      <c r="J814" s="2402"/>
      <c r="K814" s="2402"/>
      <c r="L814" s="2402"/>
      <c r="M814" s="2402"/>
      <c r="N814" s="2402"/>
      <c r="O814" s="2402"/>
      <c r="P814" s="2402"/>
      <c r="Q814" s="2402"/>
      <c r="R814" s="2402"/>
      <c r="S814" s="2403"/>
      <c r="T814" s="2404">
        <f>AK285</f>
        <v>10</v>
      </c>
      <c r="U814" s="2404"/>
      <c r="V814" s="2404"/>
      <c r="W814" s="2404"/>
      <c r="X814" s="2404"/>
      <c r="Y814" s="2404"/>
      <c r="Z814" s="2370">
        <v>10</v>
      </c>
      <c r="AA814" s="2370"/>
      <c r="AB814" s="2370"/>
      <c r="AC814" s="2370"/>
      <c r="AD814" s="2370"/>
      <c r="AE814" s="2370"/>
      <c r="AF814" s="2413">
        <f>IF(T814&gt;Z814,Z814,T814)</f>
        <v>10</v>
      </c>
      <c r="AG814" s="2414"/>
      <c r="AH814" s="2414"/>
      <c r="AI814" s="2414"/>
      <c r="AJ814" s="2414"/>
      <c r="AK814" s="2415"/>
      <c r="AL814" s="648"/>
      <c r="AM814" s="438"/>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3" customFormat="1">
      <c r="A815" s="1204" t="s">
        <v>2285</v>
      </c>
      <c r="B815" s="2402" t="s">
        <v>2568</v>
      </c>
      <c r="C815" s="2402"/>
      <c r="D815" s="2402"/>
      <c r="E815" s="2402"/>
      <c r="F815" s="2402"/>
      <c r="G815" s="2402"/>
      <c r="H815" s="2402"/>
      <c r="I815" s="2402"/>
      <c r="J815" s="2402"/>
      <c r="K815" s="2402"/>
      <c r="L815" s="2402"/>
      <c r="M815" s="2402"/>
      <c r="N815" s="2402"/>
      <c r="O815" s="2402"/>
      <c r="P815" s="2402"/>
      <c r="Q815" s="2402"/>
      <c r="R815" s="2402"/>
      <c r="S815" s="2403"/>
      <c r="T815" s="2404">
        <f>AK338</f>
        <v>10</v>
      </c>
      <c r="U815" s="2404"/>
      <c r="V815" s="2404"/>
      <c r="W815" s="2404"/>
      <c r="X815" s="2404"/>
      <c r="Y815" s="2404"/>
      <c r="Z815" s="2413">
        <v>10</v>
      </c>
      <c r="AA815" s="2414"/>
      <c r="AB815" s="2414"/>
      <c r="AC815" s="2414"/>
      <c r="AD815" s="2414"/>
      <c r="AE815" s="2415"/>
      <c r="AF815" s="2413">
        <f>IF(T815&gt;Z815,Z815,T815)</f>
        <v>10</v>
      </c>
      <c r="AG815" s="2414"/>
      <c r="AH815" s="2414"/>
      <c r="AI815" s="2414"/>
      <c r="AJ815" s="2414"/>
      <c r="AK815" s="2415"/>
      <c r="AL815" s="388"/>
      <c r="AM815" s="438"/>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3" customFormat="1" hidden="1">
      <c r="A816" s="1204"/>
      <c r="B816" s="1202"/>
      <c r="C816" s="650" t="s">
        <v>2569</v>
      </c>
      <c r="D816" s="651"/>
      <c r="E816" s="651"/>
      <c r="F816" s="651"/>
      <c r="G816" s="651"/>
      <c r="H816" s="651"/>
      <c r="I816" s="651"/>
      <c r="J816" s="651"/>
      <c r="K816" s="651"/>
      <c r="L816" s="651"/>
      <c r="M816" s="651"/>
      <c r="N816" s="651"/>
      <c r="O816" s="651"/>
      <c r="P816" s="651"/>
      <c r="Q816" s="651"/>
      <c r="R816" s="1202"/>
      <c r="S816" s="1203"/>
      <c r="T816" s="2410">
        <f>AK338</f>
        <v>10</v>
      </c>
      <c r="U816" s="2410"/>
      <c r="V816" s="2410"/>
      <c r="W816" s="2410"/>
      <c r="X816" s="2410"/>
      <c r="Y816" s="2410"/>
      <c r="Z816" s="2358">
        <v>20</v>
      </c>
      <c r="AA816" s="2359"/>
      <c r="AB816" s="2359"/>
      <c r="AC816" s="2359"/>
      <c r="AD816" s="2359"/>
      <c r="AE816" s="2360"/>
      <c r="AF816" s="2412"/>
      <c r="AG816" s="2412"/>
      <c r="AH816" s="2412"/>
      <c r="AI816" s="2412"/>
      <c r="AJ816" s="2412"/>
      <c r="AK816" s="2412"/>
      <c r="AL816" s="388"/>
      <c r="AM816" s="438"/>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3" customFormat="1">
      <c r="A817" s="1204" t="s">
        <v>2315</v>
      </c>
      <c r="B817" s="2402" t="s">
        <v>2316</v>
      </c>
      <c r="C817" s="2402"/>
      <c r="D817" s="2402"/>
      <c r="E817" s="2402"/>
      <c r="F817" s="2402"/>
      <c r="G817" s="2402"/>
      <c r="H817" s="2402"/>
      <c r="I817" s="2402"/>
      <c r="J817" s="2402"/>
      <c r="K817" s="2402"/>
      <c r="L817" s="2402"/>
      <c r="M817" s="2402"/>
      <c r="N817" s="2402"/>
      <c r="O817" s="2402"/>
      <c r="P817" s="2402"/>
      <c r="Q817" s="2402"/>
      <c r="R817" s="2402"/>
      <c r="S817" s="2403"/>
      <c r="T817" s="2404">
        <f>AK469</f>
        <v>10</v>
      </c>
      <c r="U817" s="2404"/>
      <c r="V817" s="2404"/>
      <c r="W817" s="2404"/>
      <c r="X817" s="2404"/>
      <c r="Y817" s="2404"/>
      <c r="Z817" s="2413">
        <v>10</v>
      </c>
      <c r="AA817" s="2414"/>
      <c r="AB817" s="2414"/>
      <c r="AC817" s="2414"/>
      <c r="AD817" s="2414"/>
      <c r="AE817" s="2415"/>
      <c r="AF817" s="2370">
        <f>IF(T817&gt;Z817,Z817,T817)</f>
        <v>10</v>
      </c>
      <c r="AG817" s="2370"/>
      <c r="AH817" s="2370"/>
      <c r="AI817" s="2370"/>
      <c r="AJ817" s="2370"/>
      <c r="AK817" s="2370"/>
      <c r="AL817" s="388"/>
      <c r="AM817" s="438"/>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3" customFormat="1">
      <c r="A818" s="1204" t="s">
        <v>2432</v>
      </c>
      <c r="B818" s="2402" t="s">
        <v>2433</v>
      </c>
      <c r="C818" s="2402"/>
      <c r="D818" s="2402"/>
      <c r="E818" s="2402"/>
      <c r="F818" s="2402"/>
      <c r="G818" s="2402"/>
      <c r="H818" s="2402"/>
      <c r="I818" s="2402"/>
      <c r="J818" s="2402"/>
      <c r="K818" s="2402"/>
      <c r="L818" s="2402"/>
      <c r="M818" s="2402"/>
      <c r="N818" s="2402"/>
      <c r="O818" s="2402"/>
      <c r="P818" s="2402"/>
      <c r="Q818" s="2402"/>
      <c r="R818" s="2402"/>
      <c r="S818" s="2403"/>
      <c r="T818" s="2404">
        <f>AK559</f>
        <v>12</v>
      </c>
      <c r="U818" s="2404"/>
      <c r="V818" s="2404"/>
      <c r="W818" s="2404"/>
      <c r="X818" s="2404"/>
      <c r="Y818" s="2404"/>
      <c r="Z818" s="2413">
        <v>12</v>
      </c>
      <c r="AA818" s="2414"/>
      <c r="AB818" s="2414"/>
      <c r="AC818" s="2414"/>
      <c r="AD818" s="2414"/>
      <c r="AE818" s="2415"/>
      <c r="AF818" s="2370">
        <f>IF(T818&gt;Z818,Z818,T818)</f>
        <v>12</v>
      </c>
      <c r="AG818" s="2370"/>
      <c r="AH818" s="2370"/>
      <c r="AI818" s="2370"/>
      <c r="AJ818" s="2370"/>
      <c r="AK818" s="2370"/>
      <c r="AL818" s="388"/>
      <c r="AM818" s="438"/>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3" customFormat="1">
      <c r="A819" s="1204" t="s">
        <v>2570</v>
      </c>
      <c r="B819" s="2402" t="s">
        <v>2571</v>
      </c>
      <c r="C819" s="2402"/>
      <c r="D819" s="2402"/>
      <c r="E819" s="2402"/>
      <c r="F819" s="2402"/>
      <c r="G819" s="2402"/>
      <c r="H819" s="2402"/>
      <c r="I819" s="2402"/>
      <c r="J819" s="2402"/>
      <c r="K819" s="2402"/>
      <c r="L819" s="2402"/>
      <c r="M819" s="2402"/>
      <c r="N819" s="2402"/>
      <c r="O819" s="2402"/>
      <c r="P819" s="2402"/>
      <c r="Q819" s="2402"/>
      <c r="R819" s="2402"/>
      <c r="S819" s="2403"/>
      <c r="T819" s="2404">
        <f>AK794</f>
        <v>10</v>
      </c>
      <c r="U819" s="2404"/>
      <c r="V819" s="2404"/>
      <c r="W819" s="2404"/>
      <c r="X819" s="2404"/>
      <c r="Y819" s="2404"/>
      <c r="Z819" s="2413">
        <v>10</v>
      </c>
      <c r="AA819" s="2414"/>
      <c r="AB819" s="2414"/>
      <c r="AC819" s="2414"/>
      <c r="AD819" s="2414"/>
      <c r="AE819" s="2415"/>
      <c r="AF819" s="2370">
        <f>IF(T819&gt;Z819,Z819,T819)</f>
        <v>10</v>
      </c>
      <c r="AG819" s="2370"/>
      <c r="AH819" s="2370"/>
      <c r="AI819" s="2370"/>
      <c r="AJ819" s="2370"/>
      <c r="AK819" s="2370"/>
      <c r="AL819" s="388"/>
      <c r="AM819" s="438"/>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3" customFormat="1">
      <c r="A820" s="2416" t="s">
        <v>2572</v>
      </c>
      <c r="B820" s="2402"/>
      <c r="C820" s="2402"/>
      <c r="D820" s="2402"/>
      <c r="E820" s="2402"/>
      <c r="F820" s="2402"/>
      <c r="G820" s="2402"/>
      <c r="H820" s="2402"/>
      <c r="I820" s="2402"/>
      <c r="J820" s="2402"/>
      <c r="K820" s="2402"/>
      <c r="L820" s="2402"/>
      <c r="M820" s="2402"/>
      <c r="N820" s="2402"/>
      <c r="O820" s="2402"/>
      <c r="P820" s="2402"/>
      <c r="Q820" s="2402"/>
      <c r="R820" s="2402"/>
      <c r="S820" s="2403"/>
      <c r="T820" s="2417"/>
      <c r="U820" s="2417"/>
      <c r="V820" s="2417"/>
      <c r="W820" s="2417"/>
      <c r="X820" s="2417"/>
      <c r="Y820" s="2417"/>
      <c r="Z820" s="2411" t="s">
        <v>2573</v>
      </c>
      <c r="AA820" s="2411"/>
      <c r="AB820" s="2411"/>
      <c r="AC820" s="2411"/>
      <c r="AD820" s="2411"/>
      <c r="AE820" s="2411"/>
      <c r="AF820" s="2413">
        <f>IF(T820&gt;0,T820,0)</f>
        <v>0</v>
      </c>
      <c r="AG820" s="2414"/>
      <c r="AH820" s="2414"/>
      <c r="AI820" s="2414"/>
      <c r="AJ820" s="2414"/>
      <c r="AK820" s="2415"/>
      <c r="AL820" s="1197"/>
      <c r="AM820" s="438"/>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3" customFormat="1" ht="15.6">
      <c r="A821" s="2418" t="s">
        <v>2574</v>
      </c>
      <c r="B821" s="2419"/>
      <c r="C821" s="2419"/>
      <c r="D821" s="2419"/>
      <c r="E821" s="2419"/>
      <c r="F821" s="2419"/>
      <c r="G821" s="2419"/>
      <c r="H821" s="2419"/>
      <c r="I821" s="2419"/>
      <c r="J821" s="2419"/>
      <c r="K821" s="2419"/>
      <c r="L821" s="2419"/>
      <c r="M821" s="2419"/>
      <c r="N821" s="2419"/>
      <c r="O821" s="2419"/>
      <c r="P821" s="2419"/>
      <c r="Q821" s="2419"/>
      <c r="R821" s="2419"/>
      <c r="S821" s="2419"/>
      <c r="T821" s="2419"/>
      <c r="U821" s="2419"/>
      <c r="V821" s="2419"/>
      <c r="W821" s="2419"/>
      <c r="X821" s="2419"/>
      <c r="Y821" s="2419"/>
      <c r="Z821" s="2419"/>
      <c r="AA821" s="2419"/>
      <c r="AB821" s="2419"/>
      <c r="AC821" s="2419"/>
      <c r="AD821" s="2419"/>
      <c r="AE821" s="2420"/>
      <c r="AF821" s="2424">
        <f ca="1">SUM(AF804:AK819)-AF820</f>
        <v>120</v>
      </c>
      <c r="AG821" s="2425"/>
      <c r="AH821" s="2425"/>
      <c r="AI821" s="2425"/>
      <c r="AJ821" s="2425"/>
      <c r="AK821" s="2426"/>
      <c r="AL821" s="652"/>
      <c r="AM821" s="398"/>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3" customFormat="1" ht="15.6">
      <c r="A822" s="2421"/>
      <c r="B822" s="2422"/>
      <c r="C822" s="2422"/>
      <c r="D822" s="2422"/>
      <c r="E822" s="2422"/>
      <c r="F822" s="2422"/>
      <c r="G822" s="2422"/>
      <c r="H822" s="2422"/>
      <c r="I822" s="2422"/>
      <c r="J822" s="2422"/>
      <c r="K822" s="2422"/>
      <c r="L822" s="2422"/>
      <c r="M822" s="2422"/>
      <c r="N822" s="2422"/>
      <c r="O822" s="2422"/>
      <c r="P822" s="2422"/>
      <c r="Q822" s="2422"/>
      <c r="R822" s="2422"/>
      <c r="S822" s="2422"/>
      <c r="T822" s="2422"/>
      <c r="U822" s="2422"/>
      <c r="V822" s="2422"/>
      <c r="W822" s="2422"/>
      <c r="X822" s="2422"/>
      <c r="Y822" s="2422"/>
      <c r="Z822" s="2422"/>
      <c r="AA822" s="2422"/>
      <c r="AB822" s="2422"/>
      <c r="AC822" s="2422"/>
      <c r="AD822" s="2422"/>
      <c r="AE822" s="2423"/>
      <c r="AF822" s="2427"/>
      <c r="AG822" s="2428"/>
      <c r="AH822" s="2428"/>
      <c r="AI822" s="2428"/>
      <c r="AJ822" s="2428"/>
      <c r="AK822" s="2429"/>
      <c r="AL822" s="652"/>
      <c r="AM822" s="398"/>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3" customForma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c r="AB823" s="500"/>
      <c r="AC823" s="500"/>
      <c r="AD823" s="500"/>
      <c r="AE823" s="500"/>
      <c r="AF823" s="500"/>
      <c r="AG823" s="500"/>
      <c r="AH823" s="500"/>
      <c r="AI823" s="500"/>
      <c r="AJ823" s="500"/>
      <c r="AK823" s="500"/>
      <c r="AL823" s="500"/>
      <c r="AM823" s="653"/>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Post-award Instructions</vt:lpstr>
      <vt:lpstr>Subsidy Contract Calculation</vt:lpstr>
      <vt:lpstr>15 Year Pro Forma</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Gregory Nestler</cp:lastModifiedBy>
  <cp:revision/>
  <dcterms:created xsi:type="dcterms:W3CDTF">2007-12-27T18:26:28Z</dcterms:created>
  <dcterms:modified xsi:type="dcterms:W3CDTF">2025-05-19T21:42:30Z</dcterms:modified>
  <cp:category/>
  <cp:contentStatus/>
</cp:coreProperties>
</file>